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ocuments\HIVATAL-TK\TESTÜLETI ANYAGOK\Testületi 2019-11-14\"/>
    </mc:Choice>
  </mc:AlternateContent>
  <bookViews>
    <workbookView xWindow="0" yWindow="0" windowWidth="23040" windowHeight="8808" tabRatio="865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ÖNK részletező" sheetId="19" r:id="rId13"/>
    <sheet name="B11" sheetId="21" r:id="rId14"/>
    <sheet name="B11 Pót ei" sheetId="22" r:id="rId15"/>
  </sheets>
  <externalReferences>
    <externalReference r:id="rId16"/>
  </externalReference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segédtábla'!$A$1:$V$145</definedName>
    <definedName name="_xlnm.Print_Area" localSheetId="2">'egységenkénti segédtábla'!$A$1:$T$197</definedName>
    <definedName name="_xlnm.Print_Area" localSheetId="0">'kiadási segédtábla'!$A$1:$V$146</definedName>
    <definedName name="_xlnm.Print_Area" localSheetId="12">'ÖNK részletező'!$A$1:$E$53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8" i="16" l="1"/>
  <c r="H118" i="16"/>
  <c r="H117" i="16"/>
  <c r="H116" i="16"/>
  <c r="H115" i="16"/>
  <c r="H114" i="16"/>
  <c r="H113" i="16"/>
  <c r="I117" i="16"/>
  <c r="I116" i="16"/>
  <c r="I115" i="16"/>
  <c r="I114" i="16"/>
  <c r="I113" i="16"/>
  <c r="I124" i="16" l="1"/>
  <c r="H124" i="16"/>
  <c r="I112" i="16"/>
  <c r="H112" i="16"/>
  <c r="I87" i="10" l="1"/>
  <c r="E87" i="10"/>
  <c r="I35" i="10"/>
  <c r="E65" i="10"/>
  <c r="I65" i="10"/>
  <c r="I43" i="10"/>
  <c r="E43" i="10"/>
  <c r="E37" i="10"/>
  <c r="I27" i="10"/>
  <c r="I25" i="10" s="1"/>
  <c r="E25" i="10"/>
  <c r="E27" i="10"/>
  <c r="E19" i="9"/>
  <c r="E20" i="9"/>
  <c r="I98" i="7" l="1"/>
  <c r="E19" i="7"/>
  <c r="E20" i="7"/>
  <c r="I98" i="5" l="1"/>
  <c r="I16" i="5"/>
  <c r="E16" i="5"/>
  <c r="I98" i="6"/>
  <c r="E19" i="6"/>
  <c r="E15" i="6"/>
  <c r="I98" i="4"/>
  <c r="I96" i="4"/>
  <c r="I19" i="4"/>
  <c r="E19" i="4"/>
  <c r="I98" i="2" l="1"/>
  <c r="I19" i="2"/>
  <c r="E19" i="2"/>
  <c r="E20" i="3"/>
  <c r="G19" i="22" l="1"/>
  <c r="F19" i="22"/>
  <c r="E19" i="22"/>
  <c r="D19" i="22"/>
  <c r="C19" i="22"/>
  <c r="B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19" i="22" l="1"/>
  <c r="H98" i="7"/>
  <c r="L14" i="7"/>
  <c r="D20" i="7"/>
  <c r="D19" i="7"/>
  <c r="D15" i="7"/>
  <c r="D24" i="7"/>
  <c r="E24" i="7"/>
  <c r="F24" i="7"/>
  <c r="H24" i="7"/>
  <c r="I24" i="7"/>
  <c r="F13" i="7"/>
  <c r="D14" i="7"/>
  <c r="E14" i="7"/>
  <c r="F14" i="7"/>
  <c r="H14" i="7"/>
  <c r="I14" i="7"/>
  <c r="C24" i="7"/>
  <c r="C13" i="7" s="1"/>
  <c r="C14" i="7"/>
  <c r="H98" i="6"/>
  <c r="H13" i="6"/>
  <c r="D13" i="6"/>
  <c r="E13" i="6"/>
  <c r="C13" i="6"/>
  <c r="E14" i="6"/>
  <c r="D19" i="6"/>
  <c r="D15" i="6"/>
  <c r="D14" i="6" s="1"/>
  <c r="D24" i="6"/>
  <c r="E24" i="6"/>
  <c r="F24" i="6"/>
  <c r="H24" i="6"/>
  <c r="I24" i="6"/>
  <c r="C24" i="6"/>
  <c r="I14" i="6"/>
  <c r="I13" i="6" s="1"/>
  <c r="H14" i="6"/>
  <c r="C14" i="6"/>
  <c r="I13" i="7" l="1"/>
  <c r="M14" i="7"/>
  <c r="H13" i="7"/>
  <c r="D13" i="7"/>
  <c r="E13" i="7"/>
  <c r="H98" i="5"/>
  <c r="D36" i="5"/>
  <c r="I14" i="5"/>
  <c r="I24" i="5"/>
  <c r="H24" i="5"/>
  <c r="H13" i="5" s="1"/>
  <c r="D13" i="5"/>
  <c r="F13" i="5"/>
  <c r="C13" i="5"/>
  <c r="H14" i="5"/>
  <c r="D24" i="5"/>
  <c r="E24" i="5"/>
  <c r="F24" i="5"/>
  <c r="C24" i="5"/>
  <c r="D14" i="5"/>
  <c r="E14" i="5"/>
  <c r="F14" i="5"/>
  <c r="C14" i="5"/>
  <c r="H98" i="4"/>
  <c r="H96" i="4"/>
  <c r="D96" i="4"/>
  <c r="E14" i="4"/>
  <c r="E24" i="4"/>
  <c r="I24" i="4"/>
  <c r="I14" i="4"/>
  <c r="H14" i="4"/>
  <c r="H13" i="4"/>
  <c r="H24" i="4"/>
  <c r="D36" i="4"/>
  <c r="D24" i="4"/>
  <c r="D13" i="4" s="1"/>
  <c r="C24" i="4"/>
  <c r="C13" i="4"/>
  <c r="D14" i="4"/>
  <c r="C14" i="4"/>
  <c r="D26" i="4"/>
  <c r="D20" i="4"/>
  <c r="D19" i="4"/>
  <c r="H98" i="2"/>
  <c r="I13" i="5" l="1"/>
  <c r="E13" i="5"/>
  <c r="I13" i="4"/>
  <c r="E13" i="4"/>
  <c r="H98" i="3"/>
  <c r="H65" i="10"/>
  <c r="H47" i="10"/>
  <c r="H43" i="10"/>
  <c r="H42" i="10"/>
  <c r="H41" i="10"/>
  <c r="H40" i="10" s="1"/>
  <c r="H35" i="10"/>
  <c r="E35" i="10"/>
  <c r="H26" i="10"/>
  <c r="H25" i="10"/>
  <c r="H87" i="10"/>
  <c r="H81" i="10" s="1"/>
  <c r="D87" i="10"/>
  <c r="D81" i="10" s="1"/>
  <c r="D59" i="10"/>
  <c r="D43" i="10"/>
  <c r="D37" i="10"/>
  <c r="D35" i="10"/>
  <c r="D25" i="10"/>
  <c r="D27" i="10"/>
  <c r="D20" i="9"/>
  <c r="L23" i="9"/>
  <c r="E95" i="3" l="1"/>
  <c r="D95" i="3"/>
  <c r="C95" i="3"/>
  <c r="C36" i="5"/>
  <c r="C21" i="3"/>
  <c r="C15" i="5"/>
  <c r="C20" i="2"/>
  <c r="C20" i="5"/>
  <c r="C20" i="9"/>
  <c r="C20" i="7"/>
  <c r="C20" i="4"/>
  <c r="C15" i="9"/>
  <c r="C85" i="3" l="1"/>
  <c r="C63" i="3"/>
  <c r="C35" i="3"/>
  <c r="C15" i="2" l="1"/>
  <c r="C36" i="4" l="1"/>
  <c r="C59" i="10" l="1"/>
  <c r="C26" i="4" l="1"/>
  <c r="C19" i="4"/>
  <c r="C15" i="4"/>
  <c r="C30" i="6"/>
  <c r="C15" i="6"/>
  <c r="C15" i="7"/>
  <c r="C72" i="7" l="1"/>
  <c r="E11" i="19" l="1"/>
  <c r="E31" i="19" l="1"/>
  <c r="C107" i="4" l="1"/>
  <c r="E50" i="19"/>
  <c r="C69" i="10" s="1"/>
  <c r="C37" i="10"/>
  <c r="E18" i="19"/>
  <c r="C77" i="10"/>
  <c r="C64" i="6"/>
  <c r="C49" i="6"/>
  <c r="E26" i="19" l="1"/>
  <c r="F25" i="19"/>
  <c r="C59" i="3"/>
  <c r="C50" i="3"/>
  <c r="C84" i="5"/>
  <c r="C27" i="10" l="1"/>
  <c r="C35" i="10" l="1"/>
  <c r="H33" i="19"/>
  <c r="H31" i="19" s="1"/>
  <c r="H50" i="19"/>
  <c r="H18" i="19"/>
  <c r="H25" i="19"/>
  <c r="H24" i="19"/>
  <c r="H19" i="19"/>
  <c r="H5" i="19"/>
  <c r="C107" i="5"/>
  <c r="C107" i="6"/>
  <c r="C96" i="4"/>
  <c r="C20" i="3"/>
  <c r="C107" i="2" l="1"/>
  <c r="E11" i="21" l="1"/>
  <c r="E10" i="21"/>
  <c r="E9" i="21"/>
  <c r="E8" i="21"/>
  <c r="E5" i="21" s="1"/>
  <c r="E7" i="21"/>
  <c r="E6" i="21"/>
  <c r="D5" i="21"/>
  <c r="C5" i="21"/>
  <c r="J80" i="10" l="1"/>
  <c r="D80" i="10"/>
  <c r="E81" i="10"/>
  <c r="E80" i="10" s="1"/>
  <c r="J81" i="10"/>
  <c r="J87" i="10"/>
  <c r="I81" i="10"/>
  <c r="I80" i="10" s="1"/>
  <c r="H80" i="10"/>
  <c r="J146" i="9"/>
  <c r="J145" i="9" s="1"/>
  <c r="I146" i="9"/>
  <c r="I145" i="9" s="1"/>
  <c r="H146" i="9"/>
  <c r="H145" i="9" s="1"/>
  <c r="D146" i="9"/>
  <c r="D145" i="9" s="1"/>
  <c r="E146" i="9"/>
  <c r="E145" i="9" s="1"/>
  <c r="J147" i="9"/>
  <c r="I147" i="9"/>
  <c r="H147" i="9"/>
  <c r="J153" i="9"/>
  <c r="I153" i="9"/>
  <c r="H153" i="9"/>
  <c r="D153" i="9"/>
  <c r="E153" i="9"/>
  <c r="C153" i="9"/>
  <c r="E147" i="9"/>
  <c r="D147" i="9"/>
  <c r="C147" i="9"/>
  <c r="S106" i="16"/>
  <c r="S105" i="16"/>
  <c r="S104" i="16"/>
  <c r="S103" i="16"/>
  <c r="S102" i="16"/>
  <c r="S101" i="16"/>
  <c r="S94" i="16"/>
  <c r="S93" i="16"/>
  <c r="S92" i="16"/>
  <c r="S91" i="16"/>
  <c r="S90" i="16"/>
  <c r="S89" i="16"/>
  <c r="S82" i="16"/>
  <c r="S81" i="16"/>
  <c r="S80" i="16"/>
  <c r="S79" i="16"/>
  <c r="S78" i="16"/>
  <c r="S77" i="16"/>
  <c r="S58" i="16"/>
  <c r="S57" i="16"/>
  <c r="S56" i="16"/>
  <c r="S55" i="16"/>
  <c r="S54" i="16"/>
  <c r="S53" i="16"/>
  <c r="S46" i="16"/>
  <c r="S45" i="16"/>
  <c r="S44" i="16"/>
  <c r="S43" i="16"/>
  <c r="S42" i="16"/>
  <c r="S41" i="16"/>
  <c r="S39" i="16"/>
  <c r="S34" i="16"/>
  <c r="S33" i="16"/>
  <c r="S31" i="16"/>
  <c r="S30" i="16"/>
  <c r="S29" i="16"/>
  <c r="N106" i="16"/>
  <c r="M106" i="16"/>
  <c r="L106" i="16"/>
  <c r="N105" i="16"/>
  <c r="M105" i="16"/>
  <c r="L105" i="16"/>
  <c r="N104" i="16"/>
  <c r="M104" i="16"/>
  <c r="L104" i="16"/>
  <c r="N103" i="16"/>
  <c r="M103" i="16"/>
  <c r="L103" i="16"/>
  <c r="N102" i="16"/>
  <c r="M102" i="16"/>
  <c r="L102" i="16"/>
  <c r="N101" i="16"/>
  <c r="M101" i="16"/>
  <c r="L101" i="16"/>
  <c r="N94" i="16"/>
  <c r="M94" i="16"/>
  <c r="L94" i="16"/>
  <c r="N93" i="16"/>
  <c r="M93" i="16"/>
  <c r="L93" i="16"/>
  <c r="N92" i="16"/>
  <c r="M92" i="16"/>
  <c r="L92" i="16"/>
  <c r="N91" i="16"/>
  <c r="M91" i="16"/>
  <c r="L91" i="16"/>
  <c r="N90" i="16"/>
  <c r="M90" i="16"/>
  <c r="L90" i="16"/>
  <c r="N89" i="16"/>
  <c r="M89" i="16"/>
  <c r="L89" i="16"/>
  <c r="N82" i="16"/>
  <c r="M82" i="16"/>
  <c r="L82" i="16"/>
  <c r="N81" i="16"/>
  <c r="M81" i="16"/>
  <c r="L81" i="16"/>
  <c r="N80" i="16"/>
  <c r="M80" i="16"/>
  <c r="L80" i="16"/>
  <c r="N79" i="16"/>
  <c r="M79" i="16"/>
  <c r="L79" i="16"/>
  <c r="N78" i="16"/>
  <c r="M78" i="16"/>
  <c r="L78" i="16"/>
  <c r="N77" i="16"/>
  <c r="M77" i="16"/>
  <c r="L77" i="16"/>
  <c r="N58" i="16"/>
  <c r="M58" i="16"/>
  <c r="L58" i="16"/>
  <c r="N57" i="16"/>
  <c r="M57" i="16"/>
  <c r="L57" i="16"/>
  <c r="N56" i="16"/>
  <c r="M56" i="16"/>
  <c r="L56" i="16"/>
  <c r="N55" i="16"/>
  <c r="M55" i="16"/>
  <c r="L55" i="16"/>
  <c r="N54" i="16"/>
  <c r="M54" i="16"/>
  <c r="L54" i="16"/>
  <c r="N53" i="16"/>
  <c r="M53" i="16"/>
  <c r="L53" i="16"/>
  <c r="N46" i="16"/>
  <c r="M46" i="16"/>
  <c r="L46" i="16"/>
  <c r="N45" i="16"/>
  <c r="M45" i="16"/>
  <c r="L45" i="16"/>
  <c r="N44" i="16"/>
  <c r="M44" i="16"/>
  <c r="L44" i="16"/>
  <c r="N43" i="16"/>
  <c r="M43" i="16"/>
  <c r="L43" i="16"/>
  <c r="N42" i="16"/>
  <c r="M42" i="16"/>
  <c r="L42" i="16"/>
  <c r="N41" i="16"/>
  <c r="M41" i="16"/>
  <c r="L41" i="16"/>
  <c r="S95" i="10"/>
  <c r="S94" i="10"/>
  <c r="S93" i="10"/>
  <c r="S92" i="10"/>
  <c r="S91" i="10"/>
  <c r="S74" i="10"/>
  <c r="S73" i="10"/>
  <c r="S71" i="10"/>
  <c r="S70" i="10"/>
  <c r="S68" i="10"/>
  <c r="S66" i="10"/>
  <c r="S49" i="10"/>
  <c r="S34" i="10"/>
  <c r="S32" i="10"/>
  <c r="S24" i="10"/>
  <c r="S23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N87" i="10"/>
  <c r="M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81" i="10"/>
  <c r="N79" i="10"/>
  <c r="M79" i="10"/>
  <c r="L79" i="10"/>
  <c r="N78" i="10"/>
  <c r="M78" i="10"/>
  <c r="L78" i="10"/>
  <c r="N77" i="10"/>
  <c r="M77" i="10"/>
  <c r="L77" i="10"/>
  <c r="N76" i="10"/>
  <c r="N75" i="10"/>
  <c r="M75" i="10"/>
  <c r="L75" i="10"/>
  <c r="N74" i="10"/>
  <c r="M74" i="10"/>
  <c r="L74" i="10"/>
  <c r="N73" i="10"/>
  <c r="M73" i="10"/>
  <c r="L73" i="10"/>
  <c r="N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N49" i="10"/>
  <c r="M49" i="10"/>
  <c r="L49" i="10"/>
  <c r="N48" i="10"/>
  <c r="M48" i="10"/>
  <c r="L48" i="10"/>
  <c r="N47" i="10"/>
  <c r="N46" i="10"/>
  <c r="M46" i="10"/>
  <c r="L46" i="10"/>
  <c r="N45" i="10"/>
  <c r="M45" i="10"/>
  <c r="L45" i="10"/>
  <c r="N44" i="10"/>
  <c r="M44" i="10"/>
  <c r="L44" i="10"/>
  <c r="N43" i="10"/>
  <c r="N42" i="10"/>
  <c r="N41" i="10"/>
  <c r="M41" i="10"/>
  <c r="L41" i="10"/>
  <c r="N40" i="10"/>
  <c r="N39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N13" i="10"/>
  <c r="P160" i="9"/>
  <c r="Q160" i="9"/>
  <c r="R160" i="9"/>
  <c r="T160" i="9"/>
  <c r="Q161" i="9"/>
  <c r="R161" i="9"/>
  <c r="P162" i="9"/>
  <c r="Q162" i="9"/>
  <c r="S162" i="9" s="1"/>
  <c r="R162" i="9"/>
  <c r="T162" i="9"/>
  <c r="P163" i="9"/>
  <c r="Q163" i="9"/>
  <c r="R163" i="9"/>
  <c r="T163" i="9"/>
  <c r="P164" i="9"/>
  <c r="Q164" i="9"/>
  <c r="R164" i="9"/>
  <c r="S164" i="9"/>
  <c r="T164" i="9"/>
  <c r="P165" i="9"/>
  <c r="S165" i="9" s="1"/>
  <c r="Q165" i="9"/>
  <c r="R165" i="9"/>
  <c r="T165" i="9"/>
  <c r="P166" i="9"/>
  <c r="Q166" i="9"/>
  <c r="S166" i="9" s="1"/>
  <c r="R166" i="9"/>
  <c r="T166" i="9"/>
  <c r="L162" i="9"/>
  <c r="M162" i="9"/>
  <c r="L163" i="9"/>
  <c r="M163" i="9"/>
  <c r="L164" i="9"/>
  <c r="M164" i="9"/>
  <c r="L165" i="9"/>
  <c r="M165" i="9"/>
  <c r="L166" i="9"/>
  <c r="M166" i="9"/>
  <c r="N161" i="9"/>
  <c r="M161" i="9"/>
  <c r="N160" i="9"/>
  <c r="M160" i="9"/>
  <c r="L160" i="9"/>
  <c r="N159" i="9"/>
  <c r="M159" i="9"/>
  <c r="L159" i="9"/>
  <c r="N158" i="9"/>
  <c r="M158" i="9"/>
  <c r="L158" i="9"/>
  <c r="N157" i="9"/>
  <c r="M157" i="9"/>
  <c r="L157" i="9"/>
  <c r="N156" i="9"/>
  <c r="M156" i="9"/>
  <c r="L156" i="9"/>
  <c r="N155" i="9"/>
  <c r="M155" i="9"/>
  <c r="L155" i="9"/>
  <c r="N154" i="9"/>
  <c r="M154" i="9"/>
  <c r="L154" i="9"/>
  <c r="N153" i="9"/>
  <c r="M153" i="9"/>
  <c r="L153" i="9"/>
  <c r="N152" i="9"/>
  <c r="M152" i="9"/>
  <c r="L152" i="9"/>
  <c r="N151" i="9"/>
  <c r="M151" i="9"/>
  <c r="L151" i="9"/>
  <c r="N150" i="9"/>
  <c r="M150" i="9"/>
  <c r="L150" i="9"/>
  <c r="N149" i="9"/>
  <c r="M149" i="9"/>
  <c r="L149" i="9"/>
  <c r="N148" i="9"/>
  <c r="M148" i="9"/>
  <c r="L148" i="9"/>
  <c r="N147" i="9"/>
  <c r="M147" i="9"/>
  <c r="L147" i="9"/>
  <c r="N146" i="9"/>
  <c r="M146" i="9"/>
  <c r="N141" i="9"/>
  <c r="M141" i="9"/>
  <c r="L141" i="9"/>
  <c r="N140" i="9"/>
  <c r="M140" i="9"/>
  <c r="L140" i="9"/>
  <c r="N139" i="9"/>
  <c r="M139" i="9"/>
  <c r="L139" i="9"/>
  <c r="N138" i="9"/>
  <c r="M138" i="9"/>
  <c r="L138" i="9"/>
  <c r="N137" i="9"/>
  <c r="M137" i="9"/>
  <c r="L137" i="9"/>
  <c r="N136" i="9"/>
  <c r="M136" i="9"/>
  <c r="L136" i="9"/>
  <c r="N135" i="9"/>
  <c r="N133" i="9"/>
  <c r="M133" i="9"/>
  <c r="L133" i="9"/>
  <c r="N132" i="9"/>
  <c r="M132" i="9"/>
  <c r="L132" i="9"/>
  <c r="N131" i="9"/>
  <c r="M131" i="9"/>
  <c r="L131" i="9"/>
  <c r="N130" i="9"/>
  <c r="M130" i="9"/>
  <c r="N129" i="9"/>
  <c r="N127" i="9"/>
  <c r="M127" i="9"/>
  <c r="L127" i="9"/>
  <c r="N126" i="9"/>
  <c r="M126" i="9"/>
  <c r="L126" i="9"/>
  <c r="N125" i="9"/>
  <c r="M125" i="9"/>
  <c r="L125" i="9"/>
  <c r="N124" i="9"/>
  <c r="M124" i="9"/>
  <c r="L124" i="9"/>
  <c r="N123" i="9"/>
  <c r="M123" i="9"/>
  <c r="L123" i="9"/>
  <c r="N122" i="9"/>
  <c r="M122" i="9"/>
  <c r="N121" i="9"/>
  <c r="M121" i="9"/>
  <c r="L121" i="9"/>
  <c r="N120" i="9"/>
  <c r="N118" i="9"/>
  <c r="M118" i="9"/>
  <c r="L118" i="9"/>
  <c r="N117" i="9"/>
  <c r="M117" i="9"/>
  <c r="L117" i="9"/>
  <c r="N116" i="9"/>
  <c r="M116" i="9"/>
  <c r="N115" i="9"/>
  <c r="M115" i="9"/>
  <c r="L115" i="9"/>
  <c r="N114" i="9"/>
  <c r="M114" i="9"/>
  <c r="L114" i="9"/>
  <c r="N113" i="9"/>
  <c r="M113" i="9"/>
  <c r="L113" i="9"/>
  <c r="N112" i="9"/>
  <c r="M112" i="9"/>
  <c r="L112" i="9"/>
  <c r="N111" i="9"/>
  <c r="M111" i="9"/>
  <c r="L111" i="9"/>
  <c r="N110" i="9"/>
  <c r="M110" i="9"/>
  <c r="L110" i="9"/>
  <c r="N109" i="9"/>
  <c r="M109" i="9"/>
  <c r="L109" i="9"/>
  <c r="N108" i="9"/>
  <c r="M108" i="9"/>
  <c r="L108" i="9"/>
  <c r="N107" i="9"/>
  <c r="M107" i="9"/>
  <c r="L107" i="9"/>
  <c r="N106" i="9"/>
  <c r="N92" i="9"/>
  <c r="M92" i="9"/>
  <c r="L92" i="9"/>
  <c r="N91" i="9"/>
  <c r="M91" i="9"/>
  <c r="L91" i="9"/>
  <c r="N90" i="9"/>
  <c r="M90" i="9"/>
  <c r="L90" i="9"/>
  <c r="N89" i="9"/>
  <c r="M89" i="9"/>
  <c r="L89" i="9"/>
  <c r="N88" i="9"/>
  <c r="M88" i="9"/>
  <c r="L88" i="9"/>
  <c r="N87" i="9"/>
  <c r="M87" i="9"/>
  <c r="L87" i="9"/>
  <c r="N86" i="9"/>
  <c r="M86" i="9"/>
  <c r="L86" i="9"/>
  <c r="N85" i="9"/>
  <c r="M85" i="9"/>
  <c r="L85" i="9"/>
  <c r="N84" i="9"/>
  <c r="M84" i="9"/>
  <c r="L84" i="9"/>
  <c r="N83" i="9"/>
  <c r="M83" i="9"/>
  <c r="L83" i="9"/>
  <c r="N82" i="9"/>
  <c r="M82" i="9"/>
  <c r="L82" i="9"/>
  <c r="N81" i="9"/>
  <c r="N78" i="9"/>
  <c r="M78" i="9"/>
  <c r="L78" i="9"/>
  <c r="N77" i="9"/>
  <c r="M77" i="9"/>
  <c r="L77" i="9"/>
  <c r="N76" i="9"/>
  <c r="M76" i="9"/>
  <c r="L76" i="9"/>
  <c r="N75" i="9"/>
  <c r="M75" i="9"/>
  <c r="L75" i="9"/>
  <c r="N74" i="9"/>
  <c r="M74" i="9"/>
  <c r="L74" i="9"/>
  <c r="N72" i="9"/>
  <c r="M72" i="9"/>
  <c r="L72" i="9"/>
  <c r="N71" i="9"/>
  <c r="M71" i="9"/>
  <c r="L71" i="9"/>
  <c r="N70" i="9"/>
  <c r="M70" i="9"/>
  <c r="L70" i="9"/>
  <c r="N69" i="9"/>
  <c r="M69" i="9"/>
  <c r="L69" i="9"/>
  <c r="N68" i="9"/>
  <c r="M68" i="9"/>
  <c r="L68" i="9"/>
  <c r="N67" i="9"/>
  <c r="M67" i="9"/>
  <c r="L67" i="9"/>
  <c r="N66" i="9"/>
  <c r="M66" i="9"/>
  <c r="L66" i="9"/>
  <c r="N65" i="9"/>
  <c r="M65" i="9"/>
  <c r="L65" i="9"/>
  <c r="N64" i="9"/>
  <c r="M64" i="9"/>
  <c r="L64" i="9"/>
  <c r="N63" i="9"/>
  <c r="M63" i="9"/>
  <c r="L63" i="9"/>
  <c r="N62" i="9"/>
  <c r="M62" i="9"/>
  <c r="L62" i="9"/>
  <c r="N61" i="9"/>
  <c r="M61" i="9"/>
  <c r="L61" i="9"/>
  <c r="N60" i="9"/>
  <c r="M60" i="9"/>
  <c r="L60" i="9"/>
  <c r="N59" i="9"/>
  <c r="M59" i="9"/>
  <c r="L59" i="9"/>
  <c r="N58" i="9"/>
  <c r="M58" i="9"/>
  <c r="L58" i="9"/>
  <c r="N56" i="9"/>
  <c r="M56" i="9"/>
  <c r="L56" i="9"/>
  <c r="N54" i="9"/>
  <c r="M54" i="9"/>
  <c r="L54" i="9"/>
  <c r="N51" i="9"/>
  <c r="M51" i="9"/>
  <c r="L51" i="9"/>
  <c r="N47" i="9"/>
  <c r="M47" i="9"/>
  <c r="L47" i="9"/>
  <c r="N44" i="9"/>
  <c r="M44" i="9"/>
  <c r="L44" i="9"/>
  <c r="N43" i="9"/>
  <c r="M43" i="9"/>
  <c r="L43" i="9"/>
  <c r="N42" i="9"/>
  <c r="M42" i="9"/>
  <c r="L42" i="9"/>
  <c r="N41" i="9"/>
  <c r="M41" i="9"/>
  <c r="L41" i="9"/>
  <c r="N40" i="9"/>
  <c r="M40" i="9"/>
  <c r="L40" i="9"/>
  <c r="N36" i="9"/>
  <c r="M36" i="9"/>
  <c r="L36" i="9"/>
  <c r="N34" i="9"/>
  <c r="M34" i="9"/>
  <c r="L34" i="9"/>
  <c r="N33" i="9"/>
  <c r="M33" i="9"/>
  <c r="L33" i="9"/>
  <c r="N32" i="9"/>
  <c r="N27" i="9"/>
  <c r="M27" i="9"/>
  <c r="L27" i="9"/>
  <c r="N26" i="9"/>
  <c r="M26" i="9"/>
  <c r="L26" i="9"/>
  <c r="N25" i="9"/>
  <c r="M25" i="9"/>
  <c r="L25" i="9"/>
  <c r="N24" i="9"/>
  <c r="M24" i="9"/>
  <c r="L24" i="9"/>
  <c r="N23" i="9"/>
  <c r="M23" i="9"/>
  <c r="N22" i="9"/>
  <c r="M22" i="9"/>
  <c r="L22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N13" i="9"/>
  <c r="N15" i="9"/>
  <c r="M15" i="9"/>
  <c r="L15" i="9"/>
  <c r="S140" i="9"/>
  <c r="S139" i="9"/>
  <c r="S138" i="9"/>
  <c r="S137" i="9"/>
  <c r="S136" i="9"/>
  <c r="S117" i="9"/>
  <c r="S114" i="9"/>
  <c r="S113" i="9"/>
  <c r="S111" i="9"/>
  <c r="S110" i="9"/>
  <c r="S109" i="9"/>
  <c r="S108" i="9"/>
  <c r="S103" i="9"/>
  <c r="S102" i="9"/>
  <c r="S101" i="9"/>
  <c r="S100" i="9"/>
  <c r="S99" i="9"/>
  <c r="S98" i="9"/>
  <c r="S97" i="9"/>
  <c r="S96" i="9"/>
  <c r="S95" i="9"/>
  <c r="S94" i="9"/>
  <c r="S93" i="9"/>
  <c r="S91" i="9"/>
  <c r="S90" i="9"/>
  <c r="S89" i="9"/>
  <c r="S88" i="9"/>
  <c r="S87" i="9"/>
  <c r="S86" i="9"/>
  <c r="S85" i="9"/>
  <c r="S84" i="9"/>
  <c r="S83" i="9"/>
  <c r="S79" i="9"/>
  <c r="S33" i="9"/>
  <c r="S24" i="9"/>
  <c r="S14" i="9"/>
  <c r="S94" i="2"/>
  <c r="S93" i="2"/>
  <c r="S87" i="2"/>
  <c r="S86" i="2"/>
  <c r="S82" i="2"/>
  <c r="S81" i="2"/>
  <c r="S70" i="2"/>
  <c r="S69" i="2"/>
  <c r="S68" i="2"/>
  <c r="S65" i="2"/>
  <c r="S63" i="2"/>
  <c r="S61" i="2"/>
  <c r="S60" i="2"/>
  <c r="S47" i="2"/>
  <c r="S40" i="2"/>
  <c r="S39" i="2"/>
  <c r="S38" i="2"/>
  <c r="S27" i="2"/>
  <c r="S26" i="2"/>
  <c r="S25" i="2"/>
  <c r="S24" i="2"/>
  <c r="S14" i="2"/>
  <c r="S97" i="3"/>
  <c r="S96" i="3"/>
  <c r="S94" i="3"/>
  <c r="S93" i="3"/>
  <c r="S89" i="3"/>
  <c r="S88" i="3"/>
  <c r="S87" i="3"/>
  <c r="S86" i="3"/>
  <c r="S82" i="3"/>
  <c r="S80" i="3"/>
  <c r="S79" i="3"/>
  <c r="S78" i="3"/>
  <c r="S77" i="3"/>
  <c r="S76" i="3"/>
  <c r="S74" i="3"/>
  <c r="S71" i="3"/>
  <c r="S70" i="3"/>
  <c r="S69" i="3"/>
  <c r="S66" i="3"/>
  <c r="S64" i="3"/>
  <c r="S62" i="3"/>
  <c r="S61" i="3"/>
  <c r="S60" i="3"/>
  <c r="S58" i="3"/>
  <c r="S57" i="3"/>
  <c r="S56" i="3"/>
  <c r="S55" i="3"/>
  <c r="S54" i="3"/>
  <c r="S53" i="3"/>
  <c r="S52" i="3"/>
  <c r="S51" i="3"/>
  <c r="S41" i="3"/>
  <c r="S40" i="3"/>
  <c r="S39" i="3"/>
  <c r="S38" i="3"/>
  <c r="S29" i="3"/>
  <c r="S14" i="3"/>
  <c r="S94" i="4"/>
  <c r="S93" i="4"/>
  <c r="S88" i="4"/>
  <c r="S87" i="4"/>
  <c r="S86" i="4"/>
  <c r="S85" i="4"/>
  <c r="S82" i="4"/>
  <c r="S81" i="4"/>
  <c r="S70" i="4"/>
  <c r="S69" i="4"/>
  <c r="S68" i="4"/>
  <c r="S61" i="4"/>
  <c r="S60" i="4"/>
  <c r="S59" i="4"/>
  <c r="S56" i="4"/>
  <c r="S55" i="4"/>
  <c r="S54" i="4"/>
  <c r="S53" i="4"/>
  <c r="S52" i="4"/>
  <c r="S51" i="4"/>
  <c r="S50" i="4"/>
  <c r="S47" i="4"/>
  <c r="S40" i="4"/>
  <c r="S39" i="4"/>
  <c r="S38" i="4"/>
  <c r="S94" i="7"/>
  <c r="S93" i="7"/>
  <c r="S86" i="7"/>
  <c r="S85" i="7"/>
  <c r="S82" i="7"/>
  <c r="S81" i="7"/>
  <c r="S79" i="7"/>
  <c r="S78" i="7"/>
  <c r="S77" i="7"/>
  <c r="S76" i="7"/>
  <c r="S70" i="7"/>
  <c r="S69" i="7"/>
  <c r="S68" i="7"/>
  <c r="S65" i="7"/>
  <c r="S47" i="7"/>
  <c r="S40" i="7"/>
  <c r="S39" i="7"/>
  <c r="S38" i="7"/>
  <c r="S37" i="7"/>
  <c r="S31" i="7"/>
  <c r="S28" i="7"/>
  <c r="S27" i="7"/>
  <c r="S94" i="6"/>
  <c r="S93" i="6"/>
  <c r="S88" i="6"/>
  <c r="S85" i="6"/>
  <c r="S82" i="6"/>
  <c r="S70" i="6"/>
  <c r="S68" i="6"/>
  <c r="S65" i="6"/>
  <c r="S47" i="6"/>
  <c r="S45" i="6"/>
  <c r="S44" i="6"/>
  <c r="S43" i="6"/>
  <c r="S40" i="6"/>
  <c r="S39" i="6"/>
  <c r="S38" i="6"/>
  <c r="S37" i="6"/>
  <c r="S31" i="6"/>
  <c r="S28" i="6"/>
  <c r="S97" i="5"/>
  <c r="S88" i="5"/>
  <c r="S87" i="5"/>
  <c r="S86" i="5"/>
  <c r="S85" i="5"/>
  <c r="S82" i="5"/>
  <c r="S81" i="5"/>
  <c r="S70" i="5"/>
  <c r="S65" i="5"/>
  <c r="S61" i="5"/>
  <c r="S60" i="5"/>
  <c r="S59" i="5"/>
  <c r="S47" i="5"/>
  <c r="S40" i="5"/>
  <c r="S39" i="5"/>
  <c r="N102" i="4"/>
  <c r="N101" i="4"/>
  <c r="M101" i="4"/>
  <c r="L101" i="4"/>
  <c r="N100" i="4"/>
  <c r="M100" i="4"/>
  <c r="L100" i="4"/>
  <c r="N99" i="4"/>
  <c r="N98" i="4"/>
  <c r="M98" i="4"/>
  <c r="L98" i="4"/>
  <c r="N97" i="4"/>
  <c r="M97" i="4"/>
  <c r="L97" i="4"/>
  <c r="N96" i="4"/>
  <c r="M96" i="4"/>
  <c r="L96" i="4"/>
  <c r="N95" i="4"/>
  <c r="N94" i="4"/>
  <c r="M94" i="4"/>
  <c r="L94" i="4"/>
  <c r="N93" i="4"/>
  <c r="M93" i="4"/>
  <c r="L93" i="4"/>
  <c r="N89" i="4"/>
  <c r="N88" i="4"/>
  <c r="M88" i="4"/>
  <c r="L88" i="4"/>
  <c r="N87" i="4"/>
  <c r="M87" i="4"/>
  <c r="L87" i="4"/>
  <c r="N86" i="4"/>
  <c r="M86" i="4"/>
  <c r="L86" i="4"/>
  <c r="N85" i="4"/>
  <c r="M85" i="4"/>
  <c r="L85" i="4"/>
  <c r="N84" i="4"/>
  <c r="M84" i="4"/>
  <c r="L84" i="4"/>
  <c r="N83" i="4"/>
  <c r="N82" i="4"/>
  <c r="M82" i="4"/>
  <c r="L82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M74" i="4"/>
  <c r="L74" i="4"/>
  <c r="N73" i="4"/>
  <c r="M73" i="4"/>
  <c r="L73" i="4"/>
  <c r="N72" i="4"/>
  <c r="M72" i="4"/>
  <c r="L72" i="4"/>
  <c r="N71" i="4"/>
  <c r="N70" i="4"/>
  <c r="M70" i="4"/>
  <c r="L70" i="4"/>
  <c r="N69" i="4"/>
  <c r="M69" i="4"/>
  <c r="L69" i="4"/>
  <c r="N68" i="4"/>
  <c r="M68" i="4"/>
  <c r="L68" i="4"/>
  <c r="N67" i="4"/>
  <c r="M67" i="4"/>
  <c r="L67" i="4"/>
  <c r="N66" i="4"/>
  <c r="N65" i="4"/>
  <c r="M65" i="4"/>
  <c r="L65" i="4"/>
  <c r="N64" i="4"/>
  <c r="M64" i="4"/>
  <c r="L64" i="4"/>
  <c r="N63" i="4"/>
  <c r="M63" i="4"/>
  <c r="L63" i="4"/>
  <c r="N62" i="4"/>
  <c r="M62" i="4"/>
  <c r="L62" i="4"/>
  <c r="N61" i="4"/>
  <c r="M61" i="4"/>
  <c r="L61" i="4"/>
  <c r="N60" i="4"/>
  <c r="M60" i="4"/>
  <c r="L60" i="4"/>
  <c r="N59" i="4"/>
  <c r="M59" i="4"/>
  <c r="L59" i="4"/>
  <c r="N58" i="4"/>
  <c r="M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M53" i="4"/>
  <c r="L53" i="4"/>
  <c r="N52" i="4"/>
  <c r="M52" i="4"/>
  <c r="L52" i="4"/>
  <c r="N51" i="4"/>
  <c r="M51" i="4"/>
  <c r="L51" i="4"/>
  <c r="N50" i="4"/>
  <c r="M50" i="4"/>
  <c r="L50" i="4"/>
  <c r="N49" i="4"/>
  <c r="M49" i="4"/>
  <c r="L49" i="4"/>
  <c r="N48" i="4"/>
  <c r="N47" i="4"/>
  <c r="M47" i="4"/>
  <c r="L47" i="4"/>
  <c r="N46" i="4"/>
  <c r="M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N32" i="4"/>
  <c r="N30" i="4"/>
  <c r="M30" i="4"/>
  <c r="L30" i="4"/>
  <c r="N29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N102" i="5"/>
  <c r="N101" i="5"/>
  <c r="M101" i="5"/>
  <c r="L101" i="5"/>
  <c r="N100" i="5"/>
  <c r="M100" i="5"/>
  <c r="L100" i="5"/>
  <c r="N99" i="5"/>
  <c r="N98" i="5"/>
  <c r="M98" i="5"/>
  <c r="L98" i="5"/>
  <c r="N97" i="5"/>
  <c r="M97" i="5"/>
  <c r="L97" i="5"/>
  <c r="N96" i="5"/>
  <c r="M96" i="5"/>
  <c r="L96" i="5"/>
  <c r="N95" i="5"/>
  <c r="N94" i="5"/>
  <c r="M94" i="5"/>
  <c r="L94" i="5"/>
  <c r="N93" i="5"/>
  <c r="N89" i="5"/>
  <c r="N87" i="5"/>
  <c r="M87" i="5"/>
  <c r="L87" i="5"/>
  <c r="N86" i="5"/>
  <c r="M86" i="5"/>
  <c r="L86" i="5"/>
  <c r="N84" i="5"/>
  <c r="M84" i="5"/>
  <c r="L84" i="5"/>
  <c r="N83" i="5"/>
  <c r="N82" i="5"/>
  <c r="M82" i="5"/>
  <c r="L82" i="5"/>
  <c r="N80" i="5"/>
  <c r="M80" i="5"/>
  <c r="L80" i="5"/>
  <c r="N74" i="5"/>
  <c r="M74" i="5"/>
  <c r="L74" i="5"/>
  <c r="N72" i="5"/>
  <c r="M72" i="5"/>
  <c r="L72" i="5"/>
  <c r="N71" i="5"/>
  <c r="N69" i="5"/>
  <c r="M69" i="5"/>
  <c r="L69" i="5"/>
  <c r="N67" i="5"/>
  <c r="M67" i="5"/>
  <c r="L67" i="5"/>
  <c r="N66" i="5"/>
  <c r="N64" i="5"/>
  <c r="M64" i="5"/>
  <c r="L64" i="5"/>
  <c r="N62" i="5"/>
  <c r="M62" i="5"/>
  <c r="L62" i="5"/>
  <c r="N60" i="5"/>
  <c r="M60" i="5"/>
  <c r="L60" i="5"/>
  <c r="N58" i="5"/>
  <c r="M58" i="5"/>
  <c r="L58" i="5"/>
  <c r="N56" i="5"/>
  <c r="M56" i="5"/>
  <c r="L56" i="5"/>
  <c r="N53" i="5"/>
  <c r="M53" i="5"/>
  <c r="L53" i="5"/>
  <c r="N49" i="5"/>
  <c r="M49" i="5"/>
  <c r="L49" i="5"/>
  <c r="N48" i="5"/>
  <c r="N46" i="5"/>
  <c r="M46" i="5"/>
  <c r="L46" i="5"/>
  <c r="N45" i="5"/>
  <c r="M45" i="5"/>
  <c r="L45" i="5"/>
  <c r="N42" i="5"/>
  <c r="M42" i="5"/>
  <c r="L42" i="5"/>
  <c r="N41" i="5"/>
  <c r="N36" i="5"/>
  <c r="M36" i="5"/>
  <c r="L36" i="5"/>
  <c r="N34" i="5"/>
  <c r="M34" i="5"/>
  <c r="L34" i="5"/>
  <c r="N33" i="5"/>
  <c r="N32" i="5"/>
  <c r="N30" i="5"/>
  <c r="M30" i="5"/>
  <c r="L30" i="5"/>
  <c r="N29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02" i="6"/>
  <c r="N101" i="6"/>
  <c r="M101" i="6"/>
  <c r="L101" i="6"/>
  <c r="N100" i="6"/>
  <c r="M100" i="6"/>
  <c r="N99" i="6"/>
  <c r="N98" i="6"/>
  <c r="M98" i="6"/>
  <c r="L98" i="6"/>
  <c r="N97" i="6"/>
  <c r="M97" i="6"/>
  <c r="L97" i="6"/>
  <c r="N96" i="6"/>
  <c r="M96" i="6"/>
  <c r="L96" i="6"/>
  <c r="N95" i="6"/>
  <c r="N94" i="6"/>
  <c r="M94" i="6"/>
  <c r="L94" i="6"/>
  <c r="N93" i="6"/>
  <c r="M93" i="6"/>
  <c r="L93" i="6"/>
  <c r="N89" i="6"/>
  <c r="N88" i="6"/>
  <c r="M88" i="6"/>
  <c r="L88" i="6"/>
  <c r="N87" i="6"/>
  <c r="M87" i="6"/>
  <c r="L87" i="6"/>
  <c r="N86" i="6"/>
  <c r="N85" i="6"/>
  <c r="M85" i="6"/>
  <c r="L85" i="6"/>
  <c r="N84" i="6"/>
  <c r="M84" i="6"/>
  <c r="L84" i="6"/>
  <c r="N83" i="6"/>
  <c r="N80" i="6"/>
  <c r="M80" i="6"/>
  <c r="L80" i="6"/>
  <c r="N79" i="6"/>
  <c r="M79" i="6"/>
  <c r="L79" i="6"/>
  <c r="N78" i="6"/>
  <c r="M78" i="6"/>
  <c r="L78" i="6"/>
  <c r="N77" i="6"/>
  <c r="M77" i="6"/>
  <c r="L77" i="6"/>
  <c r="N76" i="6"/>
  <c r="M76" i="6"/>
  <c r="L76" i="6"/>
  <c r="N75" i="6"/>
  <c r="M75" i="6"/>
  <c r="L75" i="6"/>
  <c r="N74" i="6"/>
  <c r="M74" i="6"/>
  <c r="L74" i="6"/>
  <c r="N73" i="6"/>
  <c r="M73" i="6"/>
  <c r="L73" i="6"/>
  <c r="N72" i="6"/>
  <c r="M72" i="6"/>
  <c r="L72" i="6"/>
  <c r="N71" i="6"/>
  <c r="N70" i="6"/>
  <c r="M70" i="6"/>
  <c r="L70" i="6"/>
  <c r="N69" i="6"/>
  <c r="M69" i="6"/>
  <c r="L69" i="6"/>
  <c r="N68" i="6"/>
  <c r="M68" i="6"/>
  <c r="L68" i="6"/>
  <c r="N67" i="6"/>
  <c r="M67" i="6"/>
  <c r="L67" i="6"/>
  <c r="N66" i="6"/>
  <c r="N65" i="6"/>
  <c r="M65" i="6"/>
  <c r="L65" i="6"/>
  <c r="N64" i="6"/>
  <c r="M64" i="6"/>
  <c r="L64" i="6"/>
  <c r="N63" i="6"/>
  <c r="M63" i="6"/>
  <c r="L63" i="6"/>
  <c r="N62" i="6"/>
  <c r="M62" i="6"/>
  <c r="L62" i="6"/>
  <c r="N61" i="6"/>
  <c r="M61" i="6"/>
  <c r="L61" i="6"/>
  <c r="N60" i="6"/>
  <c r="M60" i="6"/>
  <c r="L60" i="6"/>
  <c r="N59" i="6"/>
  <c r="M59" i="6"/>
  <c r="L59" i="6"/>
  <c r="N58" i="6"/>
  <c r="M58" i="6"/>
  <c r="L58" i="6"/>
  <c r="N57" i="6"/>
  <c r="M57" i="6"/>
  <c r="L57" i="6"/>
  <c r="N56" i="6"/>
  <c r="M56" i="6"/>
  <c r="L56" i="6"/>
  <c r="N55" i="6"/>
  <c r="M55" i="6"/>
  <c r="L55" i="6"/>
  <c r="N54" i="6"/>
  <c r="M54" i="6"/>
  <c r="L54" i="6"/>
  <c r="N53" i="6"/>
  <c r="M53" i="6"/>
  <c r="L53" i="6"/>
  <c r="N52" i="6"/>
  <c r="M52" i="6"/>
  <c r="L52" i="6"/>
  <c r="N51" i="6"/>
  <c r="M51" i="6"/>
  <c r="L51" i="6"/>
  <c r="N50" i="6"/>
  <c r="M50" i="6"/>
  <c r="L50" i="6"/>
  <c r="N49" i="6"/>
  <c r="M49" i="6"/>
  <c r="L49" i="6"/>
  <c r="N48" i="6"/>
  <c r="N47" i="6"/>
  <c r="M47" i="6"/>
  <c r="L47" i="6"/>
  <c r="N46" i="6"/>
  <c r="M46" i="6"/>
  <c r="L46" i="6"/>
  <c r="L43" i="6"/>
  <c r="M43" i="6"/>
  <c r="N43" i="6"/>
  <c r="L44" i="6"/>
  <c r="M44" i="6"/>
  <c r="N44" i="6"/>
  <c r="L45" i="6"/>
  <c r="M45" i="6"/>
  <c r="N45" i="6"/>
  <c r="L37" i="6"/>
  <c r="M37" i="6"/>
  <c r="N37" i="6"/>
  <c r="L38" i="6"/>
  <c r="M38" i="6"/>
  <c r="N38" i="6"/>
  <c r="L39" i="6"/>
  <c r="M39" i="6"/>
  <c r="N39" i="6"/>
  <c r="L40" i="6"/>
  <c r="M40" i="6"/>
  <c r="N40" i="6"/>
  <c r="R47" i="6"/>
  <c r="Q47" i="6"/>
  <c r="P47" i="6"/>
  <c r="R46" i="6"/>
  <c r="Q46" i="6"/>
  <c r="P46" i="6"/>
  <c r="S46" i="6" s="1"/>
  <c r="R45" i="6"/>
  <c r="Q45" i="6"/>
  <c r="P45" i="6"/>
  <c r="R44" i="6"/>
  <c r="Q44" i="6"/>
  <c r="P44" i="6"/>
  <c r="R43" i="6"/>
  <c r="Q43" i="6"/>
  <c r="P43" i="6"/>
  <c r="R42" i="6"/>
  <c r="Q42" i="6"/>
  <c r="P42" i="6"/>
  <c r="N42" i="6"/>
  <c r="M42" i="6"/>
  <c r="L42" i="6"/>
  <c r="N41" i="6"/>
  <c r="R40" i="6"/>
  <c r="Q40" i="6"/>
  <c r="P40" i="6"/>
  <c r="R39" i="6"/>
  <c r="Q39" i="6"/>
  <c r="P39" i="6"/>
  <c r="R38" i="6"/>
  <c r="Q38" i="6"/>
  <c r="P38" i="6"/>
  <c r="R37" i="6"/>
  <c r="Q37" i="6"/>
  <c r="P37" i="6"/>
  <c r="R36" i="6"/>
  <c r="Q36" i="6"/>
  <c r="P36" i="6"/>
  <c r="N36" i="6"/>
  <c r="M36" i="6"/>
  <c r="L36" i="6"/>
  <c r="R35" i="6"/>
  <c r="Q35" i="6"/>
  <c r="P35" i="6"/>
  <c r="N35" i="6"/>
  <c r="M35" i="6"/>
  <c r="L35" i="6"/>
  <c r="R34" i="6"/>
  <c r="Q34" i="6"/>
  <c r="P34" i="6"/>
  <c r="N34" i="6"/>
  <c r="M34" i="6"/>
  <c r="L34" i="6"/>
  <c r="N33" i="6"/>
  <c r="N32" i="6"/>
  <c r="R30" i="6"/>
  <c r="Q30" i="6"/>
  <c r="P30" i="6"/>
  <c r="N30" i="6"/>
  <c r="M30" i="6"/>
  <c r="L30" i="6"/>
  <c r="N29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P15" i="6"/>
  <c r="S15" i="6" s="1"/>
  <c r="Q15" i="6"/>
  <c r="R15" i="6"/>
  <c r="P16" i="6"/>
  <c r="Q16" i="6"/>
  <c r="R16" i="6"/>
  <c r="T16" i="6"/>
  <c r="P17" i="6"/>
  <c r="Q17" i="6"/>
  <c r="R17" i="6"/>
  <c r="T17" i="6"/>
  <c r="P18" i="6"/>
  <c r="Q18" i="6"/>
  <c r="R18" i="6"/>
  <c r="T18" i="6"/>
  <c r="P19" i="6"/>
  <c r="Q19" i="6"/>
  <c r="R19" i="6"/>
  <c r="P20" i="6"/>
  <c r="Q20" i="6"/>
  <c r="R20" i="6"/>
  <c r="P21" i="6"/>
  <c r="Q21" i="6"/>
  <c r="R21" i="6"/>
  <c r="P22" i="6"/>
  <c r="Q22" i="6"/>
  <c r="R22" i="6"/>
  <c r="T22" i="6"/>
  <c r="P23" i="6"/>
  <c r="Q23" i="6"/>
  <c r="R23" i="6"/>
  <c r="N15" i="6"/>
  <c r="M15" i="6"/>
  <c r="L15" i="6"/>
  <c r="N14" i="6"/>
  <c r="M14" i="6"/>
  <c r="L14" i="6"/>
  <c r="N13" i="6"/>
  <c r="P31" i="7"/>
  <c r="N93" i="7"/>
  <c r="L93" i="7"/>
  <c r="N84" i="7"/>
  <c r="M84" i="7"/>
  <c r="L84" i="7"/>
  <c r="N102" i="7"/>
  <c r="N101" i="7"/>
  <c r="M101" i="7"/>
  <c r="L101" i="7"/>
  <c r="N100" i="7"/>
  <c r="M100" i="7"/>
  <c r="N99" i="7"/>
  <c r="N98" i="7"/>
  <c r="M98" i="7"/>
  <c r="L98" i="7"/>
  <c r="N97" i="7"/>
  <c r="M97" i="7"/>
  <c r="L97" i="7"/>
  <c r="N96" i="7"/>
  <c r="M96" i="7"/>
  <c r="L96" i="7"/>
  <c r="N95" i="7"/>
  <c r="N86" i="7"/>
  <c r="M86" i="7"/>
  <c r="L86" i="7"/>
  <c r="N80" i="7"/>
  <c r="M80" i="7"/>
  <c r="L80" i="7"/>
  <c r="N79" i="7"/>
  <c r="M79" i="7"/>
  <c r="L79" i="7"/>
  <c r="N78" i="7"/>
  <c r="M78" i="7"/>
  <c r="L78" i="7"/>
  <c r="N77" i="7"/>
  <c r="M77" i="7"/>
  <c r="L77" i="7"/>
  <c r="N76" i="7"/>
  <c r="M76" i="7"/>
  <c r="L76" i="7"/>
  <c r="N75" i="7"/>
  <c r="M75" i="7"/>
  <c r="L75" i="7"/>
  <c r="N74" i="7"/>
  <c r="M74" i="7"/>
  <c r="L74" i="7"/>
  <c r="N73" i="7"/>
  <c r="M73" i="7"/>
  <c r="L73" i="7"/>
  <c r="N72" i="7"/>
  <c r="M72" i="7"/>
  <c r="L72" i="7"/>
  <c r="N70" i="7"/>
  <c r="M70" i="7"/>
  <c r="L70" i="7"/>
  <c r="N69" i="7"/>
  <c r="M69" i="7"/>
  <c r="L69" i="7"/>
  <c r="N68" i="7"/>
  <c r="M68" i="7"/>
  <c r="L68" i="7"/>
  <c r="N67" i="7"/>
  <c r="M67" i="7"/>
  <c r="L67" i="7"/>
  <c r="N71" i="7"/>
  <c r="N66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N48" i="7"/>
  <c r="L49" i="7"/>
  <c r="M49" i="7"/>
  <c r="N49" i="7"/>
  <c r="L50" i="7"/>
  <c r="M50" i="7"/>
  <c r="N50" i="7"/>
  <c r="N42" i="7"/>
  <c r="M42" i="7"/>
  <c r="L42" i="7"/>
  <c r="N41" i="7"/>
  <c r="N40" i="7"/>
  <c r="M40" i="7"/>
  <c r="L40" i="7"/>
  <c r="N39" i="7"/>
  <c r="M39" i="7"/>
  <c r="L39" i="7"/>
  <c r="N38" i="7"/>
  <c r="M38" i="7"/>
  <c r="L38" i="7"/>
  <c r="N37" i="7"/>
  <c r="M37" i="7"/>
  <c r="L37" i="7"/>
  <c r="N36" i="7"/>
  <c r="M36" i="7"/>
  <c r="L36" i="7"/>
  <c r="N35" i="7"/>
  <c r="M35" i="7"/>
  <c r="L35" i="7"/>
  <c r="N34" i="7"/>
  <c r="M34" i="7"/>
  <c r="L34" i="7"/>
  <c r="N33" i="7"/>
  <c r="N30" i="7"/>
  <c r="M30" i="7"/>
  <c r="L30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R57" i="17"/>
  <c r="Q57" i="17"/>
  <c r="P57" i="17"/>
  <c r="S57" i="17" s="1"/>
  <c r="T57" i="17" s="1"/>
  <c r="R56" i="17"/>
  <c r="Q56" i="17"/>
  <c r="P56" i="17"/>
  <c r="S56" i="17" s="1"/>
  <c r="R55" i="17"/>
  <c r="Q55" i="17"/>
  <c r="P55" i="17"/>
  <c r="S55" i="17" s="1"/>
  <c r="R53" i="17"/>
  <c r="Q53" i="17"/>
  <c r="P53" i="17"/>
  <c r="S53" i="17" s="1"/>
  <c r="R52" i="17"/>
  <c r="Q52" i="17"/>
  <c r="P52" i="17"/>
  <c r="S52" i="17" s="1"/>
  <c r="R51" i="17"/>
  <c r="Q51" i="17"/>
  <c r="P51" i="17"/>
  <c r="S51" i="17" s="1"/>
  <c r="S48" i="17"/>
  <c r="S47" i="17"/>
  <c r="S46" i="17"/>
  <c r="S44" i="17"/>
  <c r="P43" i="17"/>
  <c r="S43" i="17" s="1"/>
  <c r="P44" i="17"/>
  <c r="P46" i="17"/>
  <c r="P47" i="17"/>
  <c r="P48" i="17"/>
  <c r="R48" i="17"/>
  <c r="Q48" i="17"/>
  <c r="R47" i="17"/>
  <c r="Q47" i="17"/>
  <c r="R46" i="17"/>
  <c r="Q46" i="17"/>
  <c r="R44" i="17"/>
  <c r="Q44" i="17"/>
  <c r="R43" i="17"/>
  <c r="Q43" i="17"/>
  <c r="N192" i="17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6" i="17"/>
  <c r="M186" i="17"/>
  <c r="L186" i="17"/>
  <c r="N183" i="17"/>
  <c r="M183" i="17"/>
  <c r="L183" i="17"/>
  <c r="N182" i="17"/>
  <c r="M182" i="17"/>
  <c r="L182" i="17"/>
  <c r="N179" i="17"/>
  <c r="M179" i="17"/>
  <c r="L179" i="17"/>
  <c r="N178" i="17"/>
  <c r="M178" i="17"/>
  <c r="L178" i="17"/>
  <c r="N165" i="17"/>
  <c r="M165" i="17"/>
  <c r="L165" i="17"/>
  <c r="N164" i="17"/>
  <c r="M164" i="17"/>
  <c r="L164" i="17"/>
  <c r="N163" i="17"/>
  <c r="M163" i="17"/>
  <c r="L163" i="17"/>
  <c r="N161" i="17"/>
  <c r="M161" i="17"/>
  <c r="L161" i="17"/>
  <c r="N160" i="17"/>
  <c r="M160" i="17"/>
  <c r="L160" i="17"/>
  <c r="N159" i="17"/>
  <c r="M159" i="17"/>
  <c r="L159" i="17"/>
  <c r="N156" i="17"/>
  <c r="M156" i="17"/>
  <c r="L156" i="17"/>
  <c r="N155" i="17"/>
  <c r="M155" i="17"/>
  <c r="L155" i="17"/>
  <c r="N154" i="17"/>
  <c r="N152" i="17"/>
  <c r="M152" i="17"/>
  <c r="L152" i="17"/>
  <c r="N151" i="17"/>
  <c r="M151" i="17"/>
  <c r="L151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32" i="17"/>
  <c r="N129" i="17"/>
  <c r="M129" i="17"/>
  <c r="L129" i="17"/>
  <c r="N128" i="17"/>
  <c r="M128" i="17"/>
  <c r="L128" i="17"/>
  <c r="N127" i="17"/>
  <c r="M127" i="17"/>
  <c r="L127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5" i="17"/>
  <c r="M105" i="17"/>
  <c r="L105" i="17"/>
  <c r="N102" i="17"/>
  <c r="M102" i="17"/>
  <c r="L102" i="17"/>
  <c r="N101" i="17"/>
  <c r="M101" i="17"/>
  <c r="L101" i="17"/>
  <c r="N100" i="17"/>
  <c r="M100" i="17"/>
  <c r="L100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1" i="17"/>
  <c r="N80" i="17"/>
  <c r="M80" i="17"/>
  <c r="L80" i="17"/>
  <c r="N79" i="17"/>
  <c r="M79" i="17"/>
  <c r="L79" i="17"/>
  <c r="N78" i="17"/>
  <c r="M78" i="17"/>
  <c r="L78" i="17"/>
  <c r="N75" i="17"/>
  <c r="M75" i="17"/>
  <c r="L75" i="17"/>
  <c r="N74" i="17"/>
  <c r="M74" i="17"/>
  <c r="L74" i="17"/>
  <c r="N73" i="17"/>
  <c r="M73" i="17"/>
  <c r="L73" i="17"/>
  <c r="N71" i="17"/>
  <c r="M71" i="17"/>
  <c r="L71" i="17"/>
  <c r="N70" i="17"/>
  <c r="M70" i="17"/>
  <c r="L70" i="17"/>
  <c r="N67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51" i="17"/>
  <c r="M51" i="17"/>
  <c r="L51" i="17"/>
  <c r="N48" i="17"/>
  <c r="M48" i="17"/>
  <c r="L48" i="17"/>
  <c r="N47" i="17"/>
  <c r="M47" i="17"/>
  <c r="L47" i="17"/>
  <c r="N46" i="17"/>
  <c r="M46" i="17"/>
  <c r="L46" i="17"/>
  <c r="N44" i="17"/>
  <c r="M44" i="17"/>
  <c r="L44" i="17"/>
  <c r="N43" i="17"/>
  <c r="M43" i="17"/>
  <c r="L43" i="17"/>
  <c r="N41" i="17"/>
  <c r="N40" i="17"/>
  <c r="N29" i="17"/>
  <c r="N28" i="17"/>
  <c r="N27" i="17"/>
  <c r="N26" i="17"/>
  <c r="N25" i="17"/>
  <c r="N24" i="17"/>
  <c r="N20" i="17"/>
  <c r="P93" i="9"/>
  <c r="P94" i="9"/>
  <c r="S35" i="6" l="1"/>
  <c r="S30" i="6"/>
  <c r="S36" i="6"/>
  <c r="S34" i="6"/>
  <c r="S42" i="6"/>
  <c r="S21" i="6"/>
  <c r="T21" i="6" s="1"/>
  <c r="S19" i="6"/>
  <c r="T19" i="6" s="1"/>
  <c r="S17" i="6"/>
  <c r="V17" i="6" s="1"/>
  <c r="S22" i="6"/>
  <c r="V22" i="6" s="1"/>
  <c r="S18" i="6"/>
  <c r="V18" i="6" s="1"/>
  <c r="S160" i="9"/>
  <c r="S23" i="6"/>
  <c r="S16" i="6"/>
  <c r="V16" i="6" s="1"/>
  <c r="S20" i="6"/>
  <c r="T20" i="6" s="1"/>
  <c r="M81" i="10"/>
  <c r="S163" i="9"/>
  <c r="V19" i="6"/>
  <c r="T15" i="6"/>
  <c r="V15" i="6"/>
  <c r="V21" i="6" l="1"/>
  <c r="V20" i="6"/>
  <c r="V23" i="6"/>
  <c r="T23" i="6"/>
  <c r="I86" i="7"/>
  <c r="I71" i="7"/>
  <c r="I66" i="7"/>
  <c r="M66" i="7" s="1"/>
  <c r="I48" i="7"/>
  <c r="I41" i="7"/>
  <c r="M41" i="7" s="1"/>
  <c r="I33" i="7"/>
  <c r="M33" i="7" s="1"/>
  <c r="I32" i="7" l="1"/>
  <c r="M43" i="10"/>
  <c r="I40" i="10"/>
  <c r="E14" i="10"/>
  <c r="H71" i="7" l="1"/>
  <c r="L71" i="7" s="1"/>
  <c r="H66" i="7"/>
  <c r="L66" i="7" s="1"/>
  <c r="H48" i="7"/>
  <c r="L48" i="7" s="1"/>
  <c r="H41" i="7"/>
  <c r="L41" i="7" s="1"/>
  <c r="H33" i="7"/>
  <c r="D33" i="7"/>
  <c r="E33" i="7"/>
  <c r="F33" i="7"/>
  <c r="D41" i="7"/>
  <c r="E41" i="7"/>
  <c r="F41" i="7"/>
  <c r="D48" i="7"/>
  <c r="M48" i="7" s="1"/>
  <c r="E48" i="7"/>
  <c r="F48" i="7"/>
  <c r="D66" i="7"/>
  <c r="E66" i="7"/>
  <c r="F66" i="7"/>
  <c r="D71" i="7"/>
  <c r="M71" i="7" s="1"/>
  <c r="E71" i="7"/>
  <c r="F71" i="7"/>
  <c r="D83" i="7"/>
  <c r="E83" i="7"/>
  <c r="F83" i="7"/>
  <c r="D32" i="7" l="1"/>
  <c r="F32" i="7"/>
  <c r="E32" i="7"/>
  <c r="H32" i="7"/>
  <c r="D32" i="9"/>
  <c r="C95" i="6" l="1"/>
  <c r="C43" i="10" l="1"/>
  <c r="J50" i="19" l="1"/>
  <c r="J31" i="19"/>
  <c r="J18" i="19"/>
  <c r="D18" i="19"/>
  <c r="J5" i="19"/>
  <c r="E5" i="19"/>
  <c r="D5" i="19"/>
  <c r="D17" i="19" s="1"/>
  <c r="C26" i="7" l="1"/>
  <c r="C19" i="7"/>
  <c r="C19" i="6" l="1"/>
  <c r="J1" i="6" l="1"/>
  <c r="C19" i="5" l="1"/>
  <c r="C122" i="9" l="1"/>
  <c r="L122" i="9" s="1"/>
  <c r="C130" i="9"/>
  <c r="L130" i="9" s="1"/>
  <c r="C116" i="9"/>
  <c r="L116" i="9" s="1"/>
  <c r="C25" i="10" l="1"/>
  <c r="L25" i="10" s="1"/>
  <c r="C33" i="7" l="1"/>
  <c r="L33" i="7" s="1"/>
  <c r="C41" i="7"/>
  <c r="C48" i="7"/>
  <c r="C66" i="7"/>
  <c r="C71" i="7"/>
  <c r="C32" i="7" l="1"/>
  <c r="C83" i="6"/>
  <c r="C95" i="5"/>
  <c r="H93" i="5" l="1"/>
  <c r="L93" i="5" s="1"/>
  <c r="D67" i="3" l="1"/>
  <c r="E67" i="3"/>
  <c r="F67" i="3"/>
  <c r="C67" i="3"/>
  <c r="I135" i="9" l="1"/>
  <c r="M135" i="9" s="1"/>
  <c r="E135" i="9"/>
  <c r="E33" i="6" l="1"/>
  <c r="I99" i="5"/>
  <c r="M99" i="5" s="1"/>
  <c r="E99" i="5"/>
  <c r="I95" i="3"/>
  <c r="H95" i="3"/>
  <c r="N98" i="3"/>
  <c r="M98" i="3"/>
  <c r="L98" i="3"/>
  <c r="I67" i="3"/>
  <c r="H67" i="3"/>
  <c r="E34" i="3"/>
  <c r="N29" i="3"/>
  <c r="I83" i="2"/>
  <c r="D93" i="5" l="1"/>
  <c r="E93" i="5"/>
  <c r="H99" i="5"/>
  <c r="L99" i="5" s="1"/>
  <c r="D99" i="5"/>
  <c r="H135" i="9"/>
  <c r="L135" i="9" s="1"/>
  <c r="D135" i="9"/>
  <c r="T82" i="5" l="1"/>
  <c r="I107" i="15"/>
  <c r="D107" i="15"/>
  <c r="C86" i="7"/>
  <c r="C107" i="15" s="1"/>
  <c r="D86" i="7"/>
  <c r="D181" i="17" s="1"/>
  <c r="L181" i="17" s="1"/>
  <c r="E86" i="7"/>
  <c r="E181" i="17" s="1"/>
  <c r="M181" i="17" s="1"/>
  <c r="F86" i="7"/>
  <c r="F181" i="17" s="1"/>
  <c r="N181" i="17" s="1"/>
  <c r="H86" i="7"/>
  <c r="J86" i="7"/>
  <c r="L88" i="7"/>
  <c r="M88" i="7"/>
  <c r="N88" i="7"/>
  <c r="T88" i="7"/>
  <c r="T85" i="7"/>
  <c r="J83" i="7"/>
  <c r="I83" i="7"/>
  <c r="H83" i="7"/>
  <c r="F180" i="17"/>
  <c r="N180" i="17" s="1"/>
  <c r="E180" i="17"/>
  <c r="D180" i="17"/>
  <c r="C83" i="7"/>
  <c r="C180" i="17" s="1"/>
  <c r="T94" i="7"/>
  <c r="T93" i="7"/>
  <c r="J93" i="7"/>
  <c r="J34" i="16" s="1"/>
  <c r="I93" i="7"/>
  <c r="H93" i="7"/>
  <c r="H34" i="16" s="1"/>
  <c r="F93" i="7"/>
  <c r="F186" i="17" s="1"/>
  <c r="E93" i="7"/>
  <c r="E34" i="16" s="1"/>
  <c r="M34" i="16" s="1"/>
  <c r="D93" i="7"/>
  <c r="D34" i="16" s="1"/>
  <c r="L34" i="16" s="1"/>
  <c r="C93" i="7"/>
  <c r="C34" i="16" s="1"/>
  <c r="V90" i="7"/>
  <c r="V90" i="6"/>
  <c r="F105" i="15"/>
  <c r="J106" i="15"/>
  <c r="H106" i="15"/>
  <c r="C94" i="15"/>
  <c r="J154" i="17"/>
  <c r="C153" i="17"/>
  <c r="J86" i="6"/>
  <c r="I86" i="6"/>
  <c r="H86" i="6"/>
  <c r="F86" i="6"/>
  <c r="F106" i="15" s="1"/>
  <c r="E86" i="6"/>
  <c r="E106" i="15" s="1"/>
  <c r="D86" i="6"/>
  <c r="D154" i="17" s="1"/>
  <c r="L154" i="17" s="1"/>
  <c r="C86" i="6"/>
  <c r="C106" i="15" s="1"/>
  <c r="J83" i="6"/>
  <c r="I83" i="6"/>
  <c r="H83" i="6"/>
  <c r="F83" i="6"/>
  <c r="F153" i="17" s="1"/>
  <c r="N153" i="17" s="1"/>
  <c r="E83" i="6"/>
  <c r="E153" i="17" s="1"/>
  <c r="M153" i="17" s="1"/>
  <c r="D83" i="6"/>
  <c r="D153" i="17" s="1"/>
  <c r="T82" i="6"/>
  <c r="V90" i="5"/>
  <c r="C93" i="15"/>
  <c r="T88" i="5"/>
  <c r="N88" i="5"/>
  <c r="M88" i="5"/>
  <c r="L88" i="5"/>
  <c r="T87" i="5"/>
  <c r="J86" i="5"/>
  <c r="J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J83" i="5"/>
  <c r="J126" i="17" s="1"/>
  <c r="I83" i="5"/>
  <c r="H83" i="5"/>
  <c r="F83" i="5"/>
  <c r="F126" i="17" s="1"/>
  <c r="N126" i="17" s="1"/>
  <c r="E83" i="5"/>
  <c r="E93" i="15" s="1"/>
  <c r="D83" i="5"/>
  <c r="D93" i="15" s="1"/>
  <c r="C83" i="5"/>
  <c r="C126" i="17" s="1"/>
  <c r="D31" i="16"/>
  <c r="L31" i="16" s="1"/>
  <c r="T94" i="4"/>
  <c r="J93" i="4"/>
  <c r="I93" i="4"/>
  <c r="H93" i="4"/>
  <c r="H105" i="17" s="1"/>
  <c r="F93" i="4"/>
  <c r="E93" i="4"/>
  <c r="E31" i="16" s="1"/>
  <c r="M31" i="16" s="1"/>
  <c r="D93" i="4"/>
  <c r="D105" i="17" s="1"/>
  <c r="C93" i="4"/>
  <c r="T93" i="4" s="1"/>
  <c r="J86" i="4"/>
  <c r="I86" i="4"/>
  <c r="H86" i="4"/>
  <c r="F86" i="4"/>
  <c r="F100" i="17" s="1"/>
  <c r="D86" i="4"/>
  <c r="D104" i="15" s="1"/>
  <c r="C86" i="4"/>
  <c r="C104" i="15" s="1"/>
  <c r="J83" i="4"/>
  <c r="I83" i="4"/>
  <c r="H83" i="4"/>
  <c r="L83" i="4" s="1"/>
  <c r="F83" i="4"/>
  <c r="F99" i="17" s="1"/>
  <c r="N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I34" i="16" l="1"/>
  <c r="M93" i="7"/>
  <c r="I154" i="17"/>
  <c r="M86" i="6"/>
  <c r="H154" i="17"/>
  <c r="L86" i="6"/>
  <c r="E154" i="17"/>
  <c r="M154" i="17" s="1"/>
  <c r="C154" i="17"/>
  <c r="F94" i="15"/>
  <c r="H153" i="17"/>
  <c r="L153" i="17" s="1"/>
  <c r="L83" i="6"/>
  <c r="I153" i="17"/>
  <c r="M83" i="6"/>
  <c r="H93" i="15"/>
  <c r="L83" i="5"/>
  <c r="I93" i="15"/>
  <c r="M83" i="5"/>
  <c r="I92" i="15"/>
  <c r="M83" i="4"/>
  <c r="P45" i="17"/>
  <c r="L45" i="17"/>
  <c r="Q45" i="17"/>
  <c r="M45" i="17"/>
  <c r="R45" i="17"/>
  <c r="N45" i="17"/>
  <c r="J95" i="15"/>
  <c r="N83" i="7"/>
  <c r="I95" i="15"/>
  <c r="M83" i="7"/>
  <c r="H180" i="17"/>
  <c r="L180" i="17" s="1"/>
  <c r="L83" i="7"/>
  <c r="J180" i="17"/>
  <c r="J92" i="15"/>
  <c r="I106" i="15"/>
  <c r="H186" i="17"/>
  <c r="H104" i="15"/>
  <c r="J94" i="15"/>
  <c r="C99" i="17"/>
  <c r="F154" i="17"/>
  <c r="F90" i="15"/>
  <c r="D100" i="17"/>
  <c r="J153" i="17"/>
  <c r="D106" i="15"/>
  <c r="J99" i="17"/>
  <c r="I105" i="17"/>
  <c r="C95" i="15"/>
  <c r="J45" i="17"/>
  <c r="F46" i="17"/>
  <c r="C45" i="17"/>
  <c r="H46" i="17"/>
  <c r="F29" i="16"/>
  <c r="N29" i="16" s="1"/>
  <c r="E102" i="15"/>
  <c r="C46" i="17"/>
  <c r="D46" i="17"/>
  <c r="J46" i="17"/>
  <c r="J102" i="15"/>
  <c r="J90" i="15"/>
  <c r="C51" i="17"/>
  <c r="J29" i="16"/>
  <c r="H181" i="17"/>
  <c r="E107" i="15"/>
  <c r="J107" i="15"/>
  <c r="F95" i="15"/>
  <c r="I181" i="17"/>
  <c r="F107" i="15"/>
  <c r="C181" i="17"/>
  <c r="J181" i="17"/>
  <c r="H107" i="15"/>
  <c r="D186" i="17"/>
  <c r="I186" i="17"/>
  <c r="F34" i="16"/>
  <c r="N34" i="16" s="1"/>
  <c r="E186" i="17"/>
  <c r="J186" i="17"/>
  <c r="C186" i="17"/>
  <c r="I30" i="16"/>
  <c r="F30" i="16"/>
  <c r="N30" i="16" s="1"/>
  <c r="J78" i="17"/>
  <c r="C100" i="17"/>
  <c r="H100" i="17"/>
  <c r="C31" i="16"/>
  <c r="H92" i="15"/>
  <c r="F104" i="15"/>
  <c r="I100" i="17"/>
  <c r="I31" i="16"/>
  <c r="F92" i="15"/>
  <c r="J104" i="15"/>
  <c r="H99" i="17"/>
  <c r="J100" i="17"/>
  <c r="H31" i="16"/>
  <c r="I104" i="15"/>
  <c r="E105" i="17"/>
  <c r="J105" i="17"/>
  <c r="F105" i="17"/>
  <c r="F31" i="16"/>
  <c r="N31" i="16" s="1"/>
  <c r="C105" i="17"/>
  <c r="J31" i="16"/>
  <c r="E95" i="15"/>
  <c r="D90" i="15"/>
  <c r="I180" i="17"/>
  <c r="M180" i="17" s="1"/>
  <c r="I94" i="15"/>
  <c r="E94" i="15"/>
  <c r="I99" i="17"/>
  <c r="C73" i="17"/>
  <c r="H73" i="17"/>
  <c r="H30" i="16"/>
  <c r="D73" i="17"/>
  <c r="I73" i="17"/>
  <c r="J103" i="15"/>
  <c r="H103" i="15"/>
  <c r="J30" i="16"/>
  <c r="E90" i="15"/>
  <c r="H95" i="15"/>
  <c r="D95" i="15"/>
  <c r="H94" i="15"/>
  <c r="D94" i="15"/>
  <c r="H126" i="17"/>
  <c r="H90" i="15"/>
  <c r="C127" i="17"/>
  <c r="D126" i="17"/>
  <c r="L126" i="17" s="1"/>
  <c r="I105" i="15"/>
  <c r="D105" i="15"/>
  <c r="H127" i="17"/>
  <c r="F93" i="15"/>
  <c r="I126" i="17"/>
  <c r="J105" i="15"/>
  <c r="E105" i="15"/>
  <c r="T86" i="6"/>
  <c r="T87" i="6"/>
  <c r="T88" i="6"/>
  <c r="T85" i="6"/>
  <c r="J93" i="15"/>
  <c r="E126" i="17"/>
  <c r="M126" i="17" s="1"/>
  <c r="C105" i="15"/>
  <c r="D83" i="4"/>
  <c r="H51" i="17"/>
  <c r="I51" i="17"/>
  <c r="J51" i="17"/>
  <c r="L94" i="3"/>
  <c r="C93" i="3"/>
  <c r="E87" i="3"/>
  <c r="M88" i="3"/>
  <c r="L93" i="2"/>
  <c r="M94" i="2"/>
  <c r="D93" i="2"/>
  <c r="L83" i="2"/>
  <c r="L86" i="2"/>
  <c r="I86" i="2"/>
  <c r="J13" i="7"/>
  <c r="F13" i="6"/>
  <c r="L13" i="6"/>
  <c r="J13" i="6"/>
  <c r="J13" i="5"/>
  <c r="F13" i="4"/>
  <c r="L13" i="4"/>
  <c r="J13" i="4"/>
  <c r="K13" i="4"/>
  <c r="E13" i="3"/>
  <c r="F13" i="3"/>
  <c r="H13" i="3"/>
  <c r="J13" i="3"/>
  <c r="F13" i="2"/>
  <c r="H13" i="2"/>
  <c r="J13" i="2"/>
  <c r="C13" i="2"/>
  <c r="S45" i="17" l="1"/>
  <c r="D92" i="15"/>
  <c r="D99" i="17"/>
  <c r="L99" i="17" s="1"/>
  <c r="E73" i="17"/>
  <c r="E103" i="15"/>
  <c r="C30" i="16"/>
  <c r="C78" i="17"/>
  <c r="M86" i="2"/>
  <c r="I102" i="15"/>
  <c r="I46" i="17"/>
  <c r="M83" i="2"/>
  <c r="I45" i="17"/>
  <c r="I90" i="15"/>
  <c r="E83" i="4"/>
  <c r="E86" i="4"/>
  <c r="D29" i="16"/>
  <c r="L29" i="16" s="1"/>
  <c r="D51" i="17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H72" i="17"/>
  <c r="F72" i="17"/>
  <c r="N72" i="17" s="1"/>
  <c r="E72" i="17"/>
  <c r="D72" i="17"/>
  <c r="C72" i="17"/>
  <c r="J175" i="17"/>
  <c r="H175" i="17"/>
  <c r="F175" i="17"/>
  <c r="N175" i="17" s="1"/>
  <c r="J148" i="17"/>
  <c r="H148" i="17"/>
  <c r="F148" i="17"/>
  <c r="N148" i="17" s="1"/>
  <c r="E148" i="17"/>
  <c r="J121" i="17"/>
  <c r="H121" i="17"/>
  <c r="F121" i="17"/>
  <c r="N121" i="17" s="1"/>
  <c r="E121" i="17"/>
  <c r="C121" i="17"/>
  <c r="J94" i="17"/>
  <c r="H94" i="17"/>
  <c r="F94" i="17"/>
  <c r="N94" i="17" s="1"/>
  <c r="E94" i="17"/>
  <c r="D94" i="17"/>
  <c r="C94" i="17"/>
  <c r="J67" i="17"/>
  <c r="H67" i="17"/>
  <c r="F67" i="17"/>
  <c r="E67" i="17"/>
  <c r="J40" i="17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H194" i="17"/>
  <c r="F194" i="17"/>
  <c r="N194" i="17" s="1"/>
  <c r="E194" i="17"/>
  <c r="D194" i="17"/>
  <c r="L194" i="17" s="1"/>
  <c r="C194" i="17"/>
  <c r="J167" i="17"/>
  <c r="I167" i="17"/>
  <c r="H167" i="17"/>
  <c r="F167" i="17"/>
  <c r="N167" i="17" s="1"/>
  <c r="E167" i="17"/>
  <c r="D167" i="17"/>
  <c r="L167" i="17" s="1"/>
  <c r="C167" i="17"/>
  <c r="J140" i="17"/>
  <c r="I140" i="17"/>
  <c r="H140" i="17"/>
  <c r="F140" i="17"/>
  <c r="N140" i="17" s="1"/>
  <c r="E140" i="17"/>
  <c r="M140" i="17" s="1"/>
  <c r="D140" i="17"/>
  <c r="J113" i="17"/>
  <c r="I113" i="17"/>
  <c r="H113" i="17"/>
  <c r="F113" i="17"/>
  <c r="N113" i="17" s="1"/>
  <c r="C113" i="17"/>
  <c r="J86" i="17"/>
  <c r="I86" i="17"/>
  <c r="H86" i="17"/>
  <c r="F86" i="17"/>
  <c r="N86" i="17" s="1"/>
  <c r="J59" i="17"/>
  <c r="I59" i="17"/>
  <c r="H59" i="17"/>
  <c r="F59" i="17"/>
  <c r="C59" i="17"/>
  <c r="J32" i="17"/>
  <c r="I32" i="17"/>
  <c r="H32" i="17"/>
  <c r="F32" i="17"/>
  <c r="N32" i="17" s="1"/>
  <c r="E32" i="17"/>
  <c r="C135" i="17"/>
  <c r="C159" i="17"/>
  <c r="J132" i="17"/>
  <c r="H132" i="17"/>
  <c r="F132" i="17"/>
  <c r="E132" i="17"/>
  <c r="D132" i="17"/>
  <c r="G24" i="17"/>
  <c r="J1" i="17"/>
  <c r="C68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F130" i="16"/>
  <c r="N130" i="16" s="1"/>
  <c r="F129" i="16"/>
  <c r="N129" i="16" s="1"/>
  <c r="F128" i="16"/>
  <c r="N128" i="16" s="1"/>
  <c r="F127" i="16"/>
  <c r="N127" i="16" s="1"/>
  <c r="F126" i="16"/>
  <c r="N126" i="16" s="1"/>
  <c r="F125" i="16"/>
  <c r="N125" i="16" s="1"/>
  <c r="F124" i="16"/>
  <c r="N124" i="16" s="1"/>
  <c r="E130" i="16"/>
  <c r="D130" i="16"/>
  <c r="L130" i="16" s="1"/>
  <c r="E129" i="16"/>
  <c r="D129" i="16"/>
  <c r="L129" i="16" s="1"/>
  <c r="E128" i="16"/>
  <c r="M128" i="16" s="1"/>
  <c r="D128" i="16"/>
  <c r="E124" i="16"/>
  <c r="A132" i="16"/>
  <c r="C130" i="16"/>
  <c r="C129" i="16"/>
  <c r="C127" i="16"/>
  <c r="C125" i="16"/>
  <c r="A120" i="16"/>
  <c r="B99" i="16"/>
  <c r="A108" i="16"/>
  <c r="A96" i="16"/>
  <c r="B87" i="16"/>
  <c r="B75" i="16"/>
  <c r="B63" i="16"/>
  <c r="A84" i="16"/>
  <c r="A72" i="16"/>
  <c r="A36" i="16"/>
  <c r="A48" i="16"/>
  <c r="A60" i="16"/>
  <c r="B51" i="16"/>
  <c r="B39" i="16"/>
  <c r="J32" i="16"/>
  <c r="H32" i="16"/>
  <c r="D32" i="16"/>
  <c r="E32" i="16"/>
  <c r="F32" i="16"/>
  <c r="N32" i="16" s="1"/>
  <c r="C33" i="16"/>
  <c r="B27" i="16"/>
  <c r="J142" i="16"/>
  <c r="I142" i="16"/>
  <c r="H142" i="16"/>
  <c r="F142" i="16"/>
  <c r="N142" i="16" s="1"/>
  <c r="E142" i="16"/>
  <c r="J141" i="16"/>
  <c r="I141" i="16"/>
  <c r="H141" i="16"/>
  <c r="F141" i="16"/>
  <c r="N141" i="16" s="1"/>
  <c r="E141" i="16"/>
  <c r="D141" i="16"/>
  <c r="J140" i="16"/>
  <c r="I140" i="16"/>
  <c r="H140" i="16"/>
  <c r="F140" i="16"/>
  <c r="N140" i="16" s="1"/>
  <c r="J139" i="16"/>
  <c r="I139" i="16"/>
  <c r="H139" i="16"/>
  <c r="F139" i="16"/>
  <c r="N139" i="16" s="1"/>
  <c r="E139" i="16"/>
  <c r="D139" i="16"/>
  <c r="J138" i="16"/>
  <c r="I138" i="16"/>
  <c r="H138" i="16"/>
  <c r="F138" i="16"/>
  <c r="N138" i="16" s="1"/>
  <c r="J137" i="16"/>
  <c r="I137" i="16"/>
  <c r="H137" i="16"/>
  <c r="F137" i="16"/>
  <c r="N137" i="16" s="1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L40" i="10"/>
  <c r="D40" i="10"/>
  <c r="M40" i="10" s="1"/>
  <c r="E40" i="10"/>
  <c r="F40" i="10"/>
  <c r="C40" i="10"/>
  <c r="J25" i="10"/>
  <c r="F25" i="10"/>
  <c r="J14" i="10"/>
  <c r="I14" i="10"/>
  <c r="H14" i="10"/>
  <c r="F14" i="10"/>
  <c r="C14" i="10"/>
  <c r="M124" i="16" l="1"/>
  <c r="M142" i="16"/>
  <c r="M129" i="16"/>
  <c r="M167" i="17"/>
  <c r="L140" i="17"/>
  <c r="L32" i="16"/>
  <c r="L132" i="17"/>
  <c r="L139" i="16"/>
  <c r="L94" i="17"/>
  <c r="L72" i="17"/>
  <c r="P20" i="17"/>
  <c r="L20" i="17"/>
  <c r="M20" i="17"/>
  <c r="Q20" i="17"/>
  <c r="N59" i="17"/>
  <c r="C13" i="10"/>
  <c r="L14" i="10"/>
  <c r="M32" i="17"/>
  <c r="R32" i="17"/>
  <c r="M139" i="16"/>
  <c r="L141" i="16"/>
  <c r="M141" i="16"/>
  <c r="L128" i="16"/>
  <c r="E104" i="15"/>
  <c r="E100" i="17"/>
  <c r="E92" i="15"/>
  <c r="E99" i="17"/>
  <c r="M99" i="17" s="1"/>
  <c r="D30" i="16"/>
  <c r="L30" i="16" s="1"/>
  <c r="D78" i="17"/>
  <c r="E51" i="17"/>
  <c r="E29" i="16"/>
  <c r="M29" i="16" s="1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F132" i="16"/>
  <c r="N132" i="16" s="1"/>
  <c r="H132" i="16"/>
  <c r="J132" i="16"/>
  <c r="H144" i="16"/>
  <c r="H21" i="16" s="1"/>
  <c r="I144" i="16"/>
  <c r="I21" i="16" s="1"/>
  <c r="J144" i="16"/>
  <c r="J21" i="16" s="1"/>
  <c r="F144" i="16"/>
  <c r="F48" i="4"/>
  <c r="C48" i="4"/>
  <c r="J48" i="4"/>
  <c r="H48" i="4"/>
  <c r="L48" i="4" s="1"/>
  <c r="F21" i="16" l="1"/>
  <c r="N21" i="16" s="1"/>
  <c r="N144" i="16"/>
  <c r="E30" i="16"/>
  <c r="M30" i="16" s="1"/>
  <c r="E78" i="17"/>
  <c r="T94" i="3"/>
  <c r="T93" i="2"/>
  <c r="B186" i="17"/>
  <c r="B84" i="17"/>
  <c r="B111" i="17" s="1"/>
  <c r="B138" i="17" s="1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M99" i="6" s="1"/>
  <c r="J99" i="6"/>
  <c r="D29" i="6"/>
  <c r="E29" i="6"/>
  <c r="F29" i="6"/>
  <c r="R29" i="6" s="1"/>
  <c r="H29" i="6"/>
  <c r="L29" i="6" s="1"/>
  <c r="J29" i="6"/>
  <c r="C29" i="6"/>
  <c r="D33" i="6"/>
  <c r="F33" i="6"/>
  <c r="R33" i="6" s="1"/>
  <c r="H33" i="6"/>
  <c r="L33" i="6" s="1"/>
  <c r="J33" i="6"/>
  <c r="C33" i="6"/>
  <c r="D41" i="6"/>
  <c r="P41" i="6" s="1"/>
  <c r="E41" i="6"/>
  <c r="F41" i="6"/>
  <c r="R41" i="6" s="1"/>
  <c r="H41" i="6"/>
  <c r="L41" i="6" s="1"/>
  <c r="I41" i="6"/>
  <c r="M41" i="6" s="1"/>
  <c r="J41" i="6"/>
  <c r="C41" i="6"/>
  <c r="D48" i="6"/>
  <c r="E48" i="6"/>
  <c r="F48" i="6"/>
  <c r="H48" i="6"/>
  <c r="L48" i="6" s="1"/>
  <c r="J48" i="6"/>
  <c r="C48" i="6"/>
  <c r="D66" i="6"/>
  <c r="E66" i="6"/>
  <c r="F66" i="6"/>
  <c r="J66" i="6"/>
  <c r="C66" i="6"/>
  <c r="E71" i="6"/>
  <c r="F71" i="6"/>
  <c r="H71" i="6"/>
  <c r="L71" i="6" s="1"/>
  <c r="J71" i="6"/>
  <c r="C71" i="6"/>
  <c r="D33" i="5"/>
  <c r="E33" i="5"/>
  <c r="F33" i="5"/>
  <c r="H33" i="5"/>
  <c r="L33" i="5" s="1"/>
  <c r="J33" i="5"/>
  <c r="C33" i="5"/>
  <c r="E71" i="5"/>
  <c r="F71" i="5"/>
  <c r="H71" i="5"/>
  <c r="L71" i="5" s="1"/>
  <c r="J71" i="5"/>
  <c r="C71" i="5"/>
  <c r="D66" i="5"/>
  <c r="E66" i="5"/>
  <c r="F66" i="5"/>
  <c r="H66" i="5"/>
  <c r="L66" i="5" s="1"/>
  <c r="J66" i="5"/>
  <c r="C66" i="5"/>
  <c r="D48" i="5"/>
  <c r="E48" i="5"/>
  <c r="F48" i="5"/>
  <c r="H48" i="5"/>
  <c r="L48" i="5" s="1"/>
  <c r="J48" i="5"/>
  <c r="C48" i="5"/>
  <c r="D41" i="5"/>
  <c r="E41" i="5"/>
  <c r="F41" i="5"/>
  <c r="H41" i="5"/>
  <c r="L41" i="5" s="1"/>
  <c r="J41" i="5"/>
  <c r="C41" i="5"/>
  <c r="D29" i="5"/>
  <c r="D122" i="17" s="1"/>
  <c r="E29" i="5"/>
  <c r="E224" i="9" s="1"/>
  <c r="F29" i="5"/>
  <c r="H29" i="5"/>
  <c r="L29" i="5" s="1"/>
  <c r="J29" i="5"/>
  <c r="C29" i="5"/>
  <c r="C45" i="15" s="1"/>
  <c r="F99" i="4"/>
  <c r="H99" i="4"/>
  <c r="L99" i="4" s="1"/>
  <c r="I99" i="4"/>
  <c r="M99" i="4" s="1"/>
  <c r="J99" i="4"/>
  <c r="F71" i="4"/>
  <c r="H71" i="4"/>
  <c r="L71" i="4" s="1"/>
  <c r="J71" i="4"/>
  <c r="C71" i="4"/>
  <c r="D41" i="4"/>
  <c r="E41" i="4"/>
  <c r="F41" i="4"/>
  <c r="H41" i="4"/>
  <c r="L41" i="4" s="1"/>
  <c r="J41" i="4"/>
  <c r="C41" i="4"/>
  <c r="J33" i="4"/>
  <c r="H33" i="4"/>
  <c r="L33" i="4" s="1"/>
  <c r="E33" i="4"/>
  <c r="F33" i="4"/>
  <c r="C33" i="4"/>
  <c r="J29" i="4"/>
  <c r="J44" i="15" s="1"/>
  <c r="H29" i="4"/>
  <c r="L29" i="4" s="1"/>
  <c r="F29" i="4"/>
  <c r="C29" i="4"/>
  <c r="C44" i="15" s="1"/>
  <c r="J99" i="3"/>
  <c r="I99" i="3"/>
  <c r="H99" i="3"/>
  <c r="H102" i="3" s="1"/>
  <c r="F99" i="3"/>
  <c r="J95" i="3"/>
  <c r="J102" i="3" s="1"/>
  <c r="F95" i="3"/>
  <c r="T95" i="3"/>
  <c r="J29" i="2"/>
  <c r="J41" i="17" s="1"/>
  <c r="H29" i="2"/>
  <c r="D29" i="2"/>
  <c r="D41" i="17" s="1"/>
  <c r="E29" i="2"/>
  <c r="E42" i="15" s="1"/>
  <c r="F29" i="2"/>
  <c r="F221" i="9" s="1"/>
  <c r="C29" i="2"/>
  <c r="C221" i="9" s="1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D46" i="15"/>
  <c r="H44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Q48" i="6" l="1"/>
  <c r="C42" i="15"/>
  <c r="P48" i="6"/>
  <c r="P29" i="6"/>
  <c r="F225" i="9"/>
  <c r="E149" i="17"/>
  <c r="Q29" i="6"/>
  <c r="H225" i="9"/>
  <c r="P33" i="6"/>
  <c r="Q33" i="6"/>
  <c r="Q41" i="6"/>
  <c r="S41" i="6" s="1"/>
  <c r="R48" i="6"/>
  <c r="D224" i="9"/>
  <c r="L41" i="17"/>
  <c r="D42" i="15"/>
  <c r="D221" i="9"/>
  <c r="J32" i="5"/>
  <c r="J123" i="17" s="1"/>
  <c r="F32" i="6"/>
  <c r="F89" i="6" s="1"/>
  <c r="F32" i="5"/>
  <c r="F123" i="17" s="1"/>
  <c r="N123" i="17" s="1"/>
  <c r="J149" i="17"/>
  <c r="F102" i="3"/>
  <c r="C32" i="6"/>
  <c r="C150" i="17" s="1"/>
  <c r="F149" i="17"/>
  <c r="N149" i="17" s="1"/>
  <c r="J32" i="6"/>
  <c r="J150" i="17" s="1"/>
  <c r="C224" i="9"/>
  <c r="J42" i="15"/>
  <c r="J221" i="9"/>
  <c r="J223" i="9"/>
  <c r="E32" i="6"/>
  <c r="E45" i="15"/>
  <c r="I102" i="3"/>
  <c r="E32" i="5"/>
  <c r="E123" i="17" s="1"/>
  <c r="E40" i="17"/>
  <c r="C41" i="17"/>
  <c r="P41" i="17" s="1"/>
  <c r="C32" i="5"/>
  <c r="C123" i="17" s="1"/>
  <c r="D45" i="15"/>
  <c r="H32" i="5"/>
  <c r="C189" i="17"/>
  <c r="C70" i="16"/>
  <c r="J118" i="16"/>
  <c r="J193" i="17"/>
  <c r="E193" i="17"/>
  <c r="D70" i="16"/>
  <c r="D189" i="17"/>
  <c r="H193" i="17"/>
  <c r="F102" i="7"/>
  <c r="F70" i="16"/>
  <c r="N70" i="16" s="1"/>
  <c r="F189" i="17"/>
  <c r="N189" i="17" s="1"/>
  <c r="F118" i="16"/>
  <c r="N118" i="16" s="1"/>
  <c r="F193" i="17"/>
  <c r="N193" i="17" s="1"/>
  <c r="J102" i="7"/>
  <c r="J189" i="17"/>
  <c r="J70" i="16"/>
  <c r="E102" i="7"/>
  <c r="E189" i="17"/>
  <c r="E70" i="16"/>
  <c r="M117" i="16"/>
  <c r="I166" i="17"/>
  <c r="C225" i="9"/>
  <c r="C149" i="17"/>
  <c r="J117" i="16"/>
  <c r="J166" i="17"/>
  <c r="E166" i="17"/>
  <c r="M166" i="17" s="1"/>
  <c r="J46" i="15"/>
  <c r="D225" i="9"/>
  <c r="D149" i="17"/>
  <c r="H166" i="17"/>
  <c r="L117" i="16"/>
  <c r="J157" i="17"/>
  <c r="D166" i="17"/>
  <c r="E225" i="9"/>
  <c r="J225" i="9"/>
  <c r="E46" i="15"/>
  <c r="H46" i="15"/>
  <c r="H149" i="17"/>
  <c r="F166" i="17"/>
  <c r="N166" i="17" s="1"/>
  <c r="F117" i="16"/>
  <c r="N117" i="16" s="1"/>
  <c r="F45" i="15"/>
  <c r="F122" i="17"/>
  <c r="N122" i="17" s="1"/>
  <c r="J224" i="9"/>
  <c r="J89" i="5"/>
  <c r="J122" i="17"/>
  <c r="E122" i="17"/>
  <c r="H45" i="15"/>
  <c r="H122" i="17"/>
  <c r="L122" i="17" s="1"/>
  <c r="H224" i="9"/>
  <c r="C122" i="17"/>
  <c r="C223" i="9"/>
  <c r="J95" i="17"/>
  <c r="C95" i="17"/>
  <c r="F44" i="15"/>
  <c r="F95" i="17"/>
  <c r="N95" i="17" s="1"/>
  <c r="J115" i="16"/>
  <c r="J112" i="17"/>
  <c r="H223" i="9"/>
  <c r="H95" i="17"/>
  <c r="F115" i="16"/>
  <c r="N115" i="16" s="1"/>
  <c r="F112" i="17"/>
  <c r="N112" i="17" s="1"/>
  <c r="I112" i="17"/>
  <c r="F223" i="9"/>
  <c r="H112" i="17"/>
  <c r="T93" i="3"/>
  <c r="J145" i="15"/>
  <c r="J36" i="11" s="1"/>
  <c r="F114" i="16"/>
  <c r="N114" i="16" s="1"/>
  <c r="F85" i="17"/>
  <c r="N85" i="17" s="1"/>
  <c r="E66" i="16"/>
  <c r="M66" i="16" s="1"/>
  <c r="E81" i="17"/>
  <c r="M81" i="17" s="1"/>
  <c r="J66" i="16"/>
  <c r="J81" i="17"/>
  <c r="J85" i="17"/>
  <c r="J114" i="16"/>
  <c r="D81" i="17"/>
  <c r="L81" i="17" s="1"/>
  <c r="D66" i="16"/>
  <c r="L66" i="16" s="1"/>
  <c r="C81" i="17"/>
  <c r="C66" i="16"/>
  <c r="H81" i="17"/>
  <c r="H66" i="16"/>
  <c r="H85" i="17"/>
  <c r="F81" i="17"/>
  <c r="F66" i="16"/>
  <c r="N66" i="16" s="1"/>
  <c r="I81" i="17"/>
  <c r="I66" i="16"/>
  <c r="I85" i="17"/>
  <c r="H145" i="15"/>
  <c r="H22" i="15" s="1"/>
  <c r="F145" i="15"/>
  <c r="I145" i="15"/>
  <c r="I58" i="17"/>
  <c r="E221" i="9"/>
  <c r="E41" i="17"/>
  <c r="F113" i="16"/>
  <c r="N113" i="16" s="1"/>
  <c r="F58" i="17"/>
  <c r="J113" i="16"/>
  <c r="J58" i="17"/>
  <c r="H221" i="9"/>
  <c r="H41" i="17"/>
  <c r="H58" i="17"/>
  <c r="F42" i="15"/>
  <c r="F41" i="17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L166" i="17" l="1"/>
  <c r="L149" i="17"/>
  <c r="S29" i="6"/>
  <c r="S48" i="6"/>
  <c r="S33" i="6"/>
  <c r="F150" i="17"/>
  <c r="R32" i="6"/>
  <c r="H123" i="17"/>
  <c r="H130" i="17" s="1"/>
  <c r="L32" i="5"/>
  <c r="N58" i="17"/>
  <c r="R41" i="17"/>
  <c r="Q41" i="17"/>
  <c r="S41" i="17" s="1"/>
  <c r="R40" i="17"/>
  <c r="F130" i="17"/>
  <c r="N130" i="17" s="1"/>
  <c r="J89" i="6"/>
  <c r="F89" i="5"/>
  <c r="J195" i="17"/>
  <c r="J130" i="17"/>
  <c r="E89" i="5"/>
  <c r="C89" i="5"/>
  <c r="E150" i="17"/>
  <c r="E89" i="6"/>
  <c r="E130" i="17"/>
  <c r="C130" i="17"/>
  <c r="H89" i="5"/>
  <c r="E195" i="17"/>
  <c r="F195" i="17"/>
  <c r="N195" i="17" s="1"/>
  <c r="F87" i="17"/>
  <c r="N87" i="17" s="1"/>
  <c r="I87" i="17"/>
  <c r="J87" i="17"/>
  <c r="H87" i="17"/>
  <c r="B192" i="17"/>
  <c r="H36" i="11"/>
  <c r="J22" i="15"/>
  <c r="I36" i="11"/>
  <c r="I22" i="15"/>
  <c r="F36" i="11"/>
  <c r="N36" i="11" s="1"/>
  <c r="F22" i="15"/>
  <c r="L89" i="5" l="1"/>
  <c r="N150" i="17"/>
  <c r="F157" i="17"/>
  <c r="N157" i="17" s="1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6" i="7" l="1"/>
  <c r="T17" i="7"/>
  <c r="T18" i="7"/>
  <c r="T22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J32" i="7"/>
  <c r="J29" i="7"/>
  <c r="F29" i="7"/>
  <c r="J1" i="7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5" i="6"/>
  <c r="T76" i="6"/>
  <c r="T77" i="6"/>
  <c r="T78" i="6"/>
  <c r="T79" i="6"/>
  <c r="T81" i="6"/>
  <c r="T93" i="6"/>
  <c r="T94" i="6"/>
  <c r="J95" i="6"/>
  <c r="J93" i="6"/>
  <c r="F95" i="6"/>
  <c r="F93" i="6"/>
  <c r="J1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F99" i="5"/>
  <c r="F95" i="5"/>
  <c r="J1" i="4"/>
  <c r="T73" i="4"/>
  <c r="T75" i="4"/>
  <c r="J66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2" i="4"/>
  <c r="T18" i="4"/>
  <c r="T17" i="4"/>
  <c r="T97" i="3"/>
  <c r="T96" i="3"/>
  <c r="F95" i="4"/>
  <c r="F102" i="4" s="1"/>
  <c r="F66" i="4"/>
  <c r="F89" i="7" l="1"/>
  <c r="F5" i="7" s="1"/>
  <c r="F184" i="9" s="1"/>
  <c r="J89" i="7"/>
  <c r="C28" i="16"/>
  <c r="C24" i="17"/>
  <c r="F176" i="17"/>
  <c r="N176" i="17" s="1"/>
  <c r="F226" i="9"/>
  <c r="F47" i="15"/>
  <c r="J177" i="17"/>
  <c r="J59" i="15"/>
  <c r="J234" i="9"/>
  <c r="F177" i="17"/>
  <c r="N177" i="17" s="1"/>
  <c r="F234" i="9"/>
  <c r="F59" i="15"/>
  <c r="J176" i="17"/>
  <c r="J47" i="15"/>
  <c r="J226" i="9"/>
  <c r="F33" i="16"/>
  <c r="N33" i="16" s="1"/>
  <c r="F159" i="17"/>
  <c r="J159" i="17"/>
  <c r="J33" i="16"/>
  <c r="F69" i="16"/>
  <c r="N69" i="16" s="1"/>
  <c r="F162" i="17"/>
  <c r="N162" i="17" s="1"/>
  <c r="J69" i="16"/>
  <c r="J162" i="17"/>
  <c r="F135" i="17"/>
  <c r="N135" i="17" s="1"/>
  <c r="F68" i="16"/>
  <c r="N68" i="16" s="1"/>
  <c r="F102" i="5"/>
  <c r="F6" i="5" s="1"/>
  <c r="F116" i="16"/>
  <c r="N116" i="16" s="1"/>
  <c r="F139" i="17"/>
  <c r="N139" i="17" s="1"/>
  <c r="F67" i="16"/>
  <c r="N67" i="16" s="1"/>
  <c r="F108" i="17"/>
  <c r="J58" i="15"/>
  <c r="J233" i="9"/>
  <c r="F233" i="9"/>
  <c r="F58" i="15"/>
  <c r="F232" i="9"/>
  <c r="F57" i="15"/>
  <c r="J6" i="7"/>
  <c r="F6" i="7"/>
  <c r="J102" i="6"/>
  <c r="F102" i="6"/>
  <c r="F6" i="4"/>
  <c r="F32" i="4"/>
  <c r="F114" i="17" l="1"/>
  <c r="N114" i="17" s="1"/>
  <c r="N108" i="17"/>
  <c r="J5" i="7"/>
  <c r="N89" i="7"/>
  <c r="J168" i="17"/>
  <c r="F184" i="17"/>
  <c r="J184" i="17"/>
  <c r="J7" i="7"/>
  <c r="F168" i="17"/>
  <c r="F141" i="17"/>
  <c r="F18" i="11"/>
  <c r="F96" i="17"/>
  <c r="F89" i="4"/>
  <c r="F5" i="4" s="1"/>
  <c r="F181" i="9" s="1"/>
  <c r="N5" i="7"/>
  <c r="J184" i="9"/>
  <c r="F7" i="7"/>
  <c r="N6" i="7"/>
  <c r="F231" i="9"/>
  <c r="F56" i="15"/>
  <c r="J5" i="6"/>
  <c r="F5" i="6"/>
  <c r="F183" i="9" s="1"/>
  <c r="F6" i="6"/>
  <c r="J6" i="6"/>
  <c r="F5" i="5"/>
  <c r="V14" i="3"/>
  <c r="F170" i="17" l="1"/>
  <c r="N170" i="17" s="1"/>
  <c r="N168" i="17"/>
  <c r="F143" i="17"/>
  <c r="N143" i="17" s="1"/>
  <c r="N141" i="17"/>
  <c r="F103" i="17"/>
  <c r="N96" i="17"/>
  <c r="F116" i="17"/>
  <c r="N116" i="17" s="1"/>
  <c r="N103" i="17"/>
  <c r="F197" i="17"/>
  <c r="N197" i="17" s="1"/>
  <c r="N184" i="17"/>
  <c r="J170" i="17"/>
  <c r="J197" i="17"/>
  <c r="N5" i="6"/>
  <c r="J183" i="9"/>
  <c r="F7" i="6"/>
  <c r="F7" i="5"/>
  <c r="F182" i="9"/>
  <c r="F7" i="4"/>
  <c r="J7" i="6"/>
  <c r="N6" i="6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T32" i="10"/>
  <c r="T34" i="10"/>
  <c r="T95" i="10"/>
  <c r="T94" i="10"/>
  <c r="T93" i="10"/>
  <c r="T92" i="10"/>
  <c r="T91" i="10"/>
  <c r="T89" i="10"/>
  <c r="T86" i="10"/>
  <c r="T85" i="10"/>
  <c r="T84" i="10"/>
  <c r="T83" i="10"/>
  <c r="T82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0" i="10"/>
  <c r="T21" i="10"/>
  <c r="T22" i="10"/>
  <c r="T23" i="10"/>
  <c r="T24" i="10"/>
  <c r="T19" i="10"/>
  <c r="N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47" i="10"/>
  <c r="F35" i="10"/>
  <c r="F30" i="10" s="1"/>
  <c r="J30" i="17" l="1"/>
  <c r="J100" i="16"/>
  <c r="J108" i="16" s="1"/>
  <c r="J19" i="16" s="1"/>
  <c r="J88" i="16"/>
  <c r="J96" i="16" s="1"/>
  <c r="J18" i="16" s="1"/>
  <c r="J29" i="17"/>
  <c r="F76" i="16"/>
  <c r="F28" i="17"/>
  <c r="F88" i="16"/>
  <c r="F29" i="17"/>
  <c r="J28" i="17"/>
  <c r="J76" i="16"/>
  <c r="J84" i="16" s="1"/>
  <c r="J17" i="16" s="1"/>
  <c r="F30" i="17"/>
  <c r="F100" i="16"/>
  <c r="F112" i="16"/>
  <c r="F31" i="17"/>
  <c r="N31" i="17" s="1"/>
  <c r="J112" i="16"/>
  <c r="J31" i="17"/>
  <c r="J25" i="17"/>
  <c r="J40" i="16"/>
  <c r="J48" i="16" s="1"/>
  <c r="J14" i="16" s="1"/>
  <c r="F40" i="16"/>
  <c r="F25" i="17"/>
  <c r="J64" i="16"/>
  <c r="J27" i="17"/>
  <c r="F27" i="17"/>
  <c r="F64" i="16"/>
  <c r="N64" i="16" s="1"/>
  <c r="L95" i="3"/>
  <c r="J13" i="10"/>
  <c r="J39" i="10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5" i="2"/>
  <c r="T26" i="2"/>
  <c r="T27" i="2"/>
  <c r="T158" i="9"/>
  <c r="T157" i="9"/>
  <c r="T156" i="9"/>
  <c r="T155" i="9"/>
  <c r="T154" i="9"/>
  <c r="T153" i="9"/>
  <c r="T152" i="9"/>
  <c r="T151" i="9"/>
  <c r="T150" i="9"/>
  <c r="T149" i="9"/>
  <c r="T148" i="9"/>
  <c r="T147" i="9"/>
  <c r="T143" i="9"/>
  <c r="T142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S135" i="9" s="1"/>
  <c r="R82" i="9"/>
  <c r="Q82" i="9"/>
  <c r="N166" i="9"/>
  <c r="N165" i="9"/>
  <c r="N164" i="9"/>
  <c r="N163" i="9"/>
  <c r="N162" i="9"/>
  <c r="N143" i="9"/>
  <c r="N142" i="9"/>
  <c r="N145" i="9"/>
  <c r="J129" i="9"/>
  <c r="J120" i="9"/>
  <c r="J106" i="9"/>
  <c r="J81" i="9"/>
  <c r="J32" i="9"/>
  <c r="J29" i="9"/>
  <c r="J13" i="9"/>
  <c r="F145" i="9"/>
  <c r="F129" i="9"/>
  <c r="F120" i="9"/>
  <c r="F106" i="9"/>
  <c r="F81" i="9"/>
  <c r="F32" i="9"/>
  <c r="F29" i="9"/>
  <c r="F13" i="9"/>
  <c r="N30" i="17" l="1"/>
  <c r="F96" i="16"/>
  <c r="N88" i="16"/>
  <c r="F120" i="16"/>
  <c r="N112" i="16"/>
  <c r="F84" i="16"/>
  <c r="N76" i="16"/>
  <c r="F108" i="16"/>
  <c r="N100" i="16"/>
  <c r="F48" i="16"/>
  <c r="N40" i="16"/>
  <c r="J28" i="16"/>
  <c r="J36" i="16" s="1"/>
  <c r="J13" i="16" s="1"/>
  <c r="J24" i="17"/>
  <c r="J15" i="11"/>
  <c r="J14" i="11"/>
  <c r="J16" i="11"/>
  <c r="F28" i="16"/>
  <c r="F24" i="17"/>
  <c r="F52" i="16"/>
  <c r="F26" i="17"/>
  <c r="J52" i="16"/>
  <c r="J60" i="16" s="1"/>
  <c r="J15" i="16" s="1"/>
  <c r="J26" i="17"/>
  <c r="J11" i="11"/>
  <c r="F33" i="17"/>
  <c r="N33" i="17" s="1"/>
  <c r="F54" i="17"/>
  <c r="F65" i="16"/>
  <c r="R29" i="9"/>
  <c r="F14" i="17"/>
  <c r="N14" i="17" s="1"/>
  <c r="F41" i="15"/>
  <c r="R32" i="9"/>
  <c r="F15" i="17"/>
  <c r="N15" i="17" s="1"/>
  <c r="F53" i="15"/>
  <c r="R13" i="9"/>
  <c r="F13" i="17"/>
  <c r="F29" i="15"/>
  <c r="F37" i="15" s="1"/>
  <c r="F13" i="15" s="1"/>
  <c r="F27" i="11" s="1"/>
  <c r="R106" i="9"/>
  <c r="F17" i="17"/>
  <c r="N17" i="17" s="1"/>
  <c r="F77" i="15"/>
  <c r="J13" i="17"/>
  <c r="J29" i="15"/>
  <c r="J37" i="15" s="1"/>
  <c r="J13" i="15" s="1"/>
  <c r="J17" i="17"/>
  <c r="J77" i="15"/>
  <c r="Q113" i="15"/>
  <c r="Q121" i="15" s="1"/>
  <c r="F18" i="17"/>
  <c r="N18" i="17" s="1"/>
  <c r="F89" i="15"/>
  <c r="F97" i="15" s="1"/>
  <c r="F18" i="15" s="1"/>
  <c r="F32" i="11" s="1"/>
  <c r="R20" i="17"/>
  <c r="S20" i="17" s="1"/>
  <c r="T20" i="17" s="1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N19" i="17" s="1"/>
  <c r="F101" i="15"/>
  <c r="R81" i="9"/>
  <c r="F16" i="17"/>
  <c r="N16" i="17" s="1"/>
  <c r="F65" i="15"/>
  <c r="F21" i="17"/>
  <c r="N21" i="17" s="1"/>
  <c r="F125" i="15"/>
  <c r="J16" i="17"/>
  <c r="J65" i="15"/>
  <c r="J21" i="17"/>
  <c r="J125" i="15"/>
  <c r="P113" i="15"/>
  <c r="P121" i="15" s="1"/>
  <c r="J195" i="9"/>
  <c r="J197" i="9"/>
  <c r="R145" i="9"/>
  <c r="R21" i="17" s="1"/>
  <c r="F197" i="9"/>
  <c r="R120" i="9"/>
  <c r="F194" i="9"/>
  <c r="R129" i="9"/>
  <c r="F195" i="9"/>
  <c r="J96" i="10"/>
  <c r="F96" i="10"/>
  <c r="F9" i="10" s="1"/>
  <c r="F32" i="2"/>
  <c r="F42" i="17" s="1"/>
  <c r="N42" i="17" s="1"/>
  <c r="J168" i="9"/>
  <c r="F168" i="9"/>
  <c r="R168" i="9" s="1"/>
  <c r="N13" i="17" l="1"/>
  <c r="F60" i="17"/>
  <c r="N60" i="17" s="1"/>
  <c r="N54" i="17"/>
  <c r="J9" i="10"/>
  <c r="N96" i="10"/>
  <c r="F19" i="16"/>
  <c r="N108" i="16"/>
  <c r="F17" i="16"/>
  <c r="N84" i="16"/>
  <c r="F20" i="16"/>
  <c r="N120" i="16"/>
  <c r="F60" i="16"/>
  <c r="N52" i="16"/>
  <c r="F36" i="16"/>
  <c r="N28" i="16"/>
  <c r="F72" i="16"/>
  <c r="N65" i="16"/>
  <c r="F14" i="16"/>
  <c r="N48" i="16"/>
  <c r="F18" i="16"/>
  <c r="N96" i="16"/>
  <c r="J10" i="11"/>
  <c r="J12" i="11"/>
  <c r="J33" i="17"/>
  <c r="F49" i="17"/>
  <c r="N49" i="17" s="1"/>
  <c r="F89" i="2"/>
  <c r="F5" i="2" s="1"/>
  <c r="F179" i="9" s="1"/>
  <c r="R16" i="17"/>
  <c r="R65" i="15"/>
  <c r="R73" i="15" s="1"/>
  <c r="R195" i="9"/>
  <c r="R19" i="17"/>
  <c r="R101" i="15"/>
  <c r="V135" i="9"/>
  <c r="S113" i="15"/>
  <c r="S121" i="15" s="1"/>
  <c r="J133" i="15"/>
  <c r="J21" i="15" s="1"/>
  <c r="F85" i="15"/>
  <c r="F17" i="15" s="1"/>
  <c r="F31" i="11" s="1"/>
  <c r="F22" i="17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29" i="15"/>
  <c r="F73" i="15"/>
  <c r="F16" i="15" s="1"/>
  <c r="F30" i="11" s="1"/>
  <c r="J85" i="15"/>
  <c r="J17" i="15" s="1"/>
  <c r="J22" i="17"/>
  <c r="R14" i="17"/>
  <c r="R41" i="15"/>
  <c r="R197" i="9"/>
  <c r="R125" i="15"/>
  <c r="R133" i="15" s="1"/>
  <c r="F54" i="15"/>
  <c r="F229" i="9"/>
  <c r="J32" i="2"/>
  <c r="N13" i="2"/>
  <c r="F6" i="2"/>
  <c r="J9" i="9"/>
  <c r="F9" i="9"/>
  <c r="R9" i="9" s="1"/>
  <c r="L30" i="9"/>
  <c r="I32" i="9"/>
  <c r="M32" i="9" s="1"/>
  <c r="H129" i="9"/>
  <c r="H120" i="9"/>
  <c r="H106" i="9"/>
  <c r="H81" i="9"/>
  <c r="L81" i="9" s="1"/>
  <c r="H32" i="9"/>
  <c r="L32" i="9" s="1"/>
  <c r="H29" i="9"/>
  <c r="H13" i="9"/>
  <c r="L13" i="9" s="1"/>
  <c r="E84" i="9"/>
  <c r="E85" i="9"/>
  <c r="E86" i="9"/>
  <c r="F17" i="11" l="1"/>
  <c r="N20" i="16"/>
  <c r="F14" i="11"/>
  <c r="N14" i="11" s="1"/>
  <c r="N17" i="16"/>
  <c r="F15" i="11"/>
  <c r="N15" i="11" s="1"/>
  <c r="N18" i="16"/>
  <c r="F16" i="16"/>
  <c r="N72" i="16"/>
  <c r="F15" i="16"/>
  <c r="N60" i="16"/>
  <c r="F16" i="11"/>
  <c r="N16" i="11" s="1"/>
  <c r="N19" i="16"/>
  <c r="F13" i="16"/>
  <c r="N36" i="16"/>
  <c r="F11" i="11"/>
  <c r="N11" i="11" s="1"/>
  <c r="N14" i="16"/>
  <c r="F35" i="17"/>
  <c r="N35" i="17" s="1"/>
  <c r="N22" i="17"/>
  <c r="F62" i="17"/>
  <c r="N62" i="17" s="1"/>
  <c r="J35" i="17"/>
  <c r="J42" i="17"/>
  <c r="J89" i="2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F7" i="2"/>
  <c r="E81" i="9"/>
  <c r="N16" i="16" l="1"/>
  <c r="F13" i="11"/>
  <c r="F10" i="11"/>
  <c r="N10" i="11" s="1"/>
  <c r="N13" i="16"/>
  <c r="F22" i="16"/>
  <c r="F12" i="11"/>
  <c r="N12" i="11" s="1"/>
  <c r="N15" i="16"/>
  <c r="J49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E30" i="10"/>
  <c r="I30" i="10"/>
  <c r="E47" i="10"/>
  <c r="E50" i="10"/>
  <c r="E67" i="10"/>
  <c r="E72" i="10"/>
  <c r="E76" i="10"/>
  <c r="I76" i="10"/>
  <c r="C72" i="10"/>
  <c r="H72" i="10"/>
  <c r="L72" i="10" s="1"/>
  <c r="I72" i="10"/>
  <c r="H67" i="10"/>
  <c r="D67" i="10"/>
  <c r="I67" i="10"/>
  <c r="I50" i="10"/>
  <c r="C47" i="10"/>
  <c r="L47" i="10" s="1"/>
  <c r="I47" i="10"/>
  <c r="I42" i="10"/>
  <c r="H76" i="10"/>
  <c r="L76" i="10" s="1"/>
  <c r="M67" i="10" l="1"/>
  <c r="L43" i="10"/>
  <c r="F9" i="16"/>
  <c r="N9" i="16" s="1"/>
  <c r="N22" i="16"/>
  <c r="F19" i="1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M112" i="16" s="1"/>
  <c r="E31" i="17"/>
  <c r="E30" i="17"/>
  <c r="E100" i="16"/>
  <c r="E29" i="17"/>
  <c r="E88" i="16"/>
  <c r="E76" i="16"/>
  <c r="E28" i="17"/>
  <c r="E27" i="17"/>
  <c r="E64" i="16"/>
  <c r="E40" i="16"/>
  <c r="E25" i="17"/>
  <c r="D76" i="16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H13" i="10"/>
  <c r="L13" i="10" s="1"/>
  <c r="H50" i="10"/>
  <c r="L50" i="10" s="1"/>
  <c r="H30" i="10"/>
  <c r="I13" i="10"/>
  <c r="E39" i="10"/>
  <c r="E13" i="10"/>
  <c r="M30" i="17" l="1"/>
  <c r="R30" i="17"/>
  <c r="M29" i="17"/>
  <c r="R29" i="17"/>
  <c r="R27" i="17"/>
  <c r="M27" i="17"/>
  <c r="M28" i="17"/>
  <c r="R28" i="17"/>
  <c r="Q28" i="17"/>
  <c r="L28" i="17"/>
  <c r="R25" i="17"/>
  <c r="M25" i="17"/>
  <c r="R31" i="17"/>
  <c r="M31" i="17"/>
  <c r="E96" i="16"/>
  <c r="M88" i="16"/>
  <c r="D84" i="16"/>
  <c r="L76" i="16"/>
  <c r="E108" i="16"/>
  <c r="M100" i="16"/>
  <c r="E84" i="16"/>
  <c r="M76" i="16"/>
  <c r="E48" i="16"/>
  <c r="M40" i="16"/>
  <c r="M64" i="16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H24" i="17"/>
  <c r="H28" i="16"/>
  <c r="I28" i="16"/>
  <c r="I24" i="17"/>
  <c r="E24" i="17"/>
  <c r="E28" i="16"/>
  <c r="E26" i="17"/>
  <c r="E52" i="16"/>
  <c r="E96" i="10"/>
  <c r="E29" i="7"/>
  <c r="E95" i="6"/>
  <c r="E93" i="6"/>
  <c r="E95" i="5"/>
  <c r="E71" i="4"/>
  <c r="E66" i="4"/>
  <c r="E48" i="4"/>
  <c r="E72" i="3"/>
  <c r="E49" i="3"/>
  <c r="D48" i="2"/>
  <c r="M28" i="16" l="1"/>
  <c r="R26" i="17"/>
  <c r="R24" i="17"/>
  <c r="M24" i="17"/>
  <c r="E17" i="16"/>
  <c r="M84" i="16"/>
  <c r="D17" i="16"/>
  <c r="L84" i="16"/>
  <c r="E19" i="16"/>
  <c r="M108" i="16"/>
  <c r="E60" i="16"/>
  <c r="E14" i="16"/>
  <c r="M48" i="16"/>
  <c r="E18" i="16"/>
  <c r="M96" i="16"/>
  <c r="H96" i="10"/>
  <c r="H9" i="10" s="1"/>
  <c r="H26" i="17"/>
  <c r="H33" i="17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135" i="17"/>
  <c r="E68" i="16"/>
  <c r="E213" i="9"/>
  <c r="E30" i="15"/>
  <c r="E233" i="9"/>
  <c r="E58" i="15"/>
  <c r="E232" i="9"/>
  <c r="E57" i="15"/>
  <c r="N13" i="7"/>
  <c r="E32" i="4"/>
  <c r="E96" i="17" s="1"/>
  <c r="N41" i="2"/>
  <c r="N66" i="2"/>
  <c r="N71" i="2"/>
  <c r="N33" i="2"/>
  <c r="E9" i="10"/>
  <c r="N9" i="10" s="1"/>
  <c r="E102" i="6"/>
  <c r="E89" i="7"/>
  <c r="L17" i="16" l="1"/>
  <c r="D14" i="11"/>
  <c r="L14" i="11" s="1"/>
  <c r="E36" i="16"/>
  <c r="M33" i="16"/>
  <c r="E15" i="16"/>
  <c r="M19" i="16"/>
  <c r="E16" i="11"/>
  <c r="R19" i="16"/>
  <c r="R16" i="11" s="1"/>
  <c r="M18" i="16"/>
  <c r="R18" i="16"/>
  <c r="R15" i="11" s="1"/>
  <c r="E15" i="11"/>
  <c r="M14" i="16"/>
  <c r="R14" i="16"/>
  <c r="R11" i="11" s="1"/>
  <c r="E11" i="11"/>
  <c r="M17" i="16"/>
  <c r="E14" i="11"/>
  <c r="R17" i="16"/>
  <c r="R14" i="11" s="1"/>
  <c r="E168" i="17"/>
  <c r="E177" i="17"/>
  <c r="E59" i="15"/>
  <c r="E234" i="9"/>
  <c r="E219" i="9"/>
  <c r="E140" i="16"/>
  <c r="M140" i="16" s="1"/>
  <c r="E141" i="15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70" i="17" l="1"/>
  <c r="R15" i="16"/>
  <c r="R12" i="11" s="1"/>
  <c r="E12" i="11"/>
  <c r="E13" i="16"/>
  <c r="E184" i="17"/>
  <c r="E42" i="17"/>
  <c r="E89" i="2"/>
  <c r="E139" i="17"/>
  <c r="E67" i="16"/>
  <c r="E108" i="17"/>
  <c r="E54" i="17"/>
  <c r="E65" i="16"/>
  <c r="E5" i="7"/>
  <c r="E184" i="9" s="1"/>
  <c r="E182" i="9"/>
  <c r="E54" i="15"/>
  <c r="E229" i="9"/>
  <c r="E7" i="6"/>
  <c r="E102" i="5"/>
  <c r="E6" i="5" s="1"/>
  <c r="E7" i="5" s="1"/>
  <c r="N32" i="2"/>
  <c r="I66" i="6"/>
  <c r="M66" i="6" s="1"/>
  <c r="I71" i="6"/>
  <c r="M71" i="6" s="1"/>
  <c r="I41" i="4"/>
  <c r="M41" i="4" s="1"/>
  <c r="M65" i="3"/>
  <c r="M63" i="3"/>
  <c r="M50" i="3"/>
  <c r="M73" i="3"/>
  <c r="I53" i="4"/>
  <c r="I71" i="2"/>
  <c r="M64" i="2"/>
  <c r="M53" i="2"/>
  <c r="M46" i="2"/>
  <c r="I66" i="5"/>
  <c r="M66" i="5" s="1"/>
  <c r="E141" i="17" l="1"/>
  <c r="E143" i="17" s="1"/>
  <c r="R54" i="17"/>
  <c r="R42" i="17"/>
  <c r="E10" i="11"/>
  <c r="R13" i="16"/>
  <c r="R10" i="11" s="1"/>
  <c r="E197" i="17"/>
  <c r="I71" i="5"/>
  <c r="M71" i="5" s="1"/>
  <c r="I71" i="4"/>
  <c r="E49" i="17"/>
  <c r="H66" i="6"/>
  <c r="I33" i="6"/>
  <c r="M33" i="6" s="1"/>
  <c r="I48" i="6"/>
  <c r="M48" i="6" s="1"/>
  <c r="I41" i="5"/>
  <c r="M41" i="5" s="1"/>
  <c r="I33" i="5"/>
  <c r="M33" i="5" s="1"/>
  <c r="I48" i="5"/>
  <c r="M48" i="5" s="1"/>
  <c r="I189" i="9"/>
  <c r="E72" i="16"/>
  <c r="I48" i="4"/>
  <c r="I33" i="4"/>
  <c r="M33" i="4" s="1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I66" i="4"/>
  <c r="M66" i="4" s="1"/>
  <c r="N84" i="3"/>
  <c r="M84" i="3"/>
  <c r="N37" i="3"/>
  <c r="M37" i="3"/>
  <c r="N59" i="3"/>
  <c r="M59" i="3"/>
  <c r="N81" i="3"/>
  <c r="N35" i="3"/>
  <c r="N63" i="3"/>
  <c r="N65" i="3"/>
  <c r="E5" i="2"/>
  <c r="E179" i="9" s="1"/>
  <c r="I42" i="3"/>
  <c r="I72" i="3"/>
  <c r="I49" i="3"/>
  <c r="I81" i="9"/>
  <c r="H48" i="2"/>
  <c r="H32" i="6" l="1"/>
  <c r="L32" i="6" s="1"/>
  <c r="L66" i="6"/>
  <c r="E16" i="16"/>
  <c r="R16" i="16" s="1"/>
  <c r="R13" i="11" s="1"/>
  <c r="I32" i="6"/>
  <c r="H150" i="17"/>
  <c r="H157" i="17" s="1"/>
  <c r="I177" i="17"/>
  <c r="M177" i="17" s="1"/>
  <c r="I234" i="9"/>
  <c r="I59" i="15"/>
  <c r="I32" i="5"/>
  <c r="I32" i="4"/>
  <c r="I16" i="17"/>
  <c r="M16" i="17" s="1"/>
  <c r="I65" i="15"/>
  <c r="J72" i="3"/>
  <c r="N72" i="3" s="1"/>
  <c r="N73" i="3"/>
  <c r="J49" i="3"/>
  <c r="N49" i="3" s="1"/>
  <c r="N50" i="3"/>
  <c r="N34" i="3"/>
  <c r="J42" i="3"/>
  <c r="L64" i="2"/>
  <c r="I33" i="3"/>
  <c r="I69" i="17" s="1"/>
  <c r="I129" i="9"/>
  <c r="M129" i="9" s="1"/>
  <c r="I106" i="9"/>
  <c r="I120" i="9"/>
  <c r="M120" i="9" s="1"/>
  <c r="I32" i="2"/>
  <c r="I42" i="17" s="1"/>
  <c r="M42" i="17" s="1"/>
  <c r="I96" i="5"/>
  <c r="I94" i="6"/>
  <c r="I29" i="4"/>
  <c r="M29" i="4" s="1"/>
  <c r="M22" i="3"/>
  <c r="M20" i="3"/>
  <c r="M17" i="3"/>
  <c r="M21" i="2"/>
  <c r="I29" i="2"/>
  <c r="M23" i="2"/>
  <c r="M19" i="2"/>
  <c r="H89" i="6" l="1"/>
  <c r="I150" i="17"/>
  <c r="M150" i="17" s="1"/>
  <c r="I123" i="17"/>
  <c r="M123" i="17" s="1"/>
  <c r="I96" i="17"/>
  <c r="M96" i="17" s="1"/>
  <c r="E13" i="11"/>
  <c r="I57" i="15"/>
  <c r="I58" i="15"/>
  <c r="I233" i="9"/>
  <c r="I232" i="9"/>
  <c r="I194" i="17"/>
  <c r="M194" i="17" s="1"/>
  <c r="I130" i="16"/>
  <c r="M130" i="16" s="1"/>
  <c r="I99" i="7"/>
  <c r="M99" i="7" s="1"/>
  <c r="I29" i="6"/>
  <c r="M29" i="6" s="1"/>
  <c r="I29" i="5"/>
  <c r="M29" i="5" s="1"/>
  <c r="I95" i="17"/>
  <c r="I44" i="15"/>
  <c r="I223" i="9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I93" i="6"/>
  <c r="I95" i="5"/>
  <c r="M95" i="5" s="1"/>
  <c r="I29" i="7"/>
  <c r="I95" i="6"/>
  <c r="M95" i="6" s="1"/>
  <c r="I95" i="4"/>
  <c r="I95" i="2"/>
  <c r="I102" i="2" s="1"/>
  <c r="I34" i="15" l="1"/>
  <c r="M13" i="6"/>
  <c r="I102" i="4"/>
  <c r="I89" i="4"/>
  <c r="M13" i="4"/>
  <c r="I193" i="17"/>
  <c r="M193" i="17" s="1"/>
  <c r="I89" i="7"/>
  <c r="I89" i="6"/>
  <c r="I217" i="9"/>
  <c r="I148" i="17"/>
  <c r="M148" i="17" s="1"/>
  <c r="I90" i="3"/>
  <c r="I5" i="3" s="1"/>
  <c r="I180" i="9" s="1"/>
  <c r="M118" i="16"/>
  <c r="I132" i="16"/>
  <c r="I176" i="17"/>
  <c r="M176" i="17" s="1"/>
  <c r="I47" i="15"/>
  <c r="I226" i="9"/>
  <c r="I175" i="17"/>
  <c r="M175" i="17" s="1"/>
  <c r="I35" i="15"/>
  <c r="I218" i="9"/>
  <c r="I159" i="17"/>
  <c r="I33" i="16"/>
  <c r="I149" i="17"/>
  <c r="M149" i="17" s="1"/>
  <c r="I225" i="9"/>
  <c r="I46" i="15"/>
  <c r="I162" i="17"/>
  <c r="M162" i="17" s="1"/>
  <c r="I69" i="16"/>
  <c r="M69" i="16" s="1"/>
  <c r="I135" i="17"/>
  <c r="M135" i="17" s="1"/>
  <c r="I68" i="16"/>
  <c r="M68" i="16" s="1"/>
  <c r="I122" i="17"/>
  <c r="M122" i="17" s="1"/>
  <c r="I45" i="15"/>
  <c r="I224" i="9"/>
  <c r="I89" i="5"/>
  <c r="I121" i="17"/>
  <c r="M121" i="17" s="1"/>
  <c r="I216" i="9"/>
  <c r="I33" i="15"/>
  <c r="I108" i="17"/>
  <c r="M108" i="17" s="1"/>
  <c r="I67" i="16"/>
  <c r="M67" i="16" s="1"/>
  <c r="J67" i="16"/>
  <c r="J108" i="17"/>
  <c r="I94" i="17"/>
  <c r="M94" i="17" s="1"/>
  <c r="I32" i="15"/>
  <c r="I215" i="9"/>
  <c r="I68" i="17"/>
  <c r="I43" i="15"/>
  <c r="I222" i="9"/>
  <c r="I67" i="17"/>
  <c r="M67" i="17" s="1"/>
  <c r="I31" i="15"/>
  <c r="I214" i="9"/>
  <c r="I40" i="17"/>
  <c r="M40" i="17" s="1"/>
  <c r="I30" i="15"/>
  <c r="I213" i="9"/>
  <c r="I54" i="17"/>
  <c r="M54" i="17" s="1"/>
  <c r="I65" i="16"/>
  <c r="M65" i="16" s="1"/>
  <c r="I30" i="11"/>
  <c r="M16" i="15"/>
  <c r="I32" i="11"/>
  <c r="I109" i="15"/>
  <c r="I19" i="15" s="1"/>
  <c r="I85" i="15"/>
  <c r="I17" i="15" s="1"/>
  <c r="J55" i="15"/>
  <c r="J230" i="9"/>
  <c r="J95" i="5"/>
  <c r="N13" i="5"/>
  <c r="J30" i="3"/>
  <c r="J90" i="3" s="1"/>
  <c r="N96" i="2"/>
  <c r="J95" i="2"/>
  <c r="J102" i="2" s="1"/>
  <c r="N30" i="2"/>
  <c r="M30" i="9"/>
  <c r="I13" i="9"/>
  <c r="M13" i="9" s="1"/>
  <c r="E120" i="9"/>
  <c r="I29" i="9"/>
  <c r="I5" i="7" l="1"/>
  <c r="I184" i="9" s="1"/>
  <c r="J114" i="17"/>
  <c r="I227" i="9"/>
  <c r="I184" i="17"/>
  <c r="M184" i="17" s="1"/>
  <c r="I157" i="17"/>
  <c r="M157" i="17" s="1"/>
  <c r="I130" i="17"/>
  <c r="M130" i="17" s="1"/>
  <c r="I114" i="17"/>
  <c r="I103" i="17"/>
  <c r="I60" i="17"/>
  <c r="I49" i="17"/>
  <c r="M49" i="17" s="1"/>
  <c r="I168" i="17"/>
  <c r="M168" i="17" s="1"/>
  <c r="J135" i="17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33" i="11"/>
  <c r="I31" i="11"/>
  <c r="I13" i="17"/>
  <c r="I29" i="15"/>
  <c r="I37" i="15" s="1"/>
  <c r="I13" i="15" s="1"/>
  <c r="E18" i="17"/>
  <c r="E89" i="15"/>
  <c r="E97" i="15" s="1"/>
  <c r="E18" i="15" s="1"/>
  <c r="I14" i="17"/>
  <c r="I41" i="15"/>
  <c r="I49" i="15" s="1"/>
  <c r="I14" i="15" s="1"/>
  <c r="E194" i="9"/>
  <c r="I5" i="6"/>
  <c r="I183" i="9" s="1"/>
  <c r="J5" i="3"/>
  <c r="I5" i="5"/>
  <c r="I182" i="9" s="1"/>
  <c r="N29" i="2"/>
  <c r="I5" i="2"/>
  <c r="I179" i="9" s="1"/>
  <c r="N30" i="9"/>
  <c r="E13" i="9"/>
  <c r="M18" i="17" l="1"/>
  <c r="J60" i="17"/>
  <c r="J76" i="17"/>
  <c r="I170" i="17"/>
  <c r="M170" i="17" s="1"/>
  <c r="I116" i="17"/>
  <c r="I62" i="17"/>
  <c r="J72" i="16"/>
  <c r="J16" i="16" s="1"/>
  <c r="J28" i="11"/>
  <c r="E32" i="11"/>
  <c r="M18" i="15"/>
  <c r="E13" i="17"/>
  <c r="E29" i="15"/>
  <c r="E37" i="15" s="1"/>
  <c r="E13" i="15" s="1"/>
  <c r="E27" i="11" s="1"/>
  <c r="I28" i="11"/>
  <c r="I27" i="11"/>
  <c r="N5" i="3"/>
  <c r="J180" i="9"/>
  <c r="J5" i="5"/>
  <c r="J182" i="9" s="1"/>
  <c r="N89" i="2"/>
  <c r="J5" i="2"/>
  <c r="E29" i="9"/>
  <c r="H95" i="7"/>
  <c r="L95" i="7" s="1"/>
  <c r="D71" i="6"/>
  <c r="D32" i="6" s="1"/>
  <c r="D93" i="6"/>
  <c r="H93" i="6"/>
  <c r="H95" i="6"/>
  <c r="L95" i="6" s="1"/>
  <c r="H95" i="5"/>
  <c r="L95" i="5" s="1"/>
  <c r="D95" i="5"/>
  <c r="D102" i="5" s="1"/>
  <c r="D71" i="5"/>
  <c r="D32" i="5" s="1"/>
  <c r="D13" i="3"/>
  <c r="P82" i="9"/>
  <c r="S82" i="9" s="1"/>
  <c r="D114" i="9"/>
  <c r="H95" i="4"/>
  <c r="C95" i="4"/>
  <c r="D48" i="4"/>
  <c r="M48" i="4" s="1"/>
  <c r="D33" i="4"/>
  <c r="D71" i="4"/>
  <c r="M71" i="4" s="1"/>
  <c r="D66" i="4"/>
  <c r="H66" i="4"/>
  <c r="L66" i="4" s="1"/>
  <c r="C66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76" i="10" s="1"/>
  <c r="D49" i="10"/>
  <c r="D29" i="7"/>
  <c r="H29" i="7"/>
  <c r="H30" i="3"/>
  <c r="D29" i="9"/>
  <c r="D120" i="9"/>
  <c r="C81" i="9"/>
  <c r="C76" i="10"/>
  <c r="C13" i="9"/>
  <c r="C32" i="9"/>
  <c r="C29" i="9"/>
  <c r="C29" i="7"/>
  <c r="C120" i="9"/>
  <c r="C129" i="9"/>
  <c r="L129" i="9" s="1"/>
  <c r="C30" i="10"/>
  <c r="L30" i="10" s="1"/>
  <c r="C67" i="10"/>
  <c r="L67" i="10" s="1"/>
  <c r="C50" i="10"/>
  <c r="M13" i="17" l="1"/>
  <c r="R13" i="17"/>
  <c r="R22" i="17" s="1"/>
  <c r="P32" i="6"/>
  <c r="Q32" i="6"/>
  <c r="M32" i="6"/>
  <c r="D123" i="17"/>
  <c r="L123" i="17" s="1"/>
  <c r="M32" i="5"/>
  <c r="H102" i="4"/>
  <c r="L102" i="4" s="1"/>
  <c r="L95" i="4"/>
  <c r="C18" i="17"/>
  <c r="L120" i="9"/>
  <c r="C30" i="17"/>
  <c r="C100" i="16"/>
  <c r="C108" i="16" s="1"/>
  <c r="C19" i="16" s="1"/>
  <c r="C16" i="11" s="1"/>
  <c r="J13" i="11"/>
  <c r="N13" i="11" s="1"/>
  <c r="J62" i="17"/>
  <c r="C93" i="5"/>
  <c r="J89" i="17"/>
  <c r="H89" i="7"/>
  <c r="D150" i="17"/>
  <c r="L150" i="17" s="1"/>
  <c r="D89" i="6"/>
  <c r="M89" i="6" s="1"/>
  <c r="D100" i="16"/>
  <c r="D30" i="17"/>
  <c r="D32" i="17"/>
  <c r="D124" i="16"/>
  <c r="L124" i="16" s="1"/>
  <c r="C28" i="17"/>
  <c r="P28" i="17" s="1"/>
  <c r="S28" i="17" s="1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M14" i="10" s="1"/>
  <c r="C176" i="17"/>
  <c r="C226" i="9"/>
  <c r="C47" i="15"/>
  <c r="C177" i="17"/>
  <c r="C59" i="15"/>
  <c r="C234" i="9"/>
  <c r="M29" i="7"/>
  <c r="D176" i="17"/>
  <c r="D47" i="15"/>
  <c r="D226" i="9"/>
  <c r="D142" i="16"/>
  <c r="L142" i="16" s="1"/>
  <c r="D143" i="15"/>
  <c r="D99" i="7"/>
  <c r="D118" i="16" s="1"/>
  <c r="L118" i="16" s="1"/>
  <c r="H177" i="17"/>
  <c r="H234" i="9"/>
  <c r="H59" i="15"/>
  <c r="H102" i="7"/>
  <c r="H189" i="17"/>
  <c r="L189" i="17" s="1"/>
  <c r="H70" i="16"/>
  <c r="L70" i="16" s="1"/>
  <c r="H176" i="17"/>
  <c r="H47" i="15"/>
  <c r="H226" i="9"/>
  <c r="C162" i="17"/>
  <c r="C69" i="16"/>
  <c r="H162" i="17"/>
  <c r="H69" i="16"/>
  <c r="D159" i="17"/>
  <c r="D33" i="16"/>
  <c r="L33" i="16" s="1"/>
  <c r="D148" i="17"/>
  <c r="L148" i="17" s="1"/>
  <c r="D217" i="9"/>
  <c r="D34" i="15"/>
  <c r="H159" i="17"/>
  <c r="H33" i="16"/>
  <c r="H36" i="16" s="1"/>
  <c r="H13" i="16" s="1"/>
  <c r="D89" i="5"/>
  <c r="M89" i="5" s="1"/>
  <c r="D121" i="17"/>
  <c r="D216" i="9"/>
  <c r="D33" i="15"/>
  <c r="H135" i="17"/>
  <c r="H68" i="16"/>
  <c r="H139" i="17"/>
  <c r="H120" i="16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L127" i="16" s="1"/>
  <c r="D113" i="17"/>
  <c r="L113" i="17" s="1"/>
  <c r="D99" i="4"/>
  <c r="H32" i="4"/>
  <c r="L32" i="4" s="1"/>
  <c r="H68" i="17"/>
  <c r="H43" i="15"/>
  <c r="H222" i="9"/>
  <c r="C68" i="17"/>
  <c r="C222" i="9"/>
  <c r="C43" i="15"/>
  <c r="D86" i="17"/>
  <c r="L86" i="17" s="1"/>
  <c r="D126" i="16"/>
  <c r="L126" i="16" s="1"/>
  <c r="D67" i="17"/>
  <c r="L67" i="17" s="1"/>
  <c r="D214" i="9"/>
  <c r="D31" i="15"/>
  <c r="D40" i="17"/>
  <c r="D30" i="15"/>
  <c r="D213" i="9"/>
  <c r="H54" i="17"/>
  <c r="H60" i="17" s="1"/>
  <c r="H65" i="16"/>
  <c r="D137" i="16"/>
  <c r="L137" i="16" s="1"/>
  <c r="D99" i="2"/>
  <c r="D138" i="15"/>
  <c r="D59" i="17"/>
  <c r="D125" i="16"/>
  <c r="L125" i="16" s="1"/>
  <c r="C65" i="16"/>
  <c r="C54" i="17"/>
  <c r="M13" i="15"/>
  <c r="C13" i="17"/>
  <c r="C212" i="9"/>
  <c r="C29" i="15"/>
  <c r="D14" i="17"/>
  <c r="D41" i="15"/>
  <c r="C194" i="9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D89" i="15"/>
  <c r="D97" i="15" s="1"/>
  <c r="D18" i="15" s="1"/>
  <c r="E14" i="17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32" i="7"/>
  <c r="L29" i="7"/>
  <c r="I95" i="7"/>
  <c r="M95" i="7" s="1"/>
  <c r="M13" i="3"/>
  <c r="L13" i="5"/>
  <c r="N5" i="5"/>
  <c r="D95" i="4"/>
  <c r="M95" i="4" s="1"/>
  <c r="E29" i="4"/>
  <c r="E89" i="4" s="1"/>
  <c r="M34" i="3"/>
  <c r="M49" i="3"/>
  <c r="E42" i="3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T82" i="9"/>
  <c r="V82" i="9"/>
  <c r="L29" i="9"/>
  <c r="Q120" i="9"/>
  <c r="P120" i="9"/>
  <c r="N29" i="9"/>
  <c r="Q29" i="9"/>
  <c r="P29" i="9"/>
  <c r="D47" i="10"/>
  <c r="M47" i="10" s="1"/>
  <c r="M29" i="9"/>
  <c r="M80" i="10"/>
  <c r="E30" i="3"/>
  <c r="H6" i="3"/>
  <c r="C33" i="3"/>
  <c r="C69" i="17" s="1"/>
  <c r="D129" i="9"/>
  <c r="D42" i="3"/>
  <c r="M13" i="2"/>
  <c r="D106" i="9"/>
  <c r="M106" i="9" s="1"/>
  <c r="M16" i="11"/>
  <c r="D30" i="3"/>
  <c r="H102" i="5"/>
  <c r="D95" i="6"/>
  <c r="D13" i="9"/>
  <c r="D81" i="9"/>
  <c r="M81" i="9" s="1"/>
  <c r="H32" i="2"/>
  <c r="H33" i="3"/>
  <c r="H69" i="17" s="1"/>
  <c r="H102" i="6"/>
  <c r="C32" i="2"/>
  <c r="C32" i="4"/>
  <c r="D30" i="10"/>
  <c r="M30" i="10" s="1"/>
  <c r="L176" i="17" l="1"/>
  <c r="S120" i="9"/>
  <c r="L18" i="17"/>
  <c r="Q18" i="17"/>
  <c r="P18" i="17"/>
  <c r="P14" i="17"/>
  <c r="L14" i="17"/>
  <c r="Q14" i="17"/>
  <c r="M14" i="17"/>
  <c r="S29" i="9"/>
  <c r="S32" i="6"/>
  <c r="H6" i="5"/>
  <c r="L102" i="5"/>
  <c r="P121" i="17"/>
  <c r="L121" i="17"/>
  <c r="Q121" i="17"/>
  <c r="L30" i="17"/>
  <c r="P30" i="17"/>
  <c r="Q30" i="17"/>
  <c r="L59" i="17"/>
  <c r="P59" i="17"/>
  <c r="P40" i="17"/>
  <c r="L40" i="17"/>
  <c r="Q40" i="17"/>
  <c r="L32" i="17"/>
  <c r="Q32" i="17"/>
  <c r="L68" i="16"/>
  <c r="D108" i="16"/>
  <c r="L100" i="16"/>
  <c r="H5" i="7"/>
  <c r="H184" i="9" s="1"/>
  <c r="H184" i="17"/>
  <c r="C132" i="17"/>
  <c r="C32" i="16"/>
  <c r="C36" i="16" s="1"/>
  <c r="C13" i="16" s="1"/>
  <c r="C10" i="11" s="1"/>
  <c r="C227" i="9"/>
  <c r="H195" i="17"/>
  <c r="H227" i="9"/>
  <c r="D89" i="7"/>
  <c r="M89" i="7" s="1"/>
  <c r="M13" i="7"/>
  <c r="H72" i="16"/>
  <c r="H16" i="16" s="1"/>
  <c r="H13" i="11" s="1"/>
  <c r="D157" i="17"/>
  <c r="L157" i="17" s="1"/>
  <c r="H141" i="17"/>
  <c r="H143" i="17" s="1"/>
  <c r="D130" i="17"/>
  <c r="L130" i="17" s="1"/>
  <c r="D115" i="16"/>
  <c r="L115" i="16" s="1"/>
  <c r="D102" i="4"/>
  <c r="H90" i="3"/>
  <c r="H42" i="17"/>
  <c r="H49" i="17" s="1"/>
  <c r="H62" i="17" s="1"/>
  <c r="H89" i="2"/>
  <c r="D113" i="16"/>
  <c r="L113" i="16" s="1"/>
  <c r="C42" i="17"/>
  <c r="C49" i="17" s="1"/>
  <c r="C89" i="2"/>
  <c r="C105" i="2" s="1"/>
  <c r="D108" i="2" s="1"/>
  <c r="D112" i="16"/>
  <c r="L112" i="16" s="1"/>
  <c r="D31" i="17"/>
  <c r="C14" i="11"/>
  <c r="P17" i="16"/>
  <c r="D40" i="16"/>
  <c r="D25" i="17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L175" i="17" s="1"/>
  <c r="D218" i="9"/>
  <c r="D219" i="9" s="1"/>
  <c r="D35" i="15"/>
  <c r="I102" i="7"/>
  <c r="I189" i="17"/>
  <c r="M189" i="17" s="1"/>
  <c r="I70" i="16"/>
  <c r="D193" i="17"/>
  <c r="L193" i="17" s="1"/>
  <c r="D102" i="7"/>
  <c r="D6" i="7" s="1"/>
  <c r="D162" i="17"/>
  <c r="L162" i="17" s="1"/>
  <c r="D69" i="16"/>
  <c r="L69" i="16" s="1"/>
  <c r="H10" i="11"/>
  <c r="H168" i="17"/>
  <c r="H170" i="17" s="1"/>
  <c r="D116" i="16"/>
  <c r="L116" i="16" s="1"/>
  <c r="D140" i="16"/>
  <c r="L140" i="16" s="1"/>
  <c r="D141" i="15"/>
  <c r="H17" i="11"/>
  <c r="H18" i="11"/>
  <c r="C96" i="17"/>
  <c r="C103" i="17" s="1"/>
  <c r="C89" i="4"/>
  <c r="H96" i="17"/>
  <c r="H103" i="17" s="1"/>
  <c r="H116" i="17" s="1"/>
  <c r="H89" i="4"/>
  <c r="L89" i="4" s="1"/>
  <c r="E113" i="17"/>
  <c r="M113" i="17" s="1"/>
  <c r="E127" i="16"/>
  <c r="M127" i="16" s="1"/>
  <c r="E99" i="4"/>
  <c r="D108" i="17"/>
  <c r="L108" i="17" s="1"/>
  <c r="D67" i="16"/>
  <c r="L67" i="16" s="1"/>
  <c r="C72" i="16"/>
  <c r="C16" i="16" s="1"/>
  <c r="C13" i="11" s="1"/>
  <c r="E95" i="17"/>
  <c r="M95" i="17" s="1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E126" i="16"/>
  <c r="M126" i="16" s="1"/>
  <c r="E86" i="17"/>
  <c r="M86" i="17" s="1"/>
  <c r="H76" i="17"/>
  <c r="H89" i="17" s="1"/>
  <c r="E137" i="16"/>
  <c r="M137" i="16" s="1"/>
  <c r="E99" i="2"/>
  <c r="E138" i="15"/>
  <c r="D58" i="17"/>
  <c r="E59" i="17"/>
  <c r="E125" i="16"/>
  <c r="M125" i="16" s="1"/>
  <c r="D132" i="16"/>
  <c r="L132" i="16" s="1"/>
  <c r="D16" i="17"/>
  <c r="D65" i="15"/>
  <c r="D197" i="9"/>
  <c r="D21" i="17"/>
  <c r="D125" i="15"/>
  <c r="D15" i="17"/>
  <c r="D53" i="15"/>
  <c r="P194" i="9"/>
  <c r="P89" i="15"/>
  <c r="D195" i="9"/>
  <c r="D19" i="17"/>
  <c r="L19" i="17" s="1"/>
  <c r="D101" i="15"/>
  <c r="P41" i="15"/>
  <c r="Q194" i="9"/>
  <c r="Q89" i="15"/>
  <c r="D32" i="11"/>
  <c r="L32" i="11" s="1"/>
  <c r="L18" i="15"/>
  <c r="C73" i="15"/>
  <c r="C16" i="15" s="1"/>
  <c r="C30" i="11" s="1"/>
  <c r="D17" i="17"/>
  <c r="D77" i="15"/>
  <c r="Q41" i="15"/>
  <c r="D13" i="17"/>
  <c r="D29" i="15"/>
  <c r="C109" i="15"/>
  <c r="C19" i="15" s="1"/>
  <c r="C33" i="11" s="1"/>
  <c r="D58" i="15"/>
  <c r="D233" i="9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H5" i="6"/>
  <c r="H183" i="9" s="1"/>
  <c r="H6" i="6"/>
  <c r="D102" i="6"/>
  <c r="C5" i="5"/>
  <c r="C182" i="9" s="1"/>
  <c r="M13" i="5"/>
  <c r="H5" i="5"/>
  <c r="H182" i="9" s="1"/>
  <c r="J99" i="5"/>
  <c r="H6" i="4"/>
  <c r="J32" i="4"/>
  <c r="N42" i="3"/>
  <c r="M72" i="3"/>
  <c r="N47" i="3"/>
  <c r="F30" i="3"/>
  <c r="F90" i="3" s="1"/>
  <c r="N31" i="3"/>
  <c r="D33" i="3"/>
  <c r="D69" i="17" s="1"/>
  <c r="L69" i="17" s="1"/>
  <c r="M42" i="3"/>
  <c r="M100" i="2"/>
  <c r="M48" i="2"/>
  <c r="L32" i="2"/>
  <c r="H6" i="2"/>
  <c r="M96" i="2"/>
  <c r="M71" i="2"/>
  <c r="P81" i="9"/>
  <c r="Q81" i="9"/>
  <c r="D42" i="10"/>
  <c r="C42" i="10"/>
  <c r="L42" i="10" s="1"/>
  <c r="N100" i="2"/>
  <c r="P129" i="9"/>
  <c r="P13" i="9"/>
  <c r="Q13" i="9"/>
  <c r="D32" i="2"/>
  <c r="D72" i="10"/>
  <c r="M72" i="10" s="1"/>
  <c r="D50" i="10"/>
  <c r="M50" i="10" s="1"/>
  <c r="D13" i="10"/>
  <c r="M13" i="10" s="1"/>
  <c r="M15" i="11"/>
  <c r="I102" i="6"/>
  <c r="E69" i="17"/>
  <c r="M69" i="17" s="1"/>
  <c r="E5" i="4"/>
  <c r="E181" i="9" s="1"/>
  <c r="M30" i="3"/>
  <c r="M30" i="11"/>
  <c r="M32" i="11"/>
  <c r="M145" i="9"/>
  <c r="M27" i="11"/>
  <c r="I93" i="5"/>
  <c r="M93" i="5" s="1"/>
  <c r="D95" i="2"/>
  <c r="D102" i="2" s="1"/>
  <c r="M14" i="11"/>
  <c r="D32" i="4"/>
  <c r="M32" i="4" s="1"/>
  <c r="M11" i="11"/>
  <c r="P19" i="17" l="1"/>
  <c r="S18" i="17"/>
  <c r="T18" i="17" s="1"/>
  <c r="P16" i="17"/>
  <c r="L16" i="17"/>
  <c r="Q16" i="17"/>
  <c r="S81" i="9"/>
  <c r="P15" i="17"/>
  <c r="L15" i="17"/>
  <c r="S13" i="9"/>
  <c r="P13" i="17"/>
  <c r="L13" i="17"/>
  <c r="Q13" i="17"/>
  <c r="S14" i="17"/>
  <c r="L17" i="17"/>
  <c r="M102" i="7"/>
  <c r="I6" i="6"/>
  <c r="I7" i="6" s="1"/>
  <c r="M102" i="6"/>
  <c r="D6" i="4"/>
  <c r="M102" i="4"/>
  <c r="S30" i="17"/>
  <c r="Q59" i="17"/>
  <c r="M59" i="17"/>
  <c r="R59" i="17"/>
  <c r="L58" i="17"/>
  <c r="S59" i="17"/>
  <c r="S40" i="17"/>
  <c r="P14" i="11"/>
  <c r="D39" i="10"/>
  <c r="M42" i="10"/>
  <c r="Q25" i="17"/>
  <c r="L25" i="17"/>
  <c r="P25" i="17"/>
  <c r="L31" i="17"/>
  <c r="Q31" i="17"/>
  <c r="I72" i="16"/>
  <c r="M70" i="16"/>
  <c r="D48" i="16"/>
  <c r="L40" i="16"/>
  <c r="D19" i="16"/>
  <c r="L108" i="16"/>
  <c r="H197" i="17"/>
  <c r="C100" i="2"/>
  <c r="C5" i="4"/>
  <c r="C181" i="9" s="1"/>
  <c r="C105" i="4"/>
  <c r="C100" i="4" s="1"/>
  <c r="I195" i="17"/>
  <c r="M195" i="17" s="1"/>
  <c r="D184" i="17"/>
  <c r="L184" i="17" s="1"/>
  <c r="D195" i="17"/>
  <c r="L195" i="17" s="1"/>
  <c r="D168" i="17"/>
  <c r="L168" i="17" s="1"/>
  <c r="L14" i="15"/>
  <c r="E132" i="16"/>
  <c r="M132" i="16" s="1"/>
  <c r="E115" i="16"/>
  <c r="M115" i="16" s="1"/>
  <c r="E102" i="4"/>
  <c r="E6" i="4" s="1"/>
  <c r="E7" i="4" s="1"/>
  <c r="E103" i="17"/>
  <c r="M103" i="17" s="1"/>
  <c r="E49" i="15"/>
  <c r="E14" i="15" s="1"/>
  <c r="M14" i="15" s="1"/>
  <c r="D76" i="17"/>
  <c r="L76" i="17" s="1"/>
  <c r="D90" i="3"/>
  <c r="M90" i="3" s="1"/>
  <c r="E90" i="3"/>
  <c r="D42" i="17"/>
  <c r="D89" i="2"/>
  <c r="D5" i="2" s="1"/>
  <c r="D29" i="17"/>
  <c r="D88" i="16"/>
  <c r="D27" i="17"/>
  <c r="D64" i="16"/>
  <c r="L64" i="16" s="1"/>
  <c r="D52" i="16"/>
  <c r="D24" i="17"/>
  <c r="D28" i="16"/>
  <c r="E102" i="2"/>
  <c r="E6" i="2" s="1"/>
  <c r="E7" i="2" s="1"/>
  <c r="E113" i="16"/>
  <c r="M113" i="16" s="1"/>
  <c r="E58" i="17"/>
  <c r="D37" i="15"/>
  <c r="D13" i="15" s="1"/>
  <c r="D27" i="11" s="1"/>
  <c r="L27" i="11" s="1"/>
  <c r="D139" i="17"/>
  <c r="L139" i="17" s="1"/>
  <c r="D6" i="5"/>
  <c r="I132" i="17"/>
  <c r="M132" i="17" s="1"/>
  <c r="I32" i="16"/>
  <c r="J139" i="17"/>
  <c r="J116" i="16"/>
  <c r="J120" i="16" s="1"/>
  <c r="J20" i="16" s="1"/>
  <c r="H22" i="16"/>
  <c r="H9" i="16" s="1"/>
  <c r="J96" i="17"/>
  <c r="J89" i="4"/>
  <c r="J5" i="4" s="1"/>
  <c r="J181" i="9" s="1"/>
  <c r="D96" i="17"/>
  <c r="L96" i="17" s="1"/>
  <c r="D89" i="4"/>
  <c r="H61" i="15"/>
  <c r="H15" i="15" s="1"/>
  <c r="H29" i="11" s="1"/>
  <c r="E227" i="9"/>
  <c r="D114" i="17"/>
  <c r="L114" i="17" s="1"/>
  <c r="E112" i="17"/>
  <c r="M112" i="17" s="1"/>
  <c r="C61" i="15"/>
  <c r="C15" i="15" s="1"/>
  <c r="D28" i="11"/>
  <c r="L28" i="11" s="1"/>
  <c r="E76" i="17"/>
  <c r="M76" i="17" s="1"/>
  <c r="F68" i="17"/>
  <c r="N68" i="17" s="1"/>
  <c r="F43" i="15"/>
  <c r="F49" i="15" s="1"/>
  <c r="F14" i="15" s="1"/>
  <c r="F222" i="9"/>
  <c r="F227" i="9" s="1"/>
  <c r="F61" i="15"/>
  <c r="F15" i="15" s="1"/>
  <c r="D65" i="16"/>
  <c r="L65" i="16" s="1"/>
  <c r="D54" i="17"/>
  <c r="H19" i="11"/>
  <c r="D5" i="7"/>
  <c r="I21" i="17"/>
  <c r="I22" i="17" s="1"/>
  <c r="I125" i="15"/>
  <c r="S194" i="9"/>
  <c r="S89" i="15"/>
  <c r="T29" i="9"/>
  <c r="T14" i="17"/>
  <c r="S41" i="15"/>
  <c r="D109" i="15"/>
  <c r="D19" i="15" s="1"/>
  <c r="P65" i="15"/>
  <c r="P73" i="15" s="1"/>
  <c r="P195" i="9"/>
  <c r="P101" i="15"/>
  <c r="D22" i="17"/>
  <c r="D73" i="15"/>
  <c r="D16" i="15" s="1"/>
  <c r="P29" i="15"/>
  <c r="Q29" i="15"/>
  <c r="Q65" i="15"/>
  <c r="Q73" i="15" s="1"/>
  <c r="P53" i="15"/>
  <c r="D133" i="15"/>
  <c r="D21" i="15" s="1"/>
  <c r="D35" i="11" s="1"/>
  <c r="D85" i="15"/>
  <c r="D17" i="15" s="1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I171" i="9"/>
  <c r="I197" i="9"/>
  <c r="H7" i="6"/>
  <c r="D6" i="6"/>
  <c r="D5" i="6"/>
  <c r="F5" i="3"/>
  <c r="F180" i="9" s="1"/>
  <c r="D5" i="5"/>
  <c r="D182" i="9" s="1"/>
  <c r="J102" i="5"/>
  <c r="L5" i="5"/>
  <c r="H7" i="5"/>
  <c r="H5" i="4"/>
  <c r="H7" i="4" s="1"/>
  <c r="H5" i="3"/>
  <c r="H180" i="9" s="1"/>
  <c r="N100" i="3"/>
  <c r="F6" i="3"/>
  <c r="I6" i="2"/>
  <c r="M99" i="2"/>
  <c r="M95" i="2"/>
  <c r="M32" i="2"/>
  <c r="C5" i="2"/>
  <c r="C179" i="9" s="1"/>
  <c r="V120" i="9"/>
  <c r="T120" i="9"/>
  <c r="N99" i="2"/>
  <c r="V29" i="9"/>
  <c r="H5" i="2"/>
  <c r="H179" i="9" s="1"/>
  <c r="L89" i="2"/>
  <c r="I168" i="9"/>
  <c r="I5" i="4"/>
  <c r="E106" i="9"/>
  <c r="E129" i="9"/>
  <c r="E32" i="9"/>
  <c r="D96" i="10"/>
  <c r="D168" i="9"/>
  <c r="I9" i="9" l="1"/>
  <c r="I36" i="16"/>
  <c r="M36" i="16" s="1"/>
  <c r="M32" i="16"/>
  <c r="S16" i="17"/>
  <c r="T16" i="17" s="1"/>
  <c r="S13" i="17"/>
  <c r="D5" i="4"/>
  <c r="D181" i="9" s="1"/>
  <c r="M89" i="4"/>
  <c r="Q58" i="17"/>
  <c r="M58" i="17"/>
  <c r="R58" i="17"/>
  <c r="P54" i="17"/>
  <c r="L54" i="17"/>
  <c r="Q54" i="17"/>
  <c r="Q42" i="17"/>
  <c r="P42" i="17"/>
  <c r="L42" i="17"/>
  <c r="P29" i="17"/>
  <c r="L29" i="17"/>
  <c r="Q29" i="17"/>
  <c r="S29" i="17" s="1"/>
  <c r="P27" i="17"/>
  <c r="Q27" i="17"/>
  <c r="L27" i="17"/>
  <c r="D26" i="17"/>
  <c r="L26" i="17" s="1"/>
  <c r="S25" i="17"/>
  <c r="L24" i="17"/>
  <c r="Q24" i="17"/>
  <c r="P24" i="17"/>
  <c r="D9" i="10"/>
  <c r="D96" i="16"/>
  <c r="L88" i="16"/>
  <c r="L19" i="16"/>
  <c r="D16" i="11"/>
  <c r="L16" i="11" s="1"/>
  <c r="P19" i="16"/>
  <c r="D36" i="16"/>
  <c r="L28" i="16"/>
  <c r="D14" i="16"/>
  <c r="L48" i="16"/>
  <c r="D60" i="16"/>
  <c r="L52" i="16"/>
  <c r="I13" i="16"/>
  <c r="M13" i="16" s="1"/>
  <c r="I16" i="16"/>
  <c r="M72" i="16"/>
  <c r="C137" i="16"/>
  <c r="L100" i="2"/>
  <c r="C138" i="15"/>
  <c r="C99" i="2"/>
  <c r="C139" i="16"/>
  <c r="C140" i="15"/>
  <c r="C99" i="4"/>
  <c r="J141" i="17"/>
  <c r="J143" i="17"/>
  <c r="J103" i="17"/>
  <c r="E28" i="11"/>
  <c r="M28" i="11" s="1"/>
  <c r="D72" i="16"/>
  <c r="F76" i="17"/>
  <c r="N76" i="17" s="1"/>
  <c r="I197" i="17"/>
  <c r="M197" i="17" s="1"/>
  <c r="D197" i="17"/>
  <c r="L197" i="17" s="1"/>
  <c r="D170" i="17"/>
  <c r="L170" i="17" s="1"/>
  <c r="D141" i="17"/>
  <c r="L141" i="17" s="1"/>
  <c r="E114" i="17"/>
  <c r="M114" i="17" s="1"/>
  <c r="D103" i="17"/>
  <c r="L103" i="17" s="1"/>
  <c r="D5" i="3"/>
  <c r="D180" i="9" s="1"/>
  <c r="E60" i="17"/>
  <c r="M60" i="17" s="1"/>
  <c r="D60" i="17"/>
  <c r="L60" i="17" s="1"/>
  <c r="D49" i="17"/>
  <c r="L49" i="17" s="1"/>
  <c r="L13" i="15"/>
  <c r="I139" i="17"/>
  <c r="M139" i="17" s="1"/>
  <c r="J6" i="5"/>
  <c r="N5" i="4"/>
  <c r="I61" i="15"/>
  <c r="I15" i="15" s="1"/>
  <c r="I29" i="11" s="1"/>
  <c r="J61" i="15"/>
  <c r="J15" i="15" s="1"/>
  <c r="D138" i="16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D31" i="11"/>
  <c r="L17" i="15"/>
  <c r="D33" i="11"/>
  <c r="L19" i="15"/>
  <c r="D30" i="11"/>
  <c r="L30" i="11" s="1"/>
  <c r="L16" i="15"/>
  <c r="V81" i="9"/>
  <c r="S65" i="15"/>
  <c r="S73" i="15" s="1"/>
  <c r="T13" i="9"/>
  <c r="S29" i="15"/>
  <c r="E195" i="9"/>
  <c r="E19" i="17"/>
  <c r="E101" i="15"/>
  <c r="Q32" i="9"/>
  <c r="S32" i="9" s="1"/>
  <c r="E15" i="17"/>
  <c r="E53" i="15"/>
  <c r="E61" i="15" s="1"/>
  <c r="E15" i="15" s="1"/>
  <c r="E17" i="17"/>
  <c r="E77" i="15"/>
  <c r="I133" i="15"/>
  <c r="I21" i="15" s="1"/>
  <c r="H7" i="7"/>
  <c r="C29" i="11"/>
  <c r="M5" i="6"/>
  <c r="D183" i="9"/>
  <c r="D7" i="6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M89" i="2"/>
  <c r="F205" i="9"/>
  <c r="F198" i="9"/>
  <c r="F200" i="9" s="1"/>
  <c r="D235" i="9"/>
  <c r="M5" i="2"/>
  <c r="D179" i="9"/>
  <c r="T81" i="9"/>
  <c r="I6" i="7"/>
  <c r="M6" i="6"/>
  <c r="F7" i="3"/>
  <c r="M102" i="2"/>
  <c r="I102" i="5"/>
  <c r="M102" i="5" s="1"/>
  <c r="D7" i="5"/>
  <c r="M5" i="5"/>
  <c r="I6" i="4"/>
  <c r="M6" i="4" s="1"/>
  <c r="M100" i="3"/>
  <c r="I6" i="3"/>
  <c r="N90" i="3"/>
  <c r="E5" i="3"/>
  <c r="E180" i="9" s="1"/>
  <c r="E205" i="9" s="1"/>
  <c r="E208" i="9" s="1"/>
  <c r="H7" i="3"/>
  <c r="N99" i="3"/>
  <c r="D6" i="2"/>
  <c r="D7" i="2" s="1"/>
  <c r="Q106" i="9"/>
  <c r="Q129" i="9"/>
  <c r="S129" i="9" s="1"/>
  <c r="I7" i="2"/>
  <c r="N102" i="2"/>
  <c r="J6" i="2"/>
  <c r="V13" i="9"/>
  <c r="H7" i="2"/>
  <c r="L5" i="2"/>
  <c r="D9" i="9"/>
  <c r="M168" i="9"/>
  <c r="S54" i="17" l="1"/>
  <c r="M19" i="17"/>
  <c r="Q19" i="17"/>
  <c r="S19" i="17" s="1"/>
  <c r="M17" i="17"/>
  <c r="Q17" i="17"/>
  <c r="M15" i="17"/>
  <c r="Q15" i="17"/>
  <c r="S15" i="17" s="1"/>
  <c r="P16" i="11"/>
  <c r="S42" i="17"/>
  <c r="Q37" i="17"/>
  <c r="S27" i="17"/>
  <c r="Q26" i="17"/>
  <c r="D33" i="17"/>
  <c r="L33" i="17" s="1"/>
  <c r="S24" i="17"/>
  <c r="D16" i="16"/>
  <c r="D13" i="11" s="1"/>
  <c r="L13" i="11" s="1"/>
  <c r="L72" i="16"/>
  <c r="M16" i="16"/>
  <c r="I13" i="11"/>
  <c r="M13" i="11" s="1"/>
  <c r="D13" i="16"/>
  <c r="L36" i="16"/>
  <c r="L14" i="16"/>
  <c r="P14" i="16"/>
  <c r="D11" i="11"/>
  <c r="L11" i="11" s="1"/>
  <c r="I10" i="11"/>
  <c r="M10" i="11" s="1"/>
  <c r="I120" i="16"/>
  <c r="I20" i="16" s="1"/>
  <c r="M116" i="16"/>
  <c r="D15" i="16"/>
  <c r="L60" i="16"/>
  <c r="D144" i="16"/>
  <c r="L138" i="16"/>
  <c r="D18" i="16"/>
  <c r="L96" i="16"/>
  <c r="L6" i="5"/>
  <c r="C102" i="2"/>
  <c r="L99" i="2"/>
  <c r="C58" i="17"/>
  <c r="C113" i="16"/>
  <c r="C115" i="16"/>
  <c r="C112" i="17"/>
  <c r="C114" i="17" s="1"/>
  <c r="C116" i="17" s="1"/>
  <c r="C102" i="4"/>
  <c r="J116" i="17"/>
  <c r="M5" i="3"/>
  <c r="F89" i="17"/>
  <c r="N89" i="17" s="1"/>
  <c r="E62" i="17"/>
  <c r="M62" i="17" s="1"/>
  <c r="I141" i="17"/>
  <c r="D143" i="17"/>
  <c r="L143" i="17" s="1"/>
  <c r="D116" i="17"/>
  <c r="L116" i="17" s="1"/>
  <c r="E116" i="17"/>
  <c r="M116" i="17" s="1"/>
  <c r="E138" i="16"/>
  <c r="D99" i="3"/>
  <c r="D85" i="17" s="1"/>
  <c r="L85" i="17" s="1"/>
  <c r="D62" i="17"/>
  <c r="L62" i="17" s="1"/>
  <c r="J18" i="11"/>
  <c r="N18" i="11" s="1"/>
  <c r="J17" i="11"/>
  <c r="J22" i="16"/>
  <c r="F37" i="11"/>
  <c r="F41" i="11" s="1"/>
  <c r="N6" i="5"/>
  <c r="J7" i="5"/>
  <c r="I18" i="11"/>
  <c r="I198" i="9"/>
  <c r="I200" i="9" s="1"/>
  <c r="N15" i="15"/>
  <c r="J29" i="11"/>
  <c r="J37" i="11" s="1"/>
  <c r="J23" i="15"/>
  <c r="N23" i="15" s="1"/>
  <c r="D22" i="15"/>
  <c r="I35" i="11"/>
  <c r="I37" i="11" s="1"/>
  <c r="I23" i="15"/>
  <c r="I9" i="15" s="1"/>
  <c r="E29" i="11"/>
  <c r="M29" i="11" s="1"/>
  <c r="M15" i="15"/>
  <c r="Q101" i="15"/>
  <c r="Q77" i="15"/>
  <c r="Q85" i="15" s="1"/>
  <c r="H197" i="9"/>
  <c r="H209" i="9" s="1"/>
  <c r="H21" i="17"/>
  <c r="L21" i="17" s="1"/>
  <c r="H125" i="15"/>
  <c r="E109" i="15"/>
  <c r="E19" i="15" s="1"/>
  <c r="T13" i="17"/>
  <c r="E85" i="15"/>
  <c r="E17" i="15" s="1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V129" i="9"/>
  <c r="Q195" i="9"/>
  <c r="M9" i="9"/>
  <c r="I7" i="7"/>
  <c r="M6" i="7"/>
  <c r="M6" i="2"/>
  <c r="I6" i="5"/>
  <c r="J6" i="4"/>
  <c r="M99" i="3"/>
  <c r="H168" i="9"/>
  <c r="I7" i="3"/>
  <c r="N102" i="3"/>
  <c r="J6" i="3"/>
  <c r="L33" i="11"/>
  <c r="L31" i="11"/>
  <c r="N6" i="2"/>
  <c r="J7" i="2"/>
  <c r="I39" i="10"/>
  <c r="M39" i="10" s="1"/>
  <c r="C39" i="10"/>
  <c r="L39" i="10" s="1"/>
  <c r="I143" i="17" l="1"/>
  <c r="M143" i="17" s="1"/>
  <c r="M141" i="17"/>
  <c r="C60" i="17"/>
  <c r="C62" i="17" s="1"/>
  <c r="P58" i="17"/>
  <c r="S58" i="17" s="1"/>
  <c r="T58" i="17" s="1"/>
  <c r="D35" i="17"/>
  <c r="P11" i="11"/>
  <c r="L15" i="16"/>
  <c r="D12" i="11"/>
  <c r="L12" i="11" s="1"/>
  <c r="L13" i="16"/>
  <c r="P13" i="16"/>
  <c r="D10" i="11"/>
  <c r="L10" i="11" s="1"/>
  <c r="D21" i="16"/>
  <c r="L21" i="16" s="1"/>
  <c r="L144" i="16"/>
  <c r="E144" i="16"/>
  <c r="M138" i="16"/>
  <c r="L18" i="16"/>
  <c r="D15" i="11"/>
  <c r="L15" i="11" s="1"/>
  <c r="P18" i="16"/>
  <c r="P15" i="11" s="1"/>
  <c r="P16" i="16"/>
  <c r="L16" i="16"/>
  <c r="C6" i="2"/>
  <c r="L102" i="2"/>
  <c r="C6" i="4"/>
  <c r="E99" i="3"/>
  <c r="E102" i="3" s="1"/>
  <c r="D114" i="16"/>
  <c r="D102" i="3"/>
  <c r="D6" i="3" s="1"/>
  <c r="D87" i="17"/>
  <c r="L87" i="17" s="1"/>
  <c r="D23" i="15"/>
  <c r="D9" i="15" s="1"/>
  <c r="D36" i="11"/>
  <c r="L36" i="11" s="1"/>
  <c r="H22" i="17"/>
  <c r="I26" i="17"/>
  <c r="M26" i="17" s="1"/>
  <c r="I52" i="16"/>
  <c r="C52" i="16"/>
  <c r="C60" i="16" s="1"/>
  <c r="C15" i="16" s="1"/>
  <c r="C26" i="17"/>
  <c r="J9" i="15"/>
  <c r="I17" i="11"/>
  <c r="J9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T19" i="17"/>
  <c r="S101" i="15"/>
  <c r="T129" i="9"/>
  <c r="T32" i="9"/>
  <c r="S53" i="15"/>
  <c r="V32" i="9"/>
  <c r="H133" i="15"/>
  <c r="H21" i="15" s="1"/>
  <c r="L29" i="11"/>
  <c r="D208" i="9"/>
  <c r="D209" i="9" s="1"/>
  <c r="D206" i="9"/>
  <c r="M6" i="5"/>
  <c r="I7" i="5"/>
  <c r="J7" i="4"/>
  <c r="N6" i="4"/>
  <c r="H9" i="9"/>
  <c r="N6" i="3"/>
  <c r="J7" i="3"/>
  <c r="I96" i="10"/>
  <c r="P13" i="11" l="1"/>
  <c r="P26" i="17"/>
  <c r="S26" i="17" s="1"/>
  <c r="P10" i="11"/>
  <c r="M96" i="10"/>
  <c r="F170" i="9" s="1"/>
  <c r="E21" i="16"/>
  <c r="M21" i="16" s="1"/>
  <c r="M144" i="16"/>
  <c r="D120" i="16"/>
  <c r="L114" i="16"/>
  <c r="I60" i="16"/>
  <c r="M52" i="16"/>
  <c r="H35" i="17"/>
  <c r="L35" i="17" s="1"/>
  <c r="L22" i="17"/>
  <c r="C7" i="2"/>
  <c r="L6" i="2"/>
  <c r="C7" i="4"/>
  <c r="L6" i="4"/>
  <c r="E114" i="16"/>
  <c r="E85" i="17"/>
  <c r="M85" i="17" s="1"/>
  <c r="M102" i="3"/>
  <c r="D37" i="11"/>
  <c r="D89" i="17"/>
  <c r="L89" i="17" s="1"/>
  <c r="I33" i="17"/>
  <c r="M33" i="17" s="1"/>
  <c r="C12" i="11"/>
  <c r="P15" i="16"/>
  <c r="N41" i="11"/>
  <c r="J41" i="11"/>
  <c r="E22" i="15"/>
  <c r="E36" i="11" s="1"/>
  <c r="M36" i="11" s="1"/>
  <c r="D18" i="11"/>
  <c r="L18" i="11" s="1"/>
  <c r="H35" i="11"/>
  <c r="L21" i="15"/>
  <c r="H23" i="15"/>
  <c r="T15" i="17"/>
  <c r="Q145" i="9"/>
  <c r="E21" i="17"/>
  <c r="M9" i="15"/>
  <c r="E168" i="9"/>
  <c r="E171" i="9" s="1"/>
  <c r="E125" i="15"/>
  <c r="E6" i="3"/>
  <c r="E7" i="3" s="1"/>
  <c r="E197" i="9"/>
  <c r="E206" i="9" s="1"/>
  <c r="H200" i="9"/>
  <c r="D7" i="3"/>
  <c r="M6" i="3"/>
  <c r="I9" i="10"/>
  <c r="M9" i="10" s="1"/>
  <c r="P12" i="11" l="1"/>
  <c r="E120" i="16"/>
  <c r="M114" i="16"/>
  <c r="D20" i="16"/>
  <c r="L120" i="16"/>
  <c r="I15" i="16"/>
  <c r="M60" i="16"/>
  <c r="M21" i="17"/>
  <c r="Q21" i="17"/>
  <c r="Q22" i="17" s="1"/>
  <c r="E87" i="17"/>
  <c r="M87" i="17" s="1"/>
  <c r="E89" i="17"/>
  <c r="M89" i="17" s="1"/>
  <c r="E22" i="17"/>
  <c r="M22" i="17" s="1"/>
  <c r="I35" i="17"/>
  <c r="Q197" i="9"/>
  <c r="E18" i="11"/>
  <c r="M18" i="11" s="1"/>
  <c r="N168" i="9"/>
  <c r="E9" i="9"/>
  <c r="N9" i="9" s="1"/>
  <c r="Q125" i="15"/>
  <c r="Q133" i="15" s="1"/>
  <c r="H9" i="15"/>
  <c r="L23" i="15"/>
  <c r="E133" i="15"/>
  <c r="E21" i="15" s="1"/>
  <c r="H37" i="11"/>
  <c r="L35" i="11"/>
  <c r="E198" i="9"/>
  <c r="E209" i="9"/>
  <c r="Q168" i="9"/>
  <c r="L20" i="16" l="1"/>
  <c r="D22" i="16"/>
  <c r="D17" i="11"/>
  <c r="M15" i="16"/>
  <c r="I12" i="11"/>
  <c r="I22" i="16"/>
  <c r="I9" i="16" s="1"/>
  <c r="E20" i="16"/>
  <c r="M120" i="16"/>
  <c r="E35" i="17"/>
  <c r="M35" i="17" s="1"/>
  <c r="E200" i="9"/>
  <c r="Q9" i="9"/>
  <c r="E35" i="11"/>
  <c r="R35" i="11" s="1"/>
  <c r="E23" i="15"/>
  <c r="E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5"/>
  <c r="R82" i="5" s="1"/>
  <c r="P34" i="11"/>
  <c r="R8" i="9"/>
  <c r="R10" i="4" s="1"/>
  <c r="P8" i="10"/>
  <c r="P8" i="9"/>
  <c r="P88" i="9" s="1"/>
  <c r="Q8" i="10"/>
  <c r="Q51" i="10" s="1"/>
  <c r="S51" i="10" s="1"/>
  <c r="M20" i="16" l="1"/>
  <c r="E22" i="16"/>
  <c r="E17" i="11"/>
  <c r="E19" i="11" s="1"/>
  <c r="L22" i="16"/>
  <c r="D9" i="16"/>
  <c r="L9" i="16" s="1"/>
  <c r="I19" i="11"/>
  <c r="M12" i="11"/>
  <c r="D19" i="11"/>
  <c r="L17" i="11"/>
  <c r="R10" i="3"/>
  <c r="R98" i="3" s="1"/>
  <c r="R13" i="10"/>
  <c r="P48" i="10"/>
  <c r="P13" i="10"/>
  <c r="Q35" i="11"/>
  <c r="Q37" i="11" s="1"/>
  <c r="Q10" i="5"/>
  <c r="Q82" i="5" s="1"/>
  <c r="Q8" i="16"/>
  <c r="Q13" i="10"/>
  <c r="R88" i="5"/>
  <c r="R87" i="5"/>
  <c r="R86" i="5"/>
  <c r="Q86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M23" i="15"/>
  <c r="R10" i="2"/>
  <c r="E37" i="11"/>
  <c r="M35" i="11"/>
  <c r="Q9" i="15"/>
  <c r="N9" i="15"/>
  <c r="Q8" i="9"/>
  <c r="P57" i="10"/>
  <c r="P15" i="10"/>
  <c r="Q41" i="10"/>
  <c r="Q40" i="10" s="1"/>
  <c r="P10" i="6"/>
  <c r="P76" i="6" s="1"/>
  <c r="Q10" i="3"/>
  <c r="R95" i="3"/>
  <c r="R10" i="6"/>
  <c r="R96" i="6" s="1"/>
  <c r="S32" i="11"/>
  <c r="V32" i="11" s="1"/>
  <c r="S28" i="11"/>
  <c r="T28" i="11" s="1"/>
  <c r="S33" i="11"/>
  <c r="T33" i="11" s="1"/>
  <c r="R37" i="11"/>
  <c r="Q68" i="5"/>
  <c r="Q14" i="5"/>
  <c r="Q72" i="5"/>
  <c r="Q98" i="5"/>
  <c r="Q17" i="5"/>
  <c r="Q15" i="5"/>
  <c r="Q38" i="5"/>
  <c r="Q30" i="5"/>
  <c r="Q40" i="5"/>
  <c r="Q57" i="5"/>
  <c r="Q79" i="5"/>
  <c r="Q63" i="5"/>
  <c r="Q78" i="5"/>
  <c r="Q26" i="5"/>
  <c r="Q27" i="5"/>
  <c r="Q60" i="5"/>
  <c r="Q74" i="5"/>
  <c r="Q67" i="5"/>
  <c r="Q13" i="5"/>
  <c r="Q32" i="5"/>
  <c r="Q123" i="17" s="1"/>
  <c r="R21" i="3"/>
  <c r="R79" i="3"/>
  <c r="R69" i="3"/>
  <c r="R47" i="3"/>
  <c r="R73" i="3"/>
  <c r="R55" i="3"/>
  <c r="R40" i="3"/>
  <c r="R61" i="3"/>
  <c r="R35" i="3"/>
  <c r="R29" i="3"/>
  <c r="R101" i="3"/>
  <c r="R24" i="3"/>
  <c r="R17" i="3"/>
  <c r="R51" i="3"/>
  <c r="R25" i="3"/>
  <c r="R49" i="3"/>
  <c r="R15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01" i="9"/>
  <c r="Q42" i="9"/>
  <c r="Q19" i="9"/>
  <c r="Q122" i="9"/>
  <c r="Q86" i="9"/>
  <c r="Q140" i="9"/>
  <c r="Q22" i="9"/>
  <c r="Q127" i="9"/>
  <c r="Q126" i="9"/>
  <c r="Q21" i="9"/>
  <c r="Q48" i="9"/>
  <c r="Q34" i="9"/>
  <c r="Q46" i="9"/>
  <c r="Q123" i="9"/>
  <c r="Q150" i="9"/>
  <c r="Q59" i="9"/>
  <c r="Q66" i="9"/>
  <c r="Q62" i="9"/>
  <c r="Q152" i="9"/>
  <c r="Q99" i="9"/>
  <c r="Q50" i="9"/>
  <c r="Q15" i="9"/>
  <c r="Q79" i="9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S50" i="9" s="1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38" i="9"/>
  <c r="P10" i="7"/>
  <c r="Q10" i="2"/>
  <c r="P10" i="2"/>
  <c r="P15" i="9"/>
  <c r="P44" i="9"/>
  <c r="S44" i="9" s="1"/>
  <c r="P10" i="5"/>
  <c r="P82" i="5" s="1"/>
  <c r="P107" i="9"/>
  <c r="S107" i="9" s="1"/>
  <c r="P64" i="9"/>
  <c r="P10" i="3"/>
  <c r="P98" i="3" s="1"/>
  <c r="S98" i="3" s="1"/>
  <c r="T98" i="3" s="1"/>
  <c r="Q10" i="4"/>
  <c r="S29" i="11"/>
  <c r="P130" i="9"/>
  <c r="S130" i="9" s="1"/>
  <c r="P26" i="9"/>
  <c r="S26" i="9" s="1"/>
  <c r="R68" i="10"/>
  <c r="P14" i="10"/>
  <c r="R102" i="4"/>
  <c r="R6" i="4" s="1"/>
  <c r="P147" i="9"/>
  <c r="P124" i="9"/>
  <c r="S124" i="9" s="1"/>
  <c r="P143" i="9"/>
  <c r="P30" i="9"/>
  <c r="S30" i="9" s="1"/>
  <c r="P85" i="9"/>
  <c r="P41" i="9"/>
  <c r="S41" i="9" s="1"/>
  <c r="P71" i="10"/>
  <c r="P78" i="10"/>
  <c r="P89" i="9"/>
  <c r="P69" i="10"/>
  <c r="P151" i="9"/>
  <c r="S151" i="9" s="1"/>
  <c r="P53" i="9"/>
  <c r="P86" i="9"/>
  <c r="R89" i="6"/>
  <c r="R5" i="6" s="1"/>
  <c r="R183" i="9" s="1"/>
  <c r="P51" i="9"/>
  <c r="S51" i="9" s="1"/>
  <c r="P110" i="9"/>
  <c r="P139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32" i="9"/>
  <c r="R55" i="9"/>
  <c r="R115" i="9"/>
  <c r="R117" i="9"/>
  <c r="R67" i="9"/>
  <c r="R112" i="9"/>
  <c r="P70" i="9"/>
  <c r="S70" i="9" s="1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S35" i="9" s="1"/>
  <c r="P60" i="10"/>
  <c r="R14" i="10"/>
  <c r="P19" i="10"/>
  <c r="P89" i="10"/>
  <c r="P26" i="10"/>
  <c r="P20" i="9"/>
  <c r="S20" i="9" s="1"/>
  <c r="T20" i="9" s="1"/>
  <c r="R48" i="10"/>
  <c r="S30" i="11"/>
  <c r="R77" i="10"/>
  <c r="P101" i="9"/>
  <c r="P42" i="9"/>
  <c r="S42" i="9" s="1"/>
  <c r="P61" i="9"/>
  <c r="S61" i="9" s="1"/>
  <c r="P55" i="9"/>
  <c r="P76" i="9"/>
  <c r="P150" i="9"/>
  <c r="S150" i="9" s="1"/>
  <c r="P154" i="9"/>
  <c r="S154" i="9" s="1"/>
  <c r="P140" i="9"/>
  <c r="P57" i="9"/>
  <c r="P141" i="9"/>
  <c r="S141" i="9" s="1"/>
  <c r="T141" i="9" s="1"/>
  <c r="P71" i="9"/>
  <c r="S71" i="9" s="1"/>
  <c r="P34" i="9"/>
  <c r="P40" i="9"/>
  <c r="P78" i="9"/>
  <c r="P137" i="9"/>
  <c r="P125" i="9"/>
  <c r="P75" i="9"/>
  <c r="S75" i="9" s="1"/>
  <c r="P138" i="9"/>
  <c r="P113" i="9"/>
  <c r="P48" i="9"/>
  <c r="S48" i="9" s="1"/>
  <c r="P127" i="9"/>
  <c r="S127" i="9" s="1"/>
  <c r="P157" i="9"/>
  <c r="S157" i="9" s="1"/>
  <c r="P95" i="9"/>
  <c r="P73" i="9"/>
  <c r="S73" i="9" s="1"/>
  <c r="P67" i="9"/>
  <c r="P63" i="9"/>
  <c r="S63" i="9" s="1"/>
  <c r="P132" i="9"/>
  <c r="S132" i="9" s="1"/>
  <c r="P99" i="9"/>
  <c r="P155" i="9"/>
  <c r="S155" i="9" s="1"/>
  <c r="P100" i="9"/>
  <c r="P36" i="9"/>
  <c r="S36" i="9" s="1"/>
  <c r="P72" i="9"/>
  <c r="S72" i="9" s="1"/>
  <c r="P66" i="9"/>
  <c r="P115" i="9"/>
  <c r="P33" i="9"/>
  <c r="V33" i="9" s="1"/>
  <c r="P59" i="9"/>
  <c r="S59" i="9" s="1"/>
  <c r="P126" i="9"/>
  <c r="S126" i="9" s="1"/>
  <c r="P158" i="9"/>
  <c r="S158" i="9" s="1"/>
  <c r="P109" i="9"/>
  <c r="P19" i="9"/>
  <c r="S19" i="9" s="1"/>
  <c r="P56" i="9"/>
  <c r="S56" i="9" s="1"/>
  <c r="P54" i="9"/>
  <c r="S54" i="9" s="1"/>
  <c r="P122" i="9"/>
  <c r="S122" i="9" s="1"/>
  <c r="P148" i="9"/>
  <c r="P87" i="9"/>
  <c r="P142" i="9"/>
  <c r="P131" i="9"/>
  <c r="P45" i="9"/>
  <c r="P152" i="9"/>
  <c r="S152" i="9" s="1"/>
  <c r="P49" i="9"/>
  <c r="S49" i="9" s="1"/>
  <c r="P92" i="9"/>
  <c r="S92" i="9" s="1"/>
  <c r="P47" i="9"/>
  <c r="P39" i="9"/>
  <c r="P90" i="9"/>
  <c r="P121" i="9"/>
  <c r="S121" i="9" s="1"/>
  <c r="P111" i="9"/>
  <c r="P21" i="9"/>
  <c r="S21" i="9" s="1"/>
  <c r="P27" i="9"/>
  <c r="P16" i="9"/>
  <c r="S16" i="9" s="1"/>
  <c r="P65" i="9"/>
  <c r="S65" i="9" s="1"/>
  <c r="P37" i="9"/>
  <c r="S37" i="9" s="1"/>
  <c r="P149" i="9"/>
  <c r="S149" i="9" s="1"/>
  <c r="P77" i="9"/>
  <c r="P91" i="9"/>
  <c r="P23" i="9"/>
  <c r="S23" i="9" s="1"/>
  <c r="P102" i="9"/>
  <c r="P68" i="9"/>
  <c r="S68" i="9" s="1"/>
  <c r="P156" i="9"/>
  <c r="S156" i="9" s="1"/>
  <c r="P103" i="9"/>
  <c r="P62" i="9"/>
  <c r="P52" i="9"/>
  <c r="S52" i="9" s="1"/>
  <c r="P46" i="9"/>
  <c r="P136" i="9"/>
  <c r="P97" i="9"/>
  <c r="P133" i="9"/>
  <c r="S133" i="9" s="1"/>
  <c r="P74" i="9"/>
  <c r="P79" i="9"/>
  <c r="P108" i="9"/>
  <c r="P159" i="9"/>
  <c r="S159" i="9" s="1"/>
  <c r="P25" i="9"/>
  <c r="S25" i="9" s="1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S43" i="9" s="1"/>
  <c r="P116" i="9"/>
  <c r="S116" i="9" s="1"/>
  <c r="P96" i="9"/>
  <c r="P22" i="9"/>
  <c r="S22" i="9" s="1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S64" i="10" s="1"/>
  <c r="Q81" i="10"/>
  <c r="Q85" i="10"/>
  <c r="Q91" i="10"/>
  <c r="Q69" i="10"/>
  <c r="Q45" i="10"/>
  <c r="Q22" i="10"/>
  <c r="S22" i="10" s="1"/>
  <c r="Q95" i="10"/>
  <c r="Q74" i="10"/>
  <c r="Q15" i="10"/>
  <c r="Q28" i="10"/>
  <c r="Q34" i="10"/>
  <c r="Q24" i="10"/>
  <c r="Q38" i="10"/>
  <c r="Q70" i="10"/>
  <c r="Q49" i="10"/>
  <c r="Q60" i="10"/>
  <c r="Q19" i="10"/>
  <c r="Q61" i="10"/>
  <c r="S61" i="10" s="1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S75" i="10" s="1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S44" i="10" s="1"/>
  <c r="P21" i="10"/>
  <c r="S21" i="10" s="1"/>
  <c r="P91" i="10"/>
  <c r="P86" i="10"/>
  <c r="S86" i="10" s="1"/>
  <c r="P61" i="10"/>
  <c r="V61" i="10" s="1"/>
  <c r="P92" i="10"/>
  <c r="P63" i="10"/>
  <c r="S63" i="10" s="1"/>
  <c r="P74" i="10"/>
  <c r="P59" i="10"/>
  <c r="S59" i="10" s="1"/>
  <c r="P64" i="10"/>
  <c r="P32" i="10"/>
  <c r="P58" i="10"/>
  <c r="S58" i="10" s="1"/>
  <c r="P66" i="10"/>
  <c r="P20" i="10"/>
  <c r="S20" i="10" s="1"/>
  <c r="P54" i="10"/>
  <c r="S54" i="10" s="1"/>
  <c r="P65" i="10"/>
  <c r="S65" i="10" s="1"/>
  <c r="P29" i="10"/>
  <c r="S29" i="10" s="1"/>
  <c r="P94" i="10"/>
  <c r="V94" i="10" s="1"/>
  <c r="P84" i="10"/>
  <c r="S84" i="10" s="1"/>
  <c r="P55" i="10"/>
  <c r="S55" i="10" s="1"/>
  <c r="P23" i="10"/>
  <c r="P24" i="10"/>
  <c r="P16" i="10"/>
  <c r="P77" i="10"/>
  <c r="S77" i="10" s="1"/>
  <c r="P37" i="10"/>
  <c r="S37" i="10" s="1"/>
  <c r="T37" i="10" s="1"/>
  <c r="P36" i="10"/>
  <c r="S36" i="10" s="1"/>
  <c r="T36" i="10" s="1"/>
  <c r="P82" i="10"/>
  <c r="S82" i="10" s="1"/>
  <c r="P93" i="10"/>
  <c r="P79" i="10"/>
  <c r="S79" i="10" s="1"/>
  <c r="P85" i="10"/>
  <c r="S85" i="10" s="1"/>
  <c r="P95" i="10"/>
  <c r="V95" i="10" s="1"/>
  <c r="P90" i="10"/>
  <c r="S90" i="10" s="1"/>
  <c r="P43" i="10"/>
  <c r="S43" i="10" s="1"/>
  <c r="P83" i="10"/>
  <c r="S83" i="10" s="1"/>
  <c r="P45" i="10"/>
  <c r="P27" i="10"/>
  <c r="S27" i="10" s="1"/>
  <c r="P31" i="10"/>
  <c r="S31" i="10" s="1"/>
  <c r="P53" i="10"/>
  <c r="P56" i="10"/>
  <c r="S56" i="10" s="1"/>
  <c r="P62" i="10"/>
  <c r="S62" i="10" s="1"/>
  <c r="P49" i="10"/>
  <c r="P35" i="10"/>
  <c r="P52" i="10"/>
  <c r="P34" i="10"/>
  <c r="P28" i="10"/>
  <c r="S28" i="10" s="1"/>
  <c r="T28" i="10" s="1"/>
  <c r="P75" i="10"/>
  <c r="P18" i="10"/>
  <c r="P22" i="10"/>
  <c r="V22" i="10" s="1"/>
  <c r="P17" i="10"/>
  <c r="S17" i="10" s="1"/>
  <c r="P68" i="10"/>
  <c r="P41" i="10"/>
  <c r="P73" i="10"/>
  <c r="P33" i="10"/>
  <c r="S33" i="10" s="1"/>
  <c r="P38" i="10"/>
  <c r="S38" i="10" s="1"/>
  <c r="T38" i="10" s="1"/>
  <c r="Q10" i="6"/>
  <c r="P83" i="9"/>
  <c r="P98" i="9"/>
  <c r="Q14" i="10"/>
  <c r="P84" i="9"/>
  <c r="P104" i="9"/>
  <c r="P123" i="9"/>
  <c r="S123" i="9" s="1"/>
  <c r="P46" i="10"/>
  <c r="P58" i="9"/>
  <c r="S58" i="9" s="1"/>
  <c r="P114" i="9"/>
  <c r="P153" i="9"/>
  <c r="S153" i="9" s="1"/>
  <c r="P70" i="10"/>
  <c r="P60" i="9"/>
  <c r="S60" i="9" s="1"/>
  <c r="P112" i="9"/>
  <c r="S112" i="9" s="1"/>
  <c r="P69" i="9"/>
  <c r="S69" i="9" s="1"/>
  <c r="P18" i="9"/>
  <c r="S18" i="9" s="1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S46" i="10" l="1"/>
  <c r="S78" i="10"/>
  <c r="S57" i="10"/>
  <c r="S60" i="10"/>
  <c r="S26" i="10"/>
  <c r="S143" i="9"/>
  <c r="S142" i="9"/>
  <c r="S125" i="9"/>
  <c r="S78" i="9"/>
  <c r="S34" i="9"/>
  <c r="S27" i="9"/>
  <c r="S17" i="9"/>
  <c r="S15" i="9"/>
  <c r="S131" i="9"/>
  <c r="V131" i="9" s="1"/>
  <c r="S115" i="9"/>
  <c r="S39" i="9"/>
  <c r="S66" i="9"/>
  <c r="S67" i="9"/>
  <c r="S40" i="9"/>
  <c r="V40" i="9" s="1"/>
  <c r="S57" i="9"/>
  <c r="S76" i="9"/>
  <c r="V76" i="9" s="1"/>
  <c r="S53" i="9"/>
  <c r="S64" i="9"/>
  <c r="S38" i="9"/>
  <c r="S77" i="9"/>
  <c r="V77" i="9" s="1"/>
  <c r="S62" i="9"/>
  <c r="V62" i="9" s="1"/>
  <c r="S74" i="9"/>
  <c r="V74" i="9" s="1"/>
  <c r="S46" i="9"/>
  <c r="S47" i="9"/>
  <c r="S45" i="9"/>
  <c r="V45" i="9" s="1"/>
  <c r="S55" i="9"/>
  <c r="S89" i="10"/>
  <c r="S53" i="10"/>
  <c r="S52" i="10"/>
  <c r="S69" i="10"/>
  <c r="S45" i="10"/>
  <c r="S48" i="10"/>
  <c r="S41" i="10"/>
  <c r="S35" i="10"/>
  <c r="S16" i="10"/>
  <c r="S19" i="10"/>
  <c r="V19" i="10" s="1"/>
  <c r="S18" i="10"/>
  <c r="S15" i="10"/>
  <c r="T15" i="10" s="1"/>
  <c r="S14" i="10"/>
  <c r="S13" i="10"/>
  <c r="S147" i="9"/>
  <c r="V148" i="9"/>
  <c r="S148" i="9"/>
  <c r="M22" i="16"/>
  <c r="E9" i="16"/>
  <c r="D41" i="11"/>
  <c r="L19" i="11"/>
  <c r="L41" i="11" s="1"/>
  <c r="R84" i="3"/>
  <c r="R72" i="17" s="1"/>
  <c r="R66" i="3"/>
  <c r="R48" i="3"/>
  <c r="R62" i="3"/>
  <c r="R56" i="3"/>
  <c r="R54" i="3"/>
  <c r="R82" i="3"/>
  <c r="R74" i="3"/>
  <c r="Q89" i="5"/>
  <c r="Q5" i="5" s="1"/>
  <c r="Q182" i="9" s="1"/>
  <c r="Q56" i="5"/>
  <c r="Q35" i="5"/>
  <c r="Q65" i="5"/>
  <c r="Q69" i="5"/>
  <c r="Q47" i="5"/>
  <c r="Q18" i="5"/>
  <c r="Q50" i="5"/>
  <c r="Q24" i="5"/>
  <c r="Q70" i="5"/>
  <c r="Q88" i="5"/>
  <c r="R93" i="3"/>
  <c r="R34" i="3"/>
  <c r="R46" i="3"/>
  <c r="R37" i="3"/>
  <c r="R76" i="3"/>
  <c r="R71" i="3"/>
  <c r="R70" i="3"/>
  <c r="R20" i="3"/>
  <c r="R44" i="3"/>
  <c r="R50" i="3"/>
  <c r="Q102" i="5"/>
  <c r="Q6" i="5" s="1"/>
  <c r="Q54" i="5"/>
  <c r="Q58" i="5"/>
  <c r="Q16" i="5"/>
  <c r="Q42" i="5"/>
  <c r="Q73" i="5"/>
  <c r="Q80" i="5"/>
  <c r="Q93" i="5"/>
  <c r="Q19" i="5"/>
  <c r="Q64" i="5"/>
  <c r="R102" i="3"/>
  <c r="R6" i="3" s="1"/>
  <c r="Q87" i="5"/>
  <c r="R94" i="3"/>
  <c r="R31" i="3"/>
  <c r="R26" i="3"/>
  <c r="R28" i="3"/>
  <c r="R68" i="3"/>
  <c r="R57" i="3"/>
  <c r="R80" i="3"/>
  <c r="R64" i="3"/>
  <c r="R43" i="3"/>
  <c r="R53" i="3"/>
  <c r="Q81" i="5"/>
  <c r="Q76" i="5"/>
  <c r="Q45" i="5"/>
  <c r="Q37" i="5"/>
  <c r="Q33" i="5"/>
  <c r="Q77" i="5"/>
  <c r="Q101" i="5"/>
  <c r="Q55" i="5"/>
  <c r="Q71" i="5"/>
  <c r="Q36" i="5"/>
  <c r="R99" i="3"/>
  <c r="R85" i="3"/>
  <c r="R96" i="3"/>
  <c r="R58" i="3"/>
  <c r="R42" i="3"/>
  <c r="R75" i="3"/>
  <c r="R41" i="3"/>
  <c r="R18" i="3"/>
  <c r="R36" i="3"/>
  <c r="R19" i="3"/>
  <c r="R22" i="3"/>
  <c r="Q29" i="5"/>
  <c r="Q122" i="17" s="1"/>
  <c r="Q25" i="5"/>
  <c r="Q99" i="5"/>
  <c r="Q48" i="5"/>
  <c r="Q49" i="5"/>
  <c r="Q20" i="5"/>
  <c r="Q23" i="5"/>
  <c r="Q94" i="5"/>
  <c r="Q43" i="5"/>
  <c r="R33" i="3"/>
  <c r="R69" i="17" s="1"/>
  <c r="Q83" i="5"/>
  <c r="Q126" i="17" s="1"/>
  <c r="P28" i="16"/>
  <c r="R72" i="3"/>
  <c r="R63" i="3"/>
  <c r="R97" i="3"/>
  <c r="R77" i="3"/>
  <c r="R16" i="3"/>
  <c r="R27" i="3"/>
  <c r="R81" i="3"/>
  <c r="R52" i="3"/>
  <c r="R59" i="3"/>
  <c r="Q46" i="5"/>
  <c r="Q100" i="5"/>
  <c r="Q141" i="15" s="1"/>
  <c r="Q51" i="5"/>
  <c r="Q34" i="5"/>
  <c r="Q52" i="5"/>
  <c r="Q75" i="5"/>
  <c r="Q95" i="5"/>
  <c r="Q53" i="5"/>
  <c r="Q21" i="5"/>
  <c r="R30" i="3"/>
  <c r="R68" i="17" s="1"/>
  <c r="Q85" i="5"/>
  <c r="R100" i="3"/>
  <c r="R138" i="16" s="1"/>
  <c r="R65" i="3"/>
  <c r="R39" i="3"/>
  <c r="R67" i="3"/>
  <c r="R23" i="3"/>
  <c r="R45" i="3"/>
  <c r="R78" i="3"/>
  <c r="R60" i="3"/>
  <c r="R38" i="3"/>
  <c r="Q44" i="5"/>
  <c r="Q61" i="5"/>
  <c r="Q59" i="5"/>
  <c r="Q96" i="5"/>
  <c r="Q39" i="5"/>
  <c r="Q22" i="5"/>
  <c r="Q66" i="5"/>
  <c r="Q41" i="5"/>
  <c r="Q62" i="5"/>
  <c r="R13" i="3"/>
  <c r="R67" i="17" s="1"/>
  <c r="R87" i="3"/>
  <c r="R73" i="17" s="1"/>
  <c r="Q84" i="5"/>
  <c r="R28" i="16"/>
  <c r="V123" i="9"/>
  <c r="R47" i="10"/>
  <c r="Q52" i="3"/>
  <c r="Q98" i="3"/>
  <c r="V98" i="3" s="1"/>
  <c r="V82" i="5"/>
  <c r="R100" i="17"/>
  <c r="R104" i="15"/>
  <c r="R105" i="17"/>
  <c r="R31" i="16"/>
  <c r="R92" i="15"/>
  <c r="R99" i="17"/>
  <c r="R78" i="17"/>
  <c r="R30" i="16"/>
  <c r="P85" i="3"/>
  <c r="P94" i="3"/>
  <c r="P93" i="3"/>
  <c r="R103" i="15"/>
  <c r="R124" i="16"/>
  <c r="Q67" i="10"/>
  <c r="Q76" i="16" s="1"/>
  <c r="Q84" i="16" s="1"/>
  <c r="V28" i="10"/>
  <c r="Q24" i="3"/>
  <c r="V164" i="9"/>
  <c r="Q50" i="3"/>
  <c r="Q124" i="16"/>
  <c r="Q85" i="3"/>
  <c r="Q94" i="3"/>
  <c r="Q93" i="3"/>
  <c r="Q28" i="16"/>
  <c r="Q15" i="16"/>
  <c r="S15" i="16" s="1"/>
  <c r="Q19" i="16"/>
  <c r="S19" i="16" s="1"/>
  <c r="Q17" i="16"/>
  <c r="S17" i="16" s="1"/>
  <c r="Q14" i="16"/>
  <c r="S14" i="16" s="1"/>
  <c r="Q18" i="16"/>
  <c r="S18" i="16" s="1"/>
  <c r="Q13" i="16"/>
  <c r="S13" i="16" s="1"/>
  <c r="Q16" i="16"/>
  <c r="S16" i="16" s="1"/>
  <c r="R127" i="17"/>
  <c r="R105" i="15"/>
  <c r="Q105" i="15"/>
  <c r="Q127" i="17"/>
  <c r="Q88" i="7"/>
  <c r="Q86" i="7"/>
  <c r="P88" i="7"/>
  <c r="P86" i="7"/>
  <c r="R88" i="7"/>
  <c r="R86" i="7"/>
  <c r="Q85" i="7"/>
  <c r="Q83" i="7"/>
  <c r="Q94" i="7"/>
  <c r="Q93" i="7"/>
  <c r="P94" i="7"/>
  <c r="P85" i="7"/>
  <c r="P83" i="7"/>
  <c r="P93" i="7"/>
  <c r="R94" i="7"/>
  <c r="R85" i="7"/>
  <c r="R83" i="7"/>
  <c r="R93" i="7"/>
  <c r="R25" i="6"/>
  <c r="P53" i="6"/>
  <c r="P73" i="6"/>
  <c r="R54" i="6"/>
  <c r="R76" i="6"/>
  <c r="P96" i="6"/>
  <c r="P65" i="6"/>
  <c r="P52" i="6"/>
  <c r="P27" i="6"/>
  <c r="P72" i="6"/>
  <c r="P101" i="6"/>
  <c r="R65" i="6"/>
  <c r="R70" i="6"/>
  <c r="R55" i="6"/>
  <c r="P80" i="6"/>
  <c r="R102" i="6"/>
  <c r="R6" i="6" s="1"/>
  <c r="R7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149" i="17"/>
  <c r="P74" i="6"/>
  <c r="R13" i="6"/>
  <c r="R148" i="17" s="1"/>
  <c r="R100" i="6"/>
  <c r="R141" i="16" s="1"/>
  <c r="P66" i="6"/>
  <c r="Q88" i="6"/>
  <c r="Q87" i="6"/>
  <c r="Q84" i="6"/>
  <c r="Q82" i="6"/>
  <c r="Q85" i="6"/>
  <c r="Q83" i="6"/>
  <c r="Q86" i="6"/>
  <c r="P67" i="6"/>
  <c r="P71" i="6"/>
  <c r="P26" i="6"/>
  <c r="R59" i="6"/>
  <c r="R95" i="6"/>
  <c r="R31" i="6"/>
  <c r="R66" i="6"/>
  <c r="R99" i="6"/>
  <c r="R51" i="6"/>
  <c r="R69" i="6"/>
  <c r="R97" i="6"/>
  <c r="R64" i="6"/>
  <c r="R74" i="6"/>
  <c r="R77" i="6"/>
  <c r="R57" i="6"/>
  <c r="P97" i="6"/>
  <c r="P57" i="6"/>
  <c r="P14" i="6"/>
  <c r="P149" i="17"/>
  <c r="P50" i="6"/>
  <c r="P61" i="6"/>
  <c r="S61" i="6" s="1"/>
  <c r="P25" i="6"/>
  <c r="P54" i="6"/>
  <c r="P24" i="6"/>
  <c r="P60" i="6"/>
  <c r="S60" i="6" s="1"/>
  <c r="P94" i="6"/>
  <c r="R150" i="17"/>
  <c r="R78" i="6"/>
  <c r="R71" i="6"/>
  <c r="R27" i="6"/>
  <c r="R75" i="6"/>
  <c r="R24" i="6"/>
  <c r="R50" i="6"/>
  <c r="R94" i="6"/>
  <c r="R98" i="6"/>
  <c r="R61" i="6"/>
  <c r="R81" i="6"/>
  <c r="R93" i="6"/>
  <c r="R67" i="6"/>
  <c r="P69" i="6"/>
  <c r="P95" i="6"/>
  <c r="P150" i="17"/>
  <c r="P58" i="6"/>
  <c r="P49" i="6"/>
  <c r="P28" i="6"/>
  <c r="P98" i="6"/>
  <c r="P51" i="6"/>
  <c r="P64" i="6"/>
  <c r="P79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26" i="6"/>
  <c r="R56" i="6"/>
  <c r="P63" i="6"/>
  <c r="P59" i="6"/>
  <c r="P56" i="6"/>
  <c r="P77" i="6"/>
  <c r="P62" i="6"/>
  <c r="P55" i="6"/>
  <c r="P81" i="6"/>
  <c r="P93" i="6"/>
  <c r="P70" i="6"/>
  <c r="P31" i="6"/>
  <c r="R93" i="15"/>
  <c r="R126" i="17"/>
  <c r="Q93" i="15"/>
  <c r="P88" i="5"/>
  <c r="V88" i="5" s="1"/>
  <c r="P87" i="5"/>
  <c r="V87" i="5" s="1"/>
  <c r="P86" i="5"/>
  <c r="P85" i="5"/>
  <c r="V85" i="5" s="1"/>
  <c r="P84" i="5"/>
  <c r="S84" i="5" s="1"/>
  <c r="P83" i="5"/>
  <c r="S83" i="5" s="1"/>
  <c r="R32" i="16"/>
  <c r="R132" i="17"/>
  <c r="R140" i="17"/>
  <c r="R139" i="17" s="1"/>
  <c r="R128" i="16"/>
  <c r="R116" i="16" s="1"/>
  <c r="Q140" i="17"/>
  <c r="Q128" i="16"/>
  <c r="R141" i="15"/>
  <c r="R140" i="16"/>
  <c r="R135" i="17"/>
  <c r="R68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S84" i="4" s="1"/>
  <c r="P85" i="4"/>
  <c r="P86" i="4"/>
  <c r="P88" i="4"/>
  <c r="P83" i="4"/>
  <c r="S83" i="4" s="1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29" i="2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87" i="2"/>
  <c r="Q84" i="2"/>
  <c r="Q86" i="2"/>
  <c r="Q83" i="2"/>
  <c r="R13" i="2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V109" i="9"/>
  <c r="V63" i="9"/>
  <c r="T122" i="9"/>
  <c r="V39" i="9"/>
  <c r="V59" i="9"/>
  <c r="T125" i="9"/>
  <c r="V156" i="9"/>
  <c r="V158" i="9"/>
  <c r="V99" i="9"/>
  <c r="T78" i="9"/>
  <c r="V47" i="9"/>
  <c r="V56" i="9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V17" i="10"/>
  <c r="V79" i="10"/>
  <c r="V24" i="10"/>
  <c r="V64" i="10"/>
  <c r="V21" i="10"/>
  <c r="Q72" i="10"/>
  <c r="V74" i="10"/>
  <c r="V69" i="9"/>
  <c r="V112" i="9"/>
  <c r="V84" i="9"/>
  <c r="V34" i="10"/>
  <c r="V62" i="10"/>
  <c r="V23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V37" i="9"/>
  <c r="V21" i="9"/>
  <c r="V142" i="9"/>
  <c r="V36" i="9"/>
  <c r="Q100" i="3"/>
  <c r="V70" i="10"/>
  <c r="S104" i="9"/>
  <c r="V104" i="9" s="1"/>
  <c r="V54" i="10"/>
  <c r="V32" i="10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V108" i="9"/>
  <c r="T16" i="9"/>
  <c r="V121" i="9"/>
  <c r="T19" i="9"/>
  <c r="V66" i="9"/>
  <c r="V155" i="9"/>
  <c r="V165" i="9"/>
  <c r="V140" i="9"/>
  <c r="Q31" i="3"/>
  <c r="V153" i="9"/>
  <c r="V98" i="9"/>
  <c r="V49" i="10"/>
  <c r="V37" i="10"/>
  <c r="V20" i="10"/>
  <c r="V92" i="10"/>
  <c r="Q25" i="10"/>
  <c r="Q50" i="10"/>
  <c r="V116" i="9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V79" i="9"/>
  <c r="V136" i="9"/>
  <c r="T27" i="9"/>
  <c r="V157" i="9"/>
  <c r="V137" i="9"/>
  <c r="V71" i="9"/>
  <c r="V154" i="9"/>
  <c r="V88" i="9"/>
  <c r="V85" i="10"/>
  <c r="V96" i="9"/>
  <c r="V97" i="9"/>
  <c r="V102" i="9"/>
  <c r="V95" i="9"/>
  <c r="V113" i="9"/>
  <c r="T34" i="9"/>
  <c r="V55" i="9"/>
  <c r="V101" i="9"/>
  <c r="V89" i="10"/>
  <c r="V35" i="9"/>
  <c r="R50" i="10"/>
  <c r="V51" i="9"/>
  <c r="V53" i="9"/>
  <c r="P30" i="3"/>
  <c r="P33" i="3"/>
  <c r="P95" i="3"/>
  <c r="V114" i="9"/>
  <c r="V93" i="10"/>
  <c r="Q42" i="10"/>
  <c r="Q39" i="10" s="1"/>
  <c r="V57" i="10"/>
  <c r="V166" i="9"/>
  <c r="V46" i="9"/>
  <c r="V152" i="9"/>
  <c r="V115" i="9"/>
  <c r="T67" i="9"/>
  <c r="V127" i="9"/>
  <c r="V141" i="9"/>
  <c r="V150" i="9"/>
  <c r="V42" i="9"/>
  <c r="V143" i="9"/>
  <c r="V46" i="10"/>
  <c r="V83" i="9"/>
  <c r="V17" i="9"/>
  <c r="V60" i="9"/>
  <c r="V58" i="9"/>
  <c r="V56" i="10"/>
  <c r="V82" i="10"/>
  <c r="V58" i="10"/>
  <c r="V86" i="10"/>
  <c r="V133" i="9"/>
  <c r="V52" i="9"/>
  <c r="V111" i="9"/>
  <c r="V132" i="9"/>
  <c r="V48" i="9"/>
  <c r="V57" i="9"/>
  <c r="V20" i="9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P72" i="10"/>
  <c r="Q76" i="6"/>
  <c r="Q78" i="6"/>
  <c r="Q99" i="6"/>
  <c r="Q74" i="6"/>
  <c r="Q100" i="6"/>
  <c r="V39" i="6"/>
  <c r="Q50" i="6"/>
  <c r="Q51" i="6"/>
  <c r="Q31" i="6"/>
  <c r="Q49" i="6"/>
  <c r="Q62" i="6"/>
  <c r="Q72" i="6"/>
  <c r="Q27" i="6"/>
  <c r="Q66" i="6"/>
  <c r="Q24" i="6"/>
  <c r="Q70" i="6"/>
  <c r="Q94" i="6"/>
  <c r="V94" i="6" s="1"/>
  <c r="Q55" i="6"/>
  <c r="Q97" i="6"/>
  <c r="Q64" i="6"/>
  <c r="Q65" i="6"/>
  <c r="Q79" i="6"/>
  <c r="Q71" i="6"/>
  <c r="Q95" i="6"/>
  <c r="Q56" i="6"/>
  <c r="Q98" i="6"/>
  <c r="Q57" i="6"/>
  <c r="Q63" i="6"/>
  <c r="Q25" i="6"/>
  <c r="Q28" i="6"/>
  <c r="Q58" i="6"/>
  <c r="Q101" i="6"/>
  <c r="Q96" i="6"/>
  <c r="V44" i="6"/>
  <c r="Q54" i="6"/>
  <c r="Q80" i="6"/>
  <c r="Q93" i="6"/>
  <c r="V40" i="6"/>
  <c r="Q69" i="6"/>
  <c r="Q73" i="6"/>
  <c r="Q77" i="6"/>
  <c r="Q59" i="6"/>
  <c r="Q75" i="6"/>
  <c r="Q26" i="6"/>
  <c r="Q53" i="6"/>
  <c r="Q81" i="6"/>
  <c r="Q61" i="6"/>
  <c r="Q14" i="6"/>
  <c r="Q52" i="6"/>
  <c r="Q60" i="6"/>
  <c r="Q89" i="6"/>
  <c r="Q5" i="6" s="1"/>
  <c r="Q183" i="9" s="1"/>
  <c r="Q67" i="6"/>
  <c r="Q149" i="17"/>
  <c r="Q13" i="6"/>
  <c r="Q148" i="17" s="1"/>
  <c r="Q102" i="6"/>
  <c r="Q6" i="6" s="1"/>
  <c r="V38" i="10"/>
  <c r="P67" i="10"/>
  <c r="S67" i="10" s="1"/>
  <c r="V83" i="10"/>
  <c r="V36" i="10"/>
  <c r="V84" i="10"/>
  <c r="V91" i="10"/>
  <c r="Q73" i="7"/>
  <c r="Q78" i="7"/>
  <c r="Q35" i="7"/>
  <c r="Q95" i="7"/>
  <c r="Q67" i="7"/>
  <c r="Q66" i="7" s="1"/>
  <c r="Q65" i="7"/>
  <c r="Q43" i="7"/>
  <c r="Q69" i="7"/>
  <c r="Q36" i="7"/>
  <c r="Q98" i="7"/>
  <c r="Q44" i="7"/>
  <c r="Q82" i="7"/>
  <c r="Q19" i="7"/>
  <c r="Q33" i="7"/>
  <c r="Q76" i="7"/>
  <c r="Q52" i="7"/>
  <c r="S52" i="7" s="1"/>
  <c r="Q49" i="7"/>
  <c r="Q97" i="7"/>
  <c r="Q80" i="7"/>
  <c r="Q77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S53" i="7" s="1"/>
  <c r="Q79" i="7"/>
  <c r="Q96" i="7"/>
  <c r="Q56" i="7"/>
  <c r="S56" i="7" s="1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S55" i="7" s="1"/>
  <c r="Q51" i="7"/>
  <c r="Q59" i="7"/>
  <c r="Q26" i="7"/>
  <c r="Q99" i="7"/>
  <c r="Q57" i="7"/>
  <c r="Q41" i="7"/>
  <c r="Q54" i="7"/>
  <c r="S54" i="7" s="1"/>
  <c r="Q38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V43" i="9"/>
  <c r="R33" i="15"/>
  <c r="R216" i="9"/>
  <c r="V68" i="9"/>
  <c r="V91" i="9"/>
  <c r="V87" i="9"/>
  <c r="V126" i="9"/>
  <c r="T126" i="9"/>
  <c r="V100" i="9"/>
  <c r="T132" i="9"/>
  <c r="V73" i="9"/>
  <c r="V94" i="9"/>
  <c r="T30" i="11"/>
  <c r="V30" i="11"/>
  <c r="V160" i="9"/>
  <c r="V60" i="10"/>
  <c r="R80" i="10"/>
  <c r="R72" i="10"/>
  <c r="R30" i="10"/>
  <c r="V110" i="9"/>
  <c r="V86" i="9"/>
  <c r="V78" i="10"/>
  <c r="R67" i="10"/>
  <c r="V29" i="11"/>
  <c r="T29" i="11"/>
  <c r="V64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S79" i="2" s="1"/>
  <c r="P25" i="2"/>
  <c r="P57" i="2"/>
  <c r="P41" i="2"/>
  <c r="P80" i="2"/>
  <c r="P66" i="2"/>
  <c r="P96" i="2"/>
  <c r="P67" i="2"/>
  <c r="P68" i="2"/>
  <c r="P89" i="2"/>
  <c r="P75" i="2"/>
  <c r="P26" i="2"/>
  <c r="P29" i="2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78" i="2"/>
  <c r="S78" i="2" s="1"/>
  <c r="P46" i="2"/>
  <c r="P35" i="2"/>
  <c r="V50" i="9"/>
  <c r="P233" i="9"/>
  <c r="Q232" i="9"/>
  <c r="Q57" i="15"/>
  <c r="Q216" i="9"/>
  <c r="Q33" i="15"/>
  <c r="T114" i="9"/>
  <c r="Q80" i="10"/>
  <c r="P25" i="10"/>
  <c r="T26" i="10"/>
  <c r="V139" i="9"/>
  <c r="V71" i="10"/>
  <c r="V147" i="9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V107" i="9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137" i="16" s="1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32" i="2"/>
  <c r="Q89" i="2"/>
  <c r="Q5" i="2" s="1"/>
  <c r="Q179" i="9" s="1"/>
  <c r="R44" i="15"/>
  <c r="R223" i="9"/>
  <c r="V70" i="6"/>
  <c r="Q189" i="9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V103" i="9"/>
  <c r="V149" i="9"/>
  <c r="V90" i="9"/>
  <c r="V49" i="9"/>
  <c r="V163" i="9"/>
  <c r="V162" i="9"/>
  <c r="V138" i="9"/>
  <c r="V61" i="9"/>
  <c r="R25" i="10"/>
  <c r="V151" i="9"/>
  <c r="V89" i="9"/>
  <c r="V41" i="9"/>
  <c r="P58" i="3"/>
  <c r="P45" i="3"/>
  <c r="S45" i="3" s="1"/>
  <c r="P46" i="3"/>
  <c r="S46" i="3" s="1"/>
  <c r="P68" i="3"/>
  <c r="S68" i="3" s="1"/>
  <c r="P60" i="3"/>
  <c r="P29" i="3"/>
  <c r="V29" i="3" s="1"/>
  <c r="P56" i="3"/>
  <c r="V56" i="3" s="1"/>
  <c r="P57" i="3"/>
  <c r="P76" i="3"/>
  <c r="P55" i="3"/>
  <c r="V55" i="3" s="1"/>
  <c r="P36" i="3"/>
  <c r="S36" i="3" s="1"/>
  <c r="P64" i="3"/>
  <c r="P80" i="3"/>
  <c r="P21" i="3"/>
  <c r="S21" i="3" s="1"/>
  <c r="P53" i="3"/>
  <c r="P40" i="3"/>
  <c r="V40" i="3" s="1"/>
  <c r="P38" i="3"/>
  <c r="P37" i="3"/>
  <c r="P63" i="3"/>
  <c r="S63" i="3" s="1"/>
  <c r="P50" i="3"/>
  <c r="S50" i="3" s="1"/>
  <c r="P59" i="3"/>
  <c r="S59" i="3" s="1"/>
  <c r="P62" i="3"/>
  <c r="P26" i="3"/>
  <c r="P52" i="3"/>
  <c r="V52" i="3" s="1"/>
  <c r="P51" i="3"/>
  <c r="P20" i="3"/>
  <c r="P84" i="3"/>
  <c r="S84" i="3" s="1"/>
  <c r="P23" i="3"/>
  <c r="S23" i="3" s="1"/>
  <c r="P28" i="3"/>
  <c r="P65" i="3"/>
  <c r="P18" i="3"/>
  <c r="S18" i="3" s="1"/>
  <c r="P71" i="3"/>
  <c r="P54" i="3"/>
  <c r="V54" i="3" s="1"/>
  <c r="P82" i="3"/>
  <c r="V82" i="3" s="1"/>
  <c r="P17" i="3"/>
  <c r="S17" i="3" s="1"/>
  <c r="P25" i="3"/>
  <c r="S25" i="3" s="1"/>
  <c r="P70" i="3"/>
  <c r="P77" i="3"/>
  <c r="P16" i="3"/>
  <c r="S16" i="3" s="1"/>
  <c r="P24" i="3"/>
  <c r="P75" i="3"/>
  <c r="P27" i="3"/>
  <c r="P69" i="3"/>
  <c r="P66" i="3"/>
  <c r="P67" i="3"/>
  <c r="S67" i="3" s="1"/>
  <c r="P74" i="3"/>
  <c r="P35" i="3"/>
  <c r="S35" i="3" s="1"/>
  <c r="P78" i="3"/>
  <c r="P22" i="3"/>
  <c r="P72" i="3"/>
  <c r="P39" i="3"/>
  <c r="P31" i="3"/>
  <c r="S31" i="3" s="1"/>
  <c r="P49" i="3"/>
  <c r="P34" i="3"/>
  <c r="P41" i="3"/>
  <c r="P97" i="3"/>
  <c r="P96" i="3"/>
  <c r="P44" i="3"/>
  <c r="S44" i="3" s="1"/>
  <c r="P81" i="3"/>
  <c r="P47" i="3"/>
  <c r="S47" i="3" s="1"/>
  <c r="P43" i="3"/>
  <c r="S43" i="3" s="1"/>
  <c r="P42" i="3"/>
  <c r="P79" i="3"/>
  <c r="P73" i="3"/>
  <c r="P61" i="3"/>
  <c r="P15" i="3"/>
  <c r="P48" i="3"/>
  <c r="S48" i="3" s="1"/>
  <c r="P98" i="5"/>
  <c r="S98" i="5" s="1"/>
  <c r="P40" i="5"/>
  <c r="V40" i="5" s="1"/>
  <c r="P96" i="5"/>
  <c r="P76" i="5"/>
  <c r="P54" i="5"/>
  <c r="P50" i="5"/>
  <c r="P61" i="5"/>
  <c r="V61" i="5" s="1"/>
  <c r="P71" i="5"/>
  <c r="P56" i="5"/>
  <c r="S56" i="5" s="1"/>
  <c r="P32" i="5"/>
  <c r="P63" i="5"/>
  <c r="P33" i="5"/>
  <c r="P65" i="5"/>
  <c r="V65" i="5" s="1"/>
  <c r="P20" i="5"/>
  <c r="S20" i="5" s="1"/>
  <c r="P57" i="5"/>
  <c r="P44" i="5"/>
  <c r="P79" i="5"/>
  <c r="P17" i="5"/>
  <c r="S17" i="5" s="1"/>
  <c r="P37" i="5"/>
  <c r="P60" i="5"/>
  <c r="V60" i="5" s="1"/>
  <c r="P95" i="5"/>
  <c r="S95" i="5" s="1"/>
  <c r="P29" i="5"/>
  <c r="P35" i="5"/>
  <c r="P14" i="5"/>
  <c r="P48" i="5"/>
  <c r="P69" i="5"/>
  <c r="P42" i="5"/>
  <c r="S42" i="5" s="1"/>
  <c r="P34" i="5"/>
  <c r="S34" i="5" s="1"/>
  <c r="P21" i="5"/>
  <c r="S21" i="5" s="1"/>
  <c r="P89" i="5"/>
  <c r="S89" i="5" s="1"/>
  <c r="P23" i="5"/>
  <c r="S23" i="5" s="1"/>
  <c r="P55" i="5"/>
  <c r="P38" i="5"/>
  <c r="P13" i="5"/>
  <c r="S13" i="5" s="1"/>
  <c r="P78" i="5"/>
  <c r="P67" i="5"/>
  <c r="S67" i="5" s="1"/>
  <c r="P47" i="5"/>
  <c r="V47" i="5" s="1"/>
  <c r="P51" i="5"/>
  <c r="P49" i="5"/>
  <c r="S49" i="5" s="1"/>
  <c r="P58" i="5"/>
  <c r="P80" i="5"/>
  <c r="P27" i="5"/>
  <c r="S27" i="5" s="1"/>
  <c r="P70" i="5"/>
  <c r="V70" i="5" s="1"/>
  <c r="P68" i="5"/>
  <c r="P26" i="5"/>
  <c r="P19" i="5"/>
  <c r="S19" i="5" s="1"/>
  <c r="P77" i="5"/>
  <c r="P62" i="5"/>
  <c r="S62" i="5" s="1"/>
  <c r="P22" i="5"/>
  <c r="S22" i="5" s="1"/>
  <c r="P75" i="5"/>
  <c r="P36" i="5"/>
  <c r="S36" i="5" s="1"/>
  <c r="P74" i="5"/>
  <c r="S74" i="5" s="1"/>
  <c r="P45" i="5"/>
  <c r="P25" i="5"/>
  <c r="S25" i="5" s="1"/>
  <c r="P52" i="5"/>
  <c r="P30" i="5"/>
  <c r="S30" i="5" s="1"/>
  <c r="P64" i="5"/>
  <c r="P94" i="5"/>
  <c r="P59" i="5"/>
  <c r="V59" i="5" s="1"/>
  <c r="P39" i="5"/>
  <c r="V39" i="5" s="1"/>
  <c r="P53" i="5"/>
  <c r="S53" i="5" s="1"/>
  <c r="P16" i="5"/>
  <c r="P18" i="5"/>
  <c r="S18" i="5" s="1"/>
  <c r="P93" i="5"/>
  <c r="S93" i="5" s="1"/>
  <c r="P24" i="5"/>
  <c r="P46" i="5"/>
  <c r="S46" i="5" s="1"/>
  <c r="P43" i="5"/>
  <c r="P66" i="5"/>
  <c r="P41" i="5"/>
  <c r="S41" i="5" s="1"/>
  <c r="P72" i="5"/>
  <c r="S72" i="5" s="1"/>
  <c r="P15" i="5"/>
  <c r="S15" i="5" s="1"/>
  <c r="P73" i="5"/>
  <c r="P81" i="5"/>
  <c r="V81" i="5" s="1"/>
  <c r="P55" i="7"/>
  <c r="P81" i="7"/>
  <c r="P17" i="7"/>
  <c r="P52" i="7"/>
  <c r="P68" i="7"/>
  <c r="P65" i="7"/>
  <c r="P33" i="7"/>
  <c r="P38" i="7"/>
  <c r="P79" i="7"/>
  <c r="P74" i="7"/>
  <c r="P32" i="7"/>
  <c r="P77" i="7"/>
  <c r="P28" i="7"/>
  <c r="P82" i="7"/>
  <c r="P25" i="7"/>
  <c r="P35" i="7"/>
  <c r="P36" i="7"/>
  <c r="P51" i="7"/>
  <c r="P29" i="7"/>
  <c r="P49" i="7"/>
  <c r="P73" i="7"/>
  <c r="P63" i="7"/>
  <c r="P75" i="7"/>
  <c r="P18" i="7"/>
  <c r="P69" i="7"/>
  <c r="P67" i="7"/>
  <c r="P27" i="7"/>
  <c r="P53" i="7"/>
  <c r="P101" i="7"/>
  <c r="P50" i="7"/>
  <c r="P78" i="7"/>
  <c r="P46" i="7"/>
  <c r="P54" i="7"/>
  <c r="P56" i="7"/>
  <c r="P58" i="7"/>
  <c r="P62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S97" i="7" s="1"/>
  <c r="P44" i="7"/>
  <c r="P47" i="7"/>
  <c r="P60" i="7"/>
  <c r="P14" i="7"/>
  <c r="P80" i="7"/>
  <c r="P98" i="7"/>
  <c r="P23" i="7"/>
  <c r="P37" i="7"/>
  <c r="P42" i="7"/>
  <c r="P39" i="7"/>
  <c r="P20" i="7"/>
  <c r="P45" i="7"/>
  <c r="P61" i="7"/>
  <c r="P70" i="7"/>
  <c r="P57" i="7"/>
  <c r="P72" i="7"/>
  <c r="P30" i="7"/>
  <c r="S30" i="7" s="1"/>
  <c r="P34" i="7"/>
  <c r="P64" i="7"/>
  <c r="P21" i="7"/>
  <c r="P70" i="4"/>
  <c r="P16" i="4"/>
  <c r="S16" i="4" s="1"/>
  <c r="P28" i="4"/>
  <c r="S28" i="4" s="1"/>
  <c r="P68" i="4"/>
  <c r="P20" i="4"/>
  <c r="P45" i="4"/>
  <c r="P25" i="4"/>
  <c r="P46" i="4"/>
  <c r="P29" i="4"/>
  <c r="P22" i="4"/>
  <c r="P62" i="4"/>
  <c r="P52" i="4"/>
  <c r="P57" i="4"/>
  <c r="S57" i="4" s="1"/>
  <c r="P26" i="4"/>
  <c r="S26" i="4" s="1"/>
  <c r="P76" i="4"/>
  <c r="P69" i="4"/>
  <c r="P78" i="4"/>
  <c r="P80" i="4"/>
  <c r="S80" i="4" s="1"/>
  <c r="P63" i="4"/>
  <c r="P18" i="4"/>
  <c r="S18" i="4" s="1"/>
  <c r="P64" i="4"/>
  <c r="S64" i="4" s="1"/>
  <c r="P19" i="4"/>
  <c r="P51" i="4"/>
  <c r="P67" i="4"/>
  <c r="P75" i="4"/>
  <c r="S75" i="4" s="1"/>
  <c r="P43" i="4"/>
  <c r="S43" i="4" s="1"/>
  <c r="P27" i="4"/>
  <c r="S27" i="4" s="1"/>
  <c r="P14" i="4"/>
  <c r="P97" i="4"/>
  <c r="S97" i="4" s="1"/>
  <c r="P38" i="4"/>
  <c r="P37" i="4"/>
  <c r="S37" i="4" s="1"/>
  <c r="P21" i="4"/>
  <c r="P32" i="4"/>
  <c r="P74" i="4"/>
  <c r="S74" i="4" s="1"/>
  <c r="P100" i="4"/>
  <c r="P13" i="4"/>
  <c r="P98" i="4"/>
  <c r="S98" i="4" s="1"/>
  <c r="P101" i="4"/>
  <c r="P33" i="4"/>
  <c r="P95" i="4"/>
  <c r="P39" i="4"/>
  <c r="P54" i="4"/>
  <c r="P58" i="4"/>
  <c r="P65" i="4"/>
  <c r="S65" i="4" s="1"/>
  <c r="P30" i="4"/>
  <c r="S30" i="4" s="1"/>
  <c r="P81" i="4"/>
  <c r="P41" i="4"/>
  <c r="S41" i="4" s="1"/>
  <c r="P50" i="4"/>
  <c r="P61" i="4"/>
  <c r="P34" i="4"/>
  <c r="S34" i="4" s="1"/>
  <c r="P71" i="4"/>
  <c r="P56" i="4"/>
  <c r="P66" i="4"/>
  <c r="S66" i="4" s="1"/>
  <c r="P17" i="4"/>
  <c r="S17" i="4" s="1"/>
  <c r="P48" i="4"/>
  <c r="P23" i="4"/>
  <c r="P102" i="4"/>
  <c r="P79" i="4"/>
  <c r="S79" i="4" s="1"/>
  <c r="P44" i="4"/>
  <c r="S44" i="4" s="1"/>
  <c r="P96" i="4"/>
  <c r="S96" i="4" s="1"/>
  <c r="P55" i="4"/>
  <c r="P35" i="4"/>
  <c r="S35" i="4" s="1"/>
  <c r="P73" i="4"/>
  <c r="S73" i="4" s="1"/>
  <c r="P99" i="4"/>
  <c r="S99" i="4" s="1"/>
  <c r="P72" i="4"/>
  <c r="S72" i="4" s="1"/>
  <c r="P77" i="4"/>
  <c r="S77" i="4" s="1"/>
  <c r="P15" i="4"/>
  <c r="S15" i="4" s="1"/>
  <c r="P42" i="4"/>
  <c r="S42" i="4" s="1"/>
  <c r="P40" i="4"/>
  <c r="P59" i="4"/>
  <c r="P89" i="4"/>
  <c r="P36" i="4"/>
  <c r="P47" i="4"/>
  <c r="P49" i="4"/>
  <c r="S49" i="4" s="1"/>
  <c r="P60" i="4"/>
  <c r="P24" i="4"/>
  <c r="S24" i="4" s="1"/>
  <c r="T24" i="4" s="1"/>
  <c r="P53" i="4"/>
  <c r="R43" i="15"/>
  <c r="Q224" i="9"/>
  <c r="Q45" i="15"/>
  <c r="P30" i="10"/>
  <c r="P42" i="10"/>
  <c r="S42" i="10" s="1"/>
  <c r="R232" i="9"/>
  <c r="R57" i="15"/>
  <c r="R46" i="15"/>
  <c r="P40" i="10"/>
  <c r="S40" i="10" s="1"/>
  <c r="P50" i="10"/>
  <c r="P76" i="10"/>
  <c r="S76" i="10" s="1"/>
  <c r="T77" i="10"/>
  <c r="Q76" i="10"/>
  <c r="Q30" i="10"/>
  <c r="T36" i="9"/>
  <c r="V75" i="9"/>
  <c r="R76" i="10"/>
  <c r="R36" i="7"/>
  <c r="R28" i="7"/>
  <c r="R37" i="7"/>
  <c r="R76" i="7"/>
  <c r="R54" i="7"/>
  <c r="R67" i="7"/>
  <c r="R66" i="7" s="1"/>
  <c r="R49" i="7"/>
  <c r="R57" i="7"/>
  <c r="R58" i="7"/>
  <c r="R100" i="7"/>
  <c r="R50" i="7"/>
  <c r="R17" i="7"/>
  <c r="R51" i="7"/>
  <c r="R22" i="7"/>
  <c r="R25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V85" i="9"/>
  <c r="V38" i="9"/>
  <c r="R56" i="15"/>
  <c r="R231" i="9"/>
  <c r="R215" i="9"/>
  <c r="R32" i="15"/>
  <c r="R221" i="9"/>
  <c r="R42" i="15"/>
  <c r="P47" i="10"/>
  <c r="S47" i="10" s="1"/>
  <c r="R7" i="5"/>
  <c r="R48" i="7" l="1"/>
  <c r="S50" i="7"/>
  <c r="S64" i="7"/>
  <c r="T64" i="7" s="1"/>
  <c r="S57" i="7"/>
  <c r="V57" i="7" s="1"/>
  <c r="S51" i="7"/>
  <c r="V51" i="7" s="1"/>
  <c r="S14" i="7"/>
  <c r="T14" i="7" s="1"/>
  <c r="S71" i="5"/>
  <c r="S66" i="5"/>
  <c r="V66" i="5" s="1"/>
  <c r="S33" i="5"/>
  <c r="Q7" i="5"/>
  <c r="S101" i="4"/>
  <c r="S71" i="4"/>
  <c r="V71" i="4" s="1"/>
  <c r="S67" i="4"/>
  <c r="S62" i="4"/>
  <c r="S58" i="4"/>
  <c r="S48" i="4"/>
  <c r="V48" i="4" s="1"/>
  <c r="S46" i="4"/>
  <c r="S33" i="4"/>
  <c r="S19" i="4"/>
  <c r="S14" i="4"/>
  <c r="T14" i="4" s="1"/>
  <c r="S84" i="2"/>
  <c r="S20" i="2"/>
  <c r="T20" i="2" s="1"/>
  <c r="S85" i="3"/>
  <c r="S42" i="3"/>
  <c r="R222" i="9"/>
  <c r="S27" i="3"/>
  <c r="S87" i="6"/>
  <c r="S86" i="6"/>
  <c r="S72" i="6"/>
  <c r="T72" i="6" s="1"/>
  <c r="S69" i="6"/>
  <c r="S57" i="6"/>
  <c r="S14" i="6"/>
  <c r="T14" i="6" s="1"/>
  <c r="Q140" i="16"/>
  <c r="S94" i="5"/>
  <c r="V94" i="5" s="1"/>
  <c r="S96" i="5"/>
  <c r="V96" i="5" s="1"/>
  <c r="S58" i="5"/>
  <c r="T58" i="5" s="1"/>
  <c r="S80" i="5"/>
  <c r="S64" i="5"/>
  <c r="S48" i="5"/>
  <c r="V48" i="5" s="1"/>
  <c r="S14" i="5"/>
  <c r="T14" i="5" s="1"/>
  <c r="S95" i="4"/>
  <c r="V95" i="4" s="1"/>
  <c r="S78" i="4"/>
  <c r="S76" i="4"/>
  <c r="S36" i="4"/>
  <c r="S23" i="4"/>
  <c r="S21" i="4"/>
  <c r="T21" i="4" s="1"/>
  <c r="S75" i="3"/>
  <c r="V75" i="3" s="1"/>
  <c r="S73" i="3"/>
  <c r="S34" i="3"/>
  <c r="S28" i="3"/>
  <c r="S20" i="3"/>
  <c r="T20" i="3" s="1"/>
  <c r="S22" i="3"/>
  <c r="S24" i="3"/>
  <c r="S15" i="3"/>
  <c r="S83" i="2"/>
  <c r="S59" i="2"/>
  <c r="S46" i="2"/>
  <c r="S29" i="2"/>
  <c r="S18" i="2"/>
  <c r="S13" i="2"/>
  <c r="R39" i="10"/>
  <c r="R52" i="16" s="1"/>
  <c r="R60" i="16" s="1"/>
  <c r="S25" i="10"/>
  <c r="S95" i="3"/>
  <c r="S101" i="7"/>
  <c r="S96" i="7"/>
  <c r="V96" i="7" s="1"/>
  <c r="S95" i="7"/>
  <c r="S98" i="7"/>
  <c r="S83" i="7"/>
  <c r="S80" i="7"/>
  <c r="V80" i="7" s="1"/>
  <c r="S74" i="7"/>
  <c r="S72" i="7"/>
  <c r="P71" i="7"/>
  <c r="S73" i="7"/>
  <c r="R71" i="7"/>
  <c r="S75" i="7"/>
  <c r="Q71" i="7"/>
  <c r="P66" i="7"/>
  <c r="S66" i="7" s="1"/>
  <c r="S67" i="7"/>
  <c r="T67" i="7" s="1"/>
  <c r="S61" i="7"/>
  <c r="S59" i="7"/>
  <c r="V59" i="7" s="1"/>
  <c r="S63" i="7"/>
  <c r="V63" i="7" s="1"/>
  <c r="S60" i="7"/>
  <c r="S62" i="7"/>
  <c r="V62" i="7" s="1"/>
  <c r="S58" i="7"/>
  <c r="Q48" i="7"/>
  <c r="S49" i="7"/>
  <c r="V49" i="7" s="1"/>
  <c r="P48" i="7"/>
  <c r="S42" i="7"/>
  <c r="S44" i="7"/>
  <c r="S45" i="7"/>
  <c r="S41" i="7"/>
  <c r="S46" i="7"/>
  <c r="S43" i="7"/>
  <c r="S36" i="7"/>
  <c r="S35" i="7"/>
  <c r="S34" i="7"/>
  <c r="V34" i="7" s="1"/>
  <c r="S33" i="7"/>
  <c r="P176" i="17"/>
  <c r="S29" i="7"/>
  <c r="P177" i="17"/>
  <c r="S32" i="7"/>
  <c r="S177" i="17" s="1"/>
  <c r="T177" i="17" s="1"/>
  <c r="S26" i="7"/>
  <c r="V26" i="7" s="1"/>
  <c r="S21" i="7"/>
  <c r="S19" i="7"/>
  <c r="S22" i="7"/>
  <c r="S20" i="7"/>
  <c r="T20" i="7" s="1"/>
  <c r="S23" i="7"/>
  <c r="S16" i="7"/>
  <c r="S18" i="7"/>
  <c r="S24" i="7"/>
  <c r="S25" i="7"/>
  <c r="S17" i="7"/>
  <c r="S26" i="6"/>
  <c r="V27" i="6"/>
  <c r="S24" i="6"/>
  <c r="V24" i="6" s="1"/>
  <c r="S25" i="6"/>
  <c r="V25" i="6" s="1"/>
  <c r="S27" i="6"/>
  <c r="S56" i="6"/>
  <c r="V56" i="6" s="1"/>
  <c r="S64" i="6"/>
  <c r="T64" i="6" s="1"/>
  <c r="S49" i="6"/>
  <c r="V49" i="6" s="1"/>
  <c r="S50" i="6"/>
  <c r="S52" i="6"/>
  <c r="V52" i="6" s="1"/>
  <c r="V61" i="6"/>
  <c r="V50" i="6"/>
  <c r="S55" i="6"/>
  <c r="S59" i="6"/>
  <c r="S51" i="6"/>
  <c r="V51" i="6" s="1"/>
  <c r="S58" i="6"/>
  <c r="S54" i="6"/>
  <c r="S53" i="6"/>
  <c r="V53" i="6" s="1"/>
  <c r="S62" i="6"/>
  <c r="V62" i="6" s="1"/>
  <c r="S63" i="6"/>
  <c r="V63" i="6" s="1"/>
  <c r="S67" i="6"/>
  <c r="T67" i="6" s="1"/>
  <c r="S66" i="6"/>
  <c r="V66" i="6" s="1"/>
  <c r="P167" i="17"/>
  <c r="S101" i="6"/>
  <c r="T101" i="6" s="1"/>
  <c r="S95" i="6"/>
  <c r="S97" i="6"/>
  <c r="S96" i="6"/>
  <c r="T96" i="6" s="1"/>
  <c r="S98" i="6"/>
  <c r="S84" i="6"/>
  <c r="S83" i="6"/>
  <c r="S71" i="6"/>
  <c r="V71" i="6" s="1"/>
  <c r="S74" i="6"/>
  <c r="S77" i="6"/>
  <c r="V77" i="6" s="1"/>
  <c r="S79" i="6"/>
  <c r="S75" i="6"/>
  <c r="S76" i="6"/>
  <c r="V76" i="6" s="1"/>
  <c r="V73" i="6"/>
  <c r="S81" i="6"/>
  <c r="S80" i="6"/>
  <c r="V80" i="6" s="1"/>
  <c r="S73" i="6"/>
  <c r="S78" i="6"/>
  <c r="V78" i="6" s="1"/>
  <c r="Q116" i="16"/>
  <c r="Q139" i="17"/>
  <c r="Q141" i="17" s="1"/>
  <c r="S79" i="5"/>
  <c r="V79" i="5" s="1"/>
  <c r="S75" i="5"/>
  <c r="V75" i="5" s="1"/>
  <c r="S77" i="5"/>
  <c r="V77" i="5" s="1"/>
  <c r="S78" i="5"/>
  <c r="V78" i="5" s="1"/>
  <c r="S76" i="5"/>
  <c r="V76" i="5" s="1"/>
  <c r="S73" i="5"/>
  <c r="V73" i="5" s="1"/>
  <c r="S68" i="5"/>
  <c r="V68" i="5" s="1"/>
  <c r="S69" i="5"/>
  <c r="V69" i="5" s="1"/>
  <c r="S63" i="5"/>
  <c r="V63" i="5" s="1"/>
  <c r="S50" i="5"/>
  <c r="V50" i="5" s="1"/>
  <c r="S52" i="5"/>
  <c r="V52" i="5" s="1"/>
  <c r="S55" i="5"/>
  <c r="V55" i="5" s="1"/>
  <c r="S54" i="5"/>
  <c r="V54" i="5" s="1"/>
  <c r="S57" i="5"/>
  <c r="V57" i="5" s="1"/>
  <c r="S51" i="5"/>
  <c r="V51" i="5" s="1"/>
  <c r="S43" i="5"/>
  <c r="V43" i="5" s="1"/>
  <c r="S44" i="5"/>
  <c r="V44" i="5" s="1"/>
  <c r="S45" i="5"/>
  <c r="V45" i="5" s="1"/>
  <c r="S38" i="5"/>
  <c r="V38" i="5" s="1"/>
  <c r="P123" i="17"/>
  <c r="S32" i="5"/>
  <c r="S123" i="17" s="1"/>
  <c r="T123" i="17" s="1"/>
  <c r="S35" i="5"/>
  <c r="V35" i="5" s="1"/>
  <c r="S37" i="5"/>
  <c r="V37" i="5" s="1"/>
  <c r="P122" i="17"/>
  <c r="S29" i="5"/>
  <c r="S26" i="5"/>
  <c r="V26" i="5" s="1"/>
  <c r="S16" i="5"/>
  <c r="V16" i="5" s="1"/>
  <c r="S24" i="5"/>
  <c r="V24" i="5" s="1"/>
  <c r="P139" i="16"/>
  <c r="S100" i="4"/>
  <c r="V100" i="4" s="1"/>
  <c r="S102" i="4"/>
  <c r="S63" i="4"/>
  <c r="S45" i="4"/>
  <c r="P96" i="17"/>
  <c r="S32" i="4"/>
  <c r="S96" i="17" s="1"/>
  <c r="T96" i="17" s="1"/>
  <c r="P95" i="17"/>
  <c r="S29" i="4"/>
  <c r="S89" i="4"/>
  <c r="S25" i="4"/>
  <c r="S22" i="4"/>
  <c r="P94" i="17"/>
  <c r="S13" i="4"/>
  <c r="S94" i="17" s="1"/>
  <c r="S20" i="4"/>
  <c r="T20" i="4" s="1"/>
  <c r="S81" i="3"/>
  <c r="V81" i="3" s="1"/>
  <c r="S72" i="3"/>
  <c r="T72" i="3" s="1"/>
  <c r="R230" i="9"/>
  <c r="S65" i="3"/>
  <c r="V65" i="3" s="1"/>
  <c r="S49" i="3"/>
  <c r="V49" i="3" s="1"/>
  <c r="R55" i="15"/>
  <c r="P69" i="17"/>
  <c r="S33" i="3"/>
  <c r="S69" i="17" s="1"/>
  <c r="T69" i="17" s="1"/>
  <c r="S37" i="3"/>
  <c r="T37" i="3" s="1"/>
  <c r="P68" i="17"/>
  <c r="S30" i="3"/>
  <c r="S68" i="17" s="1"/>
  <c r="T68" i="17" s="1"/>
  <c r="S26" i="3"/>
  <c r="V26" i="3" s="1"/>
  <c r="R76" i="17"/>
  <c r="P137" i="16"/>
  <c r="S137" i="16" s="1"/>
  <c r="S100" i="2"/>
  <c r="T100" i="2" s="1"/>
  <c r="S101" i="2"/>
  <c r="S102" i="2"/>
  <c r="S99" i="2"/>
  <c r="S98" i="2"/>
  <c r="S97" i="2"/>
  <c r="S95" i="2"/>
  <c r="S96" i="2"/>
  <c r="S72" i="2"/>
  <c r="S80" i="2"/>
  <c r="S73" i="2"/>
  <c r="S75" i="2"/>
  <c r="V75" i="2" s="1"/>
  <c r="S76" i="2"/>
  <c r="S74" i="2"/>
  <c r="S77" i="2"/>
  <c r="V77" i="2" s="1"/>
  <c r="S71" i="2"/>
  <c r="S66" i="2"/>
  <c r="V66" i="2" s="1"/>
  <c r="S67" i="2"/>
  <c r="S62" i="2"/>
  <c r="V62" i="2" s="1"/>
  <c r="S64" i="2"/>
  <c r="S53" i="2"/>
  <c r="V53" i="2" s="1"/>
  <c r="S54" i="2"/>
  <c r="S51" i="2"/>
  <c r="S50" i="2"/>
  <c r="S49" i="2"/>
  <c r="S55" i="2"/>
  <c r="S52" i="2"/>
  <c r="S58" i="2"/>
  <c r="S48" i="2"/>
  <c r="S56" i="2"/>
  <c r="S57" i="2"/>
  <c r="S44" i="2"/>
  <c r="S41" i="2"/>
  <c r="S43" i="2"/>
  <c r="S45" i="2"/>
  <c r="V45" i="2" s="1"/>
  <c r="S42" i="2"/>
  <c r="S89" i="2"/>
  <c r="S34" i="2"/>
  <c r="S37" i="2"/>
  <c r="S32" i="2"/>
  <c r="S35" i="2"/>
  <c r="S36" i="2"/>
  <c r="S33" i="2"/>
  <c r="S30" i="2"/>
  <c r="S22" i="2"/>
  <c r="S15" i="2"/>
  <c r="S21" i="2"/>
  <c r="S19" i="2"/>
  <c r="T19" i="2" s="1"/>
  <c r="S16" i="2"/>
  <c r="S23" i="2"/>
  <c r="S17" i="2"/>
  <c r="S50" i="10"/>
  <c r="S72" i="10"/>
  <c r="S30" i="10"/>
  <c r="S28" i="16"/>
  <c r="R9" i="16"/>
  <c r="M9" i="16"/>
  <c r="Q9" i="16"/>
  <c r="T46" i="10"/>
  <c r="R225" i="9"/>
  <c r="T58" i="9"/>
  <c r="V34" i="6"/>
  <c r="V98" i="5"/>
  <c r="T98" i="5"/>
  <c r="T94" i="5"/>
  <c r="V90" i="10"/>
  <c r="T90" i="10"/>
  <c r="V33" i="10"/>
  <c r="T33" i="10"/>
  <c r="V159" i="9"/>
  <c r="T159" i="9"/>
  <c r="V65" i="9"/>
  <c r="T65" i="9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4" i="5"/>
  <c r="T84" i="5"/>
  <c r="V74" i="5"/>
  <c r="T74" i="5"/>
  <c r="V56" i="5"/>
  <c r="T56" i="5"/>
  <c r="R102" i="15"/>
  <c r="R107" i="15"/>
  <c r="R181" i="17"/>
  <c r="P107" i="15"/>
  <c r="P181" i="17"/>
  <c r="R186" i="17"/>
  <c r="R34" i="16"/>
  <c r="P34" i="16"/>
  <c r="P186" i="17"/>
  <c r="V94" i="3"/>
  <c r="R130" i="17"/>
  <c r="Q130" i="17"/>
  <c r="V44" i="4"/>
  <c r="P92" i="15"/>
  <c r="P99" i="17"/>
  <c r="V86" i="4"/>
  <c r="P104" i="15"/>
  <c r="P100" i="17"/>
  <c r="P31" i="16"/>
  <c r="P105" i="17"/>
  <c r="V21" i="3"/>
  <c r="T21" i="3"/>
  <c r="T30" i="6"/>
  <c r="R30" i="15"/>
  <c r="V15" i="10"/>
  <c r="R112" i="16"/>
  <c r="V27" i="3"/>
  <c r="T27" i="3"/>
  <c r="V42" i="3"/>
  <c r="T47" i="3"/>
  <c r="T17" i="10"/>
  <c r="R95" i="15"/>
  <c r="R180" i="17"/>
  <c r="R184" i="17" s="1"/>
  <c r="T48" i="6"/>
  <c r="T73" i="3"/>
  <c r="V16" i="3"/>
  <c r="V18" i="3"/>
  <c r="Q91" i="15"/>
  <c r="P73" i="17"/>
  <c r="P103" i="15"/>
  <c r="P30" i="16"/>
  <c r="P78" i="17"/>
  <c r="P95" i="15"/>
  <c r="P180" i="17"/>
  <c r="R7" i="7"/>
  <c r="V20" i="5"/>
  <c r="T20" i="5"/>
  <c r="V18" i="5"/>
  <c r="T18" i="5"/>
  <c r="V24" i="3"/>
  <c r="Q55" i="15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100" i="16"/>
  <c r="R108" i="16" s="1"/>
  <c r="R88" i="16"/>
  <c r="R96" i="16" s="1"/>
  <c r="R76" i="16"/>
  <c r="R84" i="16" s="1"/>
  <c r="R64" i="16"/>
  <c r="R40" i="16"/>
  <c r="R48" i="16" s="1"/>
  <c r="P100" i="16"/>
  <c r="P88" i="16"/>
  <c r="P96" i="16" s="1"/>
  <c r="P76" i="16"/>
  <c r="V69" i="10"/>
  <c r="T69" i="10"/>
  <c r="V65" i="10"/>
  <c r="T65" i="10"/>
  <c r="V66" i="10"/>
  <c r="T66" i="10"/>
  <c r="V55" i="10"/>
  <c r="T55" i="10"/>
  <c r="P64" i="16"/>
  <c r="P40" i="16"/>
  <c r="T21" i="9"/>
  <c r="T50" i="3"/>
  <c r="T60" i="9"/>
  <c r="V75" i="6"/>
  <c r="V57" i="6"/>
  <c r="V31" i="6"/>
  <c r="V125" i="9"/>
  <c r="V78" i="9"/>
  <c r="Q230" i="9"/>
  <c r="Q88" i="16"/>
  <c r="Q12" i="11"/>
  <c r="V66" i="3"/>
  <c r="V70" i="3"/>
  <c r="V28" i="3"/>
  <c r="V51" i="3"/>
  <c r="Q52" i="16"/>
  <c r="Q60" i="16" s="1"/>
  <c r="Q64" i="16"/>
  <c r="Q92" i="15"/>
  <c r="Q99" i="17"/>
  <c r="Q95" i="15"/>
  <c r="Q180" i="17"/>
  <c r="Q11" i="11"/>
  <c r="V13" i="10"/>
  <c r="T13" i="10"/>
  <c r="Q100" i="16"/>
  <c r="Q108" i="16" s="1"/>
  <c r="Q100" i="17"/>
  <c r="Q104" i="15"/>
  <c r="V54" i="6"/>
  <c r="Q15" i="11"/>
  <c r="Q30" i="16"/>
  <c r="Q78" i="17"/>
  <c r="T116" i="9"/>
  <c r="Q102" i="15"/>
  <c r="Q103" i="15"/>
  <c r="Q73" i="17"/>
  <c r="V88" i="3"/>
  <c r="Q31" i="16"/>
  <c r="Q105" i="17"/>
  <c r="V94" i="4"/>
  <c r="Q13" i="11"/>
  <c r="Q14" i="11"/>
  <c r="T17" i="16"/>
  <c r="V35" i="6"/>
  <c r="Q40" i="16"/>
  <c r="Q48" i="16" s="1"/>
  <c r="Q34" i="16"/>
  <c r="Q186" i="17"/>
  <c r="T86" i="7"/>
  <c r="Q107" i="15"/>
  <c r="Q181" i="17"/>
  <c r="Q10" i="11"/>
  <c r="Q16" i="11"/>
  <c r="P127" i="17"/>
  <c r="P105" i="15"/>
  <c r="S88" i="7"/>
  <c r="V88" i="7" s="1"/>
  <c r="V85" i="7"/>
  <c r="V94" i="7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4" i="16" s="1"/>
  <c r="R21" i="16" s="1"/>
  <c r="R18" i="11" s="1"/>
  <c r="R217" i="9"/>
  <c r="V85" i="6"/>
  <c r="P106" i="15"/>
  <c r="P154" i="17"/>
  <c r="R154" i="17"/>
  <c r="R106" i="15"/>
  <c r="P94" i="15"/>
  <c r="P153" i="17"/>
  <c r="R153" i="17"/>
  <c r="R94" i="15"/>
  <c r="R233" i="9"/>
  <c r="P46" i="15"/>
  <c r="V47" i="6"/>
  <c r="V26" i="6"/>
  <c r="Q106" i="15"/>
  <c r="Q154" i="17"/>
  <c r="V87" i="6"/>
  <c r="V88" i="6"/>
  <c r="R58" i="15"/>
  <c r="P225" i="9"/>
  <c r="R34" i="15"/>
  <c r="V45" i="6"/>
  <c r="V60" i="6"/>
  <c r="Q153" i="17"/>
  <c r="Q94" i="15"/>
  <c r="V59" i="6"/>
  <c r="V28" i="6"/>
  <c r="R142" i="15"/>
  <c r="T83" i="6"/>
  <c r="P129" i="16"/>
  <c r="P58" i="15"/>
  <c r="V43" i="6"/>
  <c r="V38" i="6"/>
  <c r="V82" i="6"/>
  <c r="V58" i="6"/>
  <c r="V65" i="6"/>
  <c r="V55" i="6"/>
  <c r="V81" i="6"/>
  <c r="V33" i="6"/>
  <c r="T36" i="6"/>
  <c r="V79" i="6"/>
  <c r="P162" i="17"/>
  <c r="P69" i="16"/>
  <c r="R69" i="16"/>
  <c r="R162" i="17"/>
  <c r="Q159" i="17"/>
  <c r="Q33" i="16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150" i="17"/>
  <c r="T150" i="17" s="1"/>
  <c r="Q150" i="17"/>
  <c r="V14" i="6"/>
  <c r="Q162" i="17"/>
  <c r="Q69" i="16"/>
  <c r="V37" i="6"/>
  <c r="V93" i="6"/>
  <c r="S159" i="17"/>
  <c r="T95" i="6"/>
  <c r="P33" i="16"/>
  <c r="P159" i="17"/>
  <c r="T83" i="5"/>
  <c r="P126" i="17"/>
  <c r="P93" i="15"/>
  <c r="T93" i="5"/>
  <c r="P32" i="16"/>
  <c r="S32" i="16" s="1"/>
  <c r="P132" i="17"/>
  <c r="T95" i="5"/>
  <c r="P68" i="16"/>
  <c r="S68" i="16" s="1"/>
  <c r="P135" i="17"/>
  <c r="R141" i="17"/>
  <c r="V83" i="4"/>
  <c r="V84" i="4"/>
  <c r="V87" i="4"/>
  <c r="V59" i="4"/>
  <c r="V81" i="4"/>
  <c r="V88" i="4"/>
  <c r="V47" i="4"/>
  <c r="V40" i="4"/>
  <c r="V55" i="4"/>
  <c r="T97" i="4"/>
  <c r="V75" i="4"/>
  <c r="V34" i="4"/>
  <c r="V24" i="4"/>
  <c r="T96" i="4"/>
  <c r="V56" i="4"/>
  <c r="V18" i="4"/>
  <c r="T88" i="4"/>
  <c r="T86" i="4"/>
  <c r="T87" i="4"/>
  <c r="V36" i="4"/>
  <c r="V23" i="4"/>
  <c r="V50" i="4"/>
  <c r="V69" i="4"/>
  <c r="V52" i="4"/>
  <c r="V68" i="4"/>
  <c r="R138" i="15"/>
  <c r="V87" i="3"/>
  <c r="V69" i="3"/>
  <c r="V77" i="3"/>
  <c r="V59" i="3"/>
  <c r="V60" i="3"/>
  <c r="V62" i="3"/>
  <c r="V45" i="3"/>
  <c r="V43" i="3"/>
  <c r="V41" i="3"/>
  <c r="V25" i="3"/>
  <c r="T87" i="3"/>
  <c r="V44" i="3"/>
  <c r="V36" i="3"/>
  <c r="V46" i="3"/>
  <c r="V61" i="3"/>
  <c r="V39" i="3"/>
  <c r="V35" i="3"/>
  <c r="V71" i="3"/>
  <c r="V79" i="3"/>
  <c r="V67" i="3"/>
  <c r="Q187" i="9"/>
  <c r="V38" i="3"/>
  <c r="V58" i="3"/>
  <c r="P81" i="17"/>
  <c r="P66" i="16"/>
  <c r="S66" i="16" s="1"/>
  <c r="V23" i="3"/>
  <c r="Q81" i="17"/>
  <c r="Q66" i="16"/>
  <c r="Q86" i="17"/>
  <c r="Q85" i="17" s="1"/>
  <c r="Q126" i="16"/>
  <c r="Q114" i="16" s="1"/>
  <c r="P91" i="15"/>
  <c r="P72" i="17"/>
  <c r="T63" i="3"/>
  <c r="V53" i="3"/>
  <c r="Q43" i="15"/>
  <c r="R87" i="17"/>
  <c r="R29" i="16"/>
  <c r="Q29" i="16"/>
  <c r="P29" i="16"/>
  <c r="V94" i="2"/>
  <c r="T40" i="17"/>
  <c r="V83" i="2"/>
  <c r="P90" i="15"/>
  <c r="R213" i="9"/>
  <c r="R90" i="15"/>
  <c r="R49" i="17"/>
  <c r="Q49" i="17"/>
  <c r="Q90" i="15"/>
  <c r="R7" i="2"/>
  <c r="T86" i="2"/>
  <c r="R125" i="16"/>
  <c r="Q90" i="3"/>
  <c r="Q5" i="3" s="1"/>
  <c r="Q180" i="9" s="1"/>
  <c r="Q214" i="9"/>
  <c r="Q67" i="17"/>
  <c r="Q76" i="17" s="1"/>
  <c r="Q139" i="15"/>
  <c r="Q138" i="16"/>
  <c r="V42" i="4"/>
  <c r="V14" i="4"/>
  <c r="T46" i="4"/>
  <c r="V35" i="4"/>
  <c r="V17" i="4"/>
  <c r="V19" i="4"/>
  <c r="V45" i="4"/>
  <c r="T62" i="9"/>
  <c r="T51" i="9"/>
  <c r="V19" i="9"/>
  <c r="V63" i="4"/>
  <c r="V25" i="4"/>
  <c r="T49" i="4"/>
  <c r="V77" i="4"/>
  <c r="V54" i="4"/>
  <c r="V38" i="4"/>
  <c r="V22" i="4"/>
  <c r="V61" i="4"/>
  <c r="V39" i="4"/>
  <c r="V78" i="4"/>
  <c r="P127" i="16"/>
  <c r="P113" i="17"/>
  <c r="P112" i="17" s="1"/>
  <c r="Q65" i="16"/>
  <c r="Q113" i="17"/>
  <c r="Q112" i="17" s="1"/>
  <c r="Q127" i="16"/>
  <c r="Q115" i="16" s="1"/>
  <c r="Q140" i="15"/>
  <c r="Q139" i="16"/>
  <c r="P138" i="15"/>
  <c r="V99" i="4"/>
  <c r="P108" i="17"/>
  <c r="P67" i="16"/>
  <c r="Q125" i="16"/>
  <c r="P125" i="16"/>
  <c r="R114" i="17"/>
  <c r="R116" i="17" s="1"/>
  <c r="Q138" i="15"/>
  <c r="Q67" i="16"/>
  <c r="Q108" i="17"/>
  <c r="P65" i="16"/>
  <c r="S65" i="16" s="1"/>
  <c r="T49" i="10"/>
  <c r="V48" i="3"/>
  <c r="T112" i="9"/>
  <c r="V16" i="9"/>
  <c r="V61" i="7"/>
  <c r="T69" i="7"/>
  <c r="V97" i="3"/>
  <c r="V78" i="3"/>
  <c r="V80" i="3"/>
  <c r="V76" i="3"/>
  <c r="V64" i="3"/>
  <c r="V57" i="3"/>
  <c r="Q31" i="15"/>
  <c r="V37" i="7"/>
  <c r="V97" i="7"/>
  <c r="V35" i="7"/>
  <c r="Q222" i="9"/>
  <c r="V34" i="9"/>
  <c r="V27" i="2"/>
  <c r="V61" i="2"/>
  <c r="V56" i="2"/>
  <c r="V20" i="2"/>
  <c r="V54" i="2"/>
  <c r="V25" i="2"/>
  <c r="V51" i="2"/>
  <c r="V37" i="2"/>
  <c r="V30" i="2"/>
  <c r="V44" i="2"/>
  <c r="V50" i="2"/>
  <c r="T40" i="9"/>
  <c r="Q96" i="10"/>
  <c r="Q9" i="10" s="1"/>
  <c r="V60" i="4"/>
  <c r="V15" i="4"/>
  <c r="V73" i="4"/>
  <c r="V33" i="4"/>
  <c r="P140" i="15"/>
  <c r="V37" i="4"/>
  <c r="T27" i="4"/>
  <c r="V51" i="4"/>
  <c r="V76" i="4"/>
  <c r="V24" i="7"/>
  <c r="V76" i="7"/>
  <c r="V54" i="7"/>
  <c r="V50" i="7"/>
  <c r="V75" i="7"/>
  <c r="V28" i="7"/>
  <c r="V65" i="7"/>
  <c r="V81" i="7"/>
  <c r="V53" i="4"/>
  <c r="V57" i="4"/>
  <c r="T58" i="4"/>
  <c r="V34" i="2"/>
  <c r="Q7" i="6"/>
  <c r="V33" i="5"/>
  <c r="T33" i="5"/>
  <c r="V71" i="5"/>
  <c r="T71" i="5"/>
  <c r="T66" i="5"/>
  <c r="V41" i="5"/>
  <c r="T41" i="5"/>
  <c r="T41" i="4"/>
  <c r="V95" i="2"/>
  <c r="Q6" i="3"/>
  <c r="V20" i="15"/>
  <c r="T20" i="15"/>
  <c r="T16" i="15"/>
  <c r="V16" i="15"/>
  <c r="V69" i="6"/>
  <c r="T69" i="6"/>
  <c r="V19" i="15"/>
  <c r="T19" i="15"/>
  <c r="V44" i="9"/>
  <c r="T44" i="9"/>
  <c r="T28" i="3"/>
  <c r="Q215" i="9"/>
  <c r="Q32" i="15"/>
  <c r="V53" i="10"/>
  <c r="T53" i="10"/>
  <c r="V77" i="7"/>
  <c r="T36" i="5"/>
  <c r="V36" i="5"/>
  <c r="V58" i="5"/>
  <c r="V34" i="5"/>
  <c r="T34" i="5"/>
  <c r="T81" i="3"/>
  <c r="V130" i="9"/>
  <c r="T130" i="9"/>
  <c r="M17" i="11"/>
  <c r="V78" i="2"/>
  <c r="V63" i="2"/>
  <c r="P221" i="9"/>
  <c r="P42" i="15"/>
  <c r="T41" i="17"/>
  <c r="V68" i="2"/>
  <c r="V79" i="2"/>
  <c r="V39" i="2"/>
  <c r="V38" i="2"/>
  <c r="V47" i="2"/>
  <c r="V55" i="2"/>
  <c r="V59" i="2"/>
  <c r="V52" i="2"/>
  <c r="T124" i="9"/>
  <c r="V124" i="9"/>
  <c r="Q47" i="15"/>
  <c r="Q226" i="9"/>
  <c r="Q7" i="7"/>
  <c r="V16" i="10"/>
  <c r="T16" i="10"/>
  <c r="V35" i="10"/>
  <c r="T35" i="10"/>
  <c r="Q233" i="9"/>
  <c r="Q58" i="15"/>
  <c r="V73" i="10"/>
  <c r="V15" i="15"/>
  <c r="T15" i="15"/>
  <c r="P5" i="4"/>
  <c r="P181" i="9" s="1"/>
  <c r="V44" i="7"/>
  <c r="V26" i="10"/>
  <c r="V18" i="15"/>
  <c r="T18" i="15"/>
  <c r="T34" i="6"/>
  <c r="V79" i="4"/>
  <c r="V68" i="7"/>
  <c r="P232" i="9"/>
  <c r="P57" i="15"/>
  <c r="V77" i="10"/>
  <c r="T76" i="10"/>
  <c r="P6" i="4"/>
  <c r="V60" i="7"/>
  <c r="P226" i="9"/>
  <c r="P47" i="15"/>
  <c r="S176" i="17"/>
  <c r="T176" i="17" s="1"/>
  <c r="V25" i="7"/>
  <c r="P234" i="9"/>
  <c r="P59" i="15"/>
  <c r="V38" i="7"/>
  <c r="V52" i="7"/>
  <c r="V72" i="5"/>
  <c r="T72" i="5"/>
  <c r="V46" i="5"/>
  <c r="T46" i="5"/>
  <c r="T25" i="5"/>
  <c r="V25" i="5"/>
  <c r="V49" i="5"/>
  <c r="T49" i="5"/>
  <c r="V42" i="5"/>
  <c r="T42" i="5"/>
  <c r="P189" i="9"/>
  <c r="T17" i="3"/>
  <c r="V17" i="3"/>
  <c r="P187" i="9"/>
  <c r="V14" i="15"/>
  <c r="T14" i="15"/>
  <c r="Q7" i="2"/>
  <c r="Q44" i="15"/>
  <c r="Q223" i="9"/>
  <c r="P229" i="9"/>
  <c r="P54" i="15"/>
  <c r="T42" i="17"/>
  <c r="P6" i="2"/>
  <c r="V26" i="2"/>
  <c r="V43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V52" i="10"/>
  <c r="T52" i="10"/>
  <c r="V43" i="10"/>
  <c r="T43" i="10"/>
  <c r="V20" i="7"/>
  <c r="V15" i="5"/>
  <c r="T15" i="5"/>
  <c r="V30" i="5"/>
  <c r="T30" i="5"/>
  <c r="V22" i="5"/>
  <c r="T22" i="5"/>
  <c r="T80" i="5"/>
  <c r="V80" i="5"/>
  <c r="T21" i="5"/>
  <c r="V21" i="5"/>
  <c r="Q42" i="15"/>
  <c r="Q221" i="9"/>
  <c r="P5" i="2"/>
  <c r="P179" i="9" s="1"/>
  <c r="T30" i="2"/>
  <c r="T15" i="9"/>
  <c r="V15" i="9"/>
  <c r="Q46" i="15"/>
  <c r="Q225" i="9"/>
  <c r="V43" i="4"/>
  <c r="V70" i="7"/>
  <c r="V40" i="7"/>
  <c r="V79" i="7"/>
  <c r="V62" i="5"/>
  <c r="T62" i="5"/>
  <c r="V67" i="5"/>
  <c r="T67" i="5"/>
  <c r="V96" i="6"/>
  <c r="R47" i="15"/>
  <c r="R49" i="15" s="1"/>
  <c r="R226" i="9"/>
  <c r="R227" i="9" s="1"/>
  <c r="R234" i="9"/>
  <c r="R59" i="15"/>
  <c r="P39" i="10"/>
  <c r="S39" i="10" s="1"/>
  <c r="V31" i="10"/>
  <c r="T31" i="10"/>
  <c r="P231" i="9"/>
  <c r="P56" i="15"/>
  <c r="P44" i="15"/>
  <c r="P223" i="9"/>
  <c r="S95" i="17"/>
  <c r="T95" i="17" s="1"/>
  <c r="V70" i="4"/>
  <c r="V16" i="7"/>
  <c r="V22" i="7"/>
  <c r="V53" i="7"/>
  <c r="V73" i="7"/>
  <c r="V55" i="7"/>
  <c r="R31" i="15"/>
  <c r="R214" i="9"/>
  <c r="R90" i="3"/>
  <c r="R5" i="3" s="1"/>
  <c r="R180" i="9" s="1"/>
  <c r="R218" i="9"/>
  <c r="R35" i="15"/>
  <c r="T41" i="10"/>
  <c r="V41" i="10"/>
  <c r="V48" i="10"/>
  <c r="T48" i="10"/>
  <c r="S149" i="17"/>
  <c r="T149" i="17" s="1"/>
  <c r="T42" i="4"/>
  <c r="V65" i="4"/>
  <c r="P215" i="9"/>
  <c r="P32" i="15"/>
  <c r="V46" i="4"/>
  <c r="V45" i="7"/>
  <c r="V39" i="7"/>
  <c r="V47" i="7"/>
  <c r="V43" i="7"/>
  <c r="V78" i="7"/>
  <c r="V27" i="7"/>
  <c r="V18" i="7"/>
  <c r="V31" i="7"/>
  <c r="V82" i="7"/>
  <c r="V17" i="7"/>
  <c r="T53" i="5"/>
  <c r="V53" i="5"/>
  <c r="T64" i="5"/>
  <c r="V64" i="5"/>
  <c r="V19" i="5"/>
  <c r="T19" i="5"/>
  <c r="T27" i="5"/>
  <c r="V27" i="5"/>
  <c r="P216" i="9"/>
  <c r="S121" i="17"/>
  <c r="P33" i="15"/>
  <c r="P5" i="5"/>
  <c r="P182" i="9" s="1"/>
  <c r="P45" i="15"/>
  <c r="S122" i="17"/>
  <c r="T122" i="17" s="1"/>
  <c r="P224" i="9"/>
  <c r="V17" i="5"/>
  <c r="T17" i="5"/>
  <c r="Q229" i="9"/>
  <c r="Q54" i="15"/>
  <c r="Q7" i="4"/>
  <c r="Q231" i="9"/>
  <c r="Q56" i="15"/>
  <c r="V35" i="2"/>
  <c r="V73" i="2"/>
  <c r="V70" i="2"/>
  <c r="V57" i="2"/>
  <c r="V76" i="2"/>
  <c r="V60" i="2"/>
  <c r="V65" i="2"/>
  <c r="V17" i="2"/>
  <c r="V69" i="2"/>
  <c r="V81" i="2"/>
  <c r="T70" i="9"/>
  <c r="V70" i="9"/>
  <c r="Q234" i="9"/>
  <c r="Q59" i="15"/>
  <c r="V68" i="10"/>
  <c r="T67" i="10"/>
  <c r="T18" i="10"/>
  <c r="V18" i="10"/>
  <c r="V14" i="7" l="1"/>
  <c r="V20" i="4"/>
  <c r="S48" i="7"/>
  <c r="T48" i="7" s="1"/>
  <c r="V23" i="7"/>
  <c r="T23" i="7"/>
  <c r="V67" i="6"/>
  <c r="T66" i="6"/>
  <c r="T48" i="5"/>
  <c r="V14" i="5"/>
  <c r="R96" i="10"/>
  <c r="R9" i="10" s="1"/>
  <c r="U9" i="10" s="1"/>
  <c r="P130" i="17"/>
  <c r="T80" i="6"/>
  <c r="T71" i="6"/>
  <c r="S130" i="16"/>
  <c r="S70" i="16"/>
  <c r="S71" i="7"/>
  <c r="T71" i="7" s="1"/>
  <c r="S129" i="16"/>
  <c r="S69" i="16"/>
  <c r="P115" i="16"/>
  <c r="S115" i="16" s="1"/>
  <c r="S127" i="16"/>
  <c r="S139" i="16"/>
  <c r="S67" i="16"/>
  <c r="P103" i="17"/>
  <c r="V37" i="3"/>
  <c r="R89" i="17"/>
  <c r="P108" i="16"/>
  <c r="S108" i="16" s="1"/>
  <c r="S100" i="16"/>
  <c r="S125" i="16"/>
  <c r="Q96" i="16"/>
  <c r="S96" i="16" s="1"/>
  <c r="S88" i="16"/>
  <c r="S64" i="16"/>
  <c r="P84" i="16"/>
  <c r="S84" i="16" s="1"/>
  <c r="S76" i="16"/>
  <c r="P48" i="16"/>
  <c r="S48" i="16" s="1"/>
  <c r="S40" i="16"/>
  <c r="R109" i="15"/>
  <c r="T62" i="2"/>
  <c r="R157" i="17"/>
  <c r="Q103" i="17"/>
  <c r="R143" i="17"/>
  <c r="T83" i="2"/>
  <c r="Q143" i="17"/>
  <c r="V67" i="7"/>
  <c r="T84" i="4"/>
  <c r="V47" i="3"/>
  <c r="V20" i="3"/>
  <c r="V36" i="6"/>
  <c r="V98" i="2"/>
  <c r="T98" i="2"/>
  <c r="V98" i="4"/>
  <c r="T98" i="4"/>
  <c r="V74" i="7"/>
  <c r="T74" i="7"/>
  <c r="V98" i="6"/>
  <c r="T98" i="6"/>
  <c r="V74" i="6"/>
  <c r="T74" i="6"/>
  <c r="T34" i="2"/>
  <c r="T88" i="3"/>
  <c r="T49" i="3"/>
  <c r="V73" i="3"/>
  <c r="V74" i="3"/>
  <c r="T74" i="3"/>
  <c r="V3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R62" i="17" s="1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V97" i="6"/>
  <c r="T97" i="6"/>
  <c r="T56" i="6"/>
  <c r="V48" i="6"/>
  <c r="T62" i="6"/>
  <c r="V46" i="6"/>
  <c r="T46" i="6"/>
  <c r="V42" i="6"/>
  <c r="T42" i="6"/>
  <c r="V41" i="6"/>
  <c r="T41" i="6"/>
  <c r="V26" i="4"/>
  <c r="T26" i="4"/>
  <c r="T42" i="3"/>
  <c r="R145" i="15"/>
  <c r="R22" i="15" s="1"/>
  <c r="R23" i="15" s="1"/>
  <c r="V85" i="3"/>
  <c r="T85" i="3"/>
  <c r="Q7" i="3"/>
  <c r="R72" i="16"/>
  <c r="R33" i="17"/>
  <c r="R35" i="17" s="1"/>
  <c r="V41" i="4"/>
  <c r="Q87" i="17"/>
  <c r="Q89" i="17" s="1"/>
  <c r="V50" i="3"/>
  <c r="R235" i="9"/>
  <c r="V72" i="6"/>
  <c r="T58" i="6"/>
  <c r="T32" i="6"/>
  <c r="S233" i="9"/>
  <c r="S58" i="15"/>
  <c r="V32" i="6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52" i="16"/>
  <c r="T49" i="6"/>
  <c r="Q205" i="9"/>
  <c r="Q206" i="9" s="1"/>
  <c r="T59" i="3"/>
  <c r="Q33" i="17"/>
  <c r="Q35" i="17" s="1"/>
  <c r="T46" i="17"/>
  <c r="S102" i="15"/>
  <c r="S99" i="17"/>
  <c r="T99" i="17" s="1"/>
  <c r="S92" i="15"/>
  <c r="T27" i="17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V67" i="10"/>
  <c r="T28" i="17"/>
  <c r="V76" i="10"/>
  <c r="T30" i="17"/>
  <c r="V86" i="2"/>
  <c r="V18" i="16"/>
  <c r="S15" i="11"/>
  <c r="T18" i="16"/>
  <c r="T15" i="16"/>
  <c r="S12" i="11"/>
  <c r="V15" i="16"/>
  <c r="V95" i="6"/>
  <c r="T25" i="17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T29" i="17"/>
  <c r="T16" i="16"/>
  <c r="V16" i="16"/>
  <c r="S13" i="11"/>
  <c r="V101" i="6"/>
  <c r="T95" i="4"/>
  <c r="T33" i="4"/>
  <c r="V93" i="7"/>
  <c r="S186" i="17"/>
  <c r="T186" i="17" s="1"/>
  <c r="S78" i="17"/>
  <c r="T78" i="17" s="1"/>
  <c r="V93" i="3"/>
  <c r="V14" i="16"/>
  <c r="S11" i="11"/>
  <c r="T14" i="16"/>
  <c r="Q184" i="17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194" i="17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Q168" i="17"/>
  <c r="T159" i="17"/>
  <c r="S167" i="17"/>
  <c r="P36" i="16"/>
  <c r="S162" i="17"/>
  <c r="T162" i="17" s="1"/>
  <c r="R168" i="17"/>
  <c r="V83" i="5"/>
  <c r="S126" i="17"/>
  <c r="T126" i="17" s="1"/>
  <c r="S93" i="15"/>
  <c r="V93" i="5"/>
  <c r="S132" i="17"/>
  <c r="V95" i="5"/>
  <c r="S135" i="17"/>
  <c r="T135" i="17" s="1"/>
  <c r="P97" i="15"/>
  <c r="T23" i="4"/>
  <c r="T19" i="4"/>
  <c r="T15" i="4"/>
  <c r="T36" i="4"/>
  <c r="T85" i="4"/>
  <c r="V85" i="4"/>
  <c r="Q114" i="17"/>
  <c r="P114" i="17"/>
  <c r="V33" i="3"/>
  <c r="T33" i="3"/>
  <c r="Q198" i="9"/>
  <c r="Q200" i="9" s="1"/>
  <c r="T35" i="3"/>
  <c r="V63" i="3"/>
  <c r="V95" i="3"/>
  <c r="S81" i="17"/>
  <c r="T81" i="17" s="1"/>
  <c r="S91" i="15"/>
  <c r="S72" i="17"/>
  <c r="T72" i="17" s="1"/>
  <c r="T13" i="2"/>
  <c r="T51" i="17"/>
  <c r="V93" i="2"/>
  <c r="V13" i="2"/>
  <c r="P49" i="17"/>
  <c r="S90" i="15"/>
  <c r="T45" i="17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144" i="16"/>
  <c r="Q21" i="16" s="1"/>
  <c r="Q18" i="11" s="1"/>
  <c r="T99" i="4"/>
  <c r="T100" i="4"/>
  <c r="Q49" i="15"/>
  <c r="V49" i="4"/>
  <c r="P72" i="16"/>
  <c r="P113" i="16"/>
  <c r="Q145" i="15"/>
  <c r="Q22" i="15" s="1"/>
  <c r="Q23" i="15" s="1"/>
  <c r="P7" i="4"/>
  <c r="Q61" i="15"/>
  <c r="Q72" i="16"/>
  <c r="S138" i="15"/>
  <c r="Q60" i="17"/>
  <c r="Q62" i="17" s="1"/>
  <c r="S113" i="17"/>
  <c r="S140" i="15"/>
  <c r="Q113" i="16"/>
  <c r="Q120" i="16" s="1"/>
  <c r="Q20" i="16" s="1"/>
  <c r="Q132" i="16"/>
  <c r="S108" i="17"/>
  <c r="T94" i="17"/>
  <c r="T66" i="2"/>
  <c r="V99" i="2"/>
  <c r="M19" i="11"/>
  <c r="M41" i="11" s="1"/>
  <c r="I41" i="11"/>
  <c r="T49" i="7"/>
  <c r="T34" i="7"/>
  <c r="V58" i="4"/>
  <c r="V66" i="7"/>
  <c r="T66" i="7"/>
  <c r="T80" i="7"/>
  <c r="V19" i="2"/>
  <c r="V30" i="3"/>
  <c r="T30" i="3"/>
  <c r="V33" i="7"/>
  <c r="T33" i="7"/>
  <c r="R219" i="9"/>
  <c r="V100" i="2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R198" i="9"/>
  <c r="R200" i="9" s="1"/>
  <c r="R205" i="9"/>
  <c r="V19" i="7"/>
  <c r="T19" i="7"/>
  <c r="T30" i="7"/>
  <c r="V30" i="7"/>
  <c r="T30" i="4"/>
  <c r="V30" i="4"/>
  <c r="V15" i="2"/>
  <c r="T15" i="2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V71" i="7" l="1"/>
  <c r="V48" i="7"/>
  <c r="R170" i="17"/>
  <c r="P116" i="17"/>
  <c r="Q116" i="17"/>
  <c r="S113" i="16"/>
  <c r="S72" i="16"/>
  <c r="P60" i="16"/>
  <c r="S60" i="16" s="1"/>
  <c r="S52" i="16"/>
  <c r="S36" i="16"/>
  <c r="P62" i="17"/>
  <c r="V16" i="11"/>
  <c r="T16" i="1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T26" i="17"/>
  <c r="Q197" i="17"/>
  <c r="V13" i="11"/>
  <c r="T13" i="11"/>
  <c r="V10" i="11"/>
  <c r="T10" i="11"/>
  <c r="Q170" i="17"/>
  <c r="T11" i="11"/>
  <c r="V11" i="11"/>
  <c r="T180" i="17"/>
  <c r="V12" i="11"/>
  <c r="T12" i="11"/>
  <c r="T15" i="11"/>
  <c r="V15" i="11"/>
  <c r="S130" i="17"/>
  <c r="T130" i="17" s="1"/>
  <c r="S109" i="15"/>
  <c r="T189" i="17"/>
  <c r="T194" i="17"/>
  <c r="T167" i="17"/>
  <c r="T132" i="17"/>
  <c r="S97" i="15"/>
  <c r="S49" i="17"/>
  <c r="T49" i="17" s="1"/>
  <c r="T59" i="17"/>
  <c r="T108" i="17"/>
  <c r="S112" i="17"/>
  <c r="T112" i="17" s="1"/>
  <c r="T113" i="17"/>
  <c r="T54" i="17"/>
  <c r="V5" i="5"/>
  <c r="T5" i="5"/>
  <c r="S182" i="9"/>
  <c r="S213" i="9"/>
  <c r="S30" i="15"/>
  <c r="R206" i="9"/>
  <c r="R208" i="9"/>
  <c r="R209" i="9" s="1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S181" i="9"/>
  <c r="T5" i="4"/>
  <c r="V5" i="4"/>
  <c r="S222" i="9"/>
  <c r="S227" i="9" s="1"/>
  <c r="S43" i="15"/>
  <c r="S49" i="15" s="1"/>
  <c r="T39" i="10"/>
  <c r="V39" i="10"/>
  <c r="V7" i="4" l="1"/>
  <c r="T7" i="4"/>
  <c r="S114" i="17"/>
  <c r="S60" i="17"/>
  <c r="V7" i="2"/>
  <c r="T7" i="2"/>
  <c r="T60" i="17" l="1"/>
  <c r="S62" i="17"/>
  <c r="T114" i="17"/>
  <c r="S116" i="17"/>
  <c r="P118" i="9" l="1"/>
  <c r="C106" i="9"/>
  <c r="L106" i="9" s="1"/>
  <c r="S118" i="9" l="1"/>
  <c r="V118" i="9" s="1"/>
  <c r="P106" i="9"/>
  <c r="S106" i="9" s="1"/>
  <c r="C17" i="17"/>
  <c r="P17" i="17" s="1"/>
  <c r="S17" i="17" s="1"/>
  <c r="C77" i="15"/>
  <c r="C85" i="15" s="1"/>
  <c r="C17" i="15" s="1"/>
  <c r="T118" i="9" l="1"/>
  <c r="P77" i="15"/>
  <c r="P85" i="15" s="1"/>
  <c r="C31" i="11"/>
  <c r="P17" i="15"/>
  <c r="S77" i="15" l="1"/>
  <c r="S85" i="15" s="1"/>
  <c r="V106" i="9"/>
  <c r="T106" i="9"/>
  <c r="S17" i="15"/>
  <c r="P31" i="11"/>
  <c r="T17" i="17" l="1"/>
  <c r="V17" i="15"/>
  <c r="T17" i="15"/>
  <c r="S31" i="11"/>
  <c r="V31" i="11" l="1"/>
  <c r="T31" i="11"/>
  <c r="P15" i="7"/>
  <c r="S15" i="7" s="1"/>
  <c r="P13" i="7"/>
  <c r="S13" i="7" s="1"/>
  <c r="V15" i="7" l="1"/>
  <c r="P218" i="9"/>
  <c r="P35" i="15"/>
  <c r="P175" i="17"/>
  <c r="P184" i="17" s="1"/>
  <c r="C175" i="17"/>
  <c r="C184" i="17" s="1"/>
  <c r="L13" i="7"/>
  <c r="C35" i="15"/>
  <c r="C89" i="7"/>
  <c r="L89" i="7" s="1"/>
  <c r="C218" i="9"/>
  <c r="S35" i="15" l="1"/>
  <c r="V13" i="7"/>
  <c r="S175" i="17"/>
  <c r="S218" i="9"/>
  <c r="C5" i="7"/>
  <c r="L5" i="7" s="1"/>
  <c r="C104" i="7"/>
  <c r="C100" i="7" s="1"/>
  <c r="P89" i="7"/>
  <c r="S89" i="7" s="1"/>
  <c r="L100" i="7" l="1"/>
  <c r="C142" i="16"/>
  <c r="C99" i="7"/>
  <c r="L99" i="7" s="1"/>
  <c r="C143" i="15"/>
  <c r="P100" i="7"/>
  <c r="S100" i="7" s="1"/>
  <c r="S184" i="17"/>
  <c r="T184" i="17" s="1"/>
  <c r="T175" i="17"/>
  <c r="P5" i="7"/>
  <c r="P184" i="9" s="1"/>
  <c r="C184" i="9"/>
  <c r="S5" i="7" l="1"/>
  <c r="V89" i="7"/>
  <c r="C118" i="16"/>
  <c r="C193" i="17"/>
  <c r="C195" i="17" s="1"/>
  <c r="C197" i="17" s="1"/>
  <c r="C102" i="7"/>
  <c r="L102" i="7" s="1"/>
  <c r="P99" i="7"/>
  <c r="S99" i="7" s="1"/>
  <c r="P142" i="16"/>
  <c r="S142" i="16" s="1"/>
  <c r="T100" i="7"/>
  <c r="P143" i="15"/>
  <c r="C6" i="7" l="1"/>
  <c r="L6" i="7" s="1"/>
  <c r="P102" i="7"/>
  <c r="S102" i="7" s="1"/>
  <c r="V5" i="7"/>
  <c r="S184" i="9"/>
  <c r="T5" i="7"/>
  <c r="S143" i="15"/>
  <c r="V100" i="7"/>
  <c r="P193" i="17"/>
  <c r="P195" i="17" s="1"/>
  <c r="P197" i="17" s="1"/>
  <c r="P118" i="16"/>
  <c r="S118" i="16" s="1"/>
  <c r="T99" i="7" l="1"/>
  <c r="V99" i="7"/>
  <c r="S193" i="17"/>
  <c r="P6" i="7"/>
  <c r="P7" i="7" s="1"/>
  <c r="C7" i="7"/>
  <c r="T7" i="7" s="1"/>
  <c r="S195" i="17" l="1"/>
  <c r="T193" i="17"/>
  <c r="S6" i="7"/>
  <c r="V102" i="7"/>
  <c r="V6" i="7" l="1"/>
  <c r="S7" i="7"/>
  <c r="V7" i="7" s="1"/>
  <c r="T6" i="7"/>
  <c r="S197" i="17"/>
  <c r="T195" i="17"/>
  <c r="T15" i="7"/>
  <c r="C34" i="15" l="1"/>
  <c r="C89" i="6"/>
  <c r="L89" i="6" s="1"/>
  <c r="P13" i="6"/>
  <c r="S13" i="6" s="1"/>
  <c r="C217" i="9"/>
  <c r="T13" i="7"/>
  <c r="C148" i="17"/>
  <c r="C157" i="17" s="1"/>
  <c r="P34" i="15" l="1"/>
  <c r="P148" i="17"/>
  <c r="P157" i="17" s="1"/>
  <c r="P217" i="9"/>
  <c r="T89" i="7"/>
  <c r="C5" i="6"/>
  <c r="L5" i="6" s="1"/>
  <c r="C105" i="6"/>
  <c r="C100" i="6" s="1"/>
  <c r="P89" i="6"/>
  <c r="S89" i="6" s="1"/>
  <c r="C108" i="6" l="1"/>
  <c r="L100" i="6"/>
  <c r="C183" i="9"/>
  <c r="V13" i="6"/>
  <c r="S217" i="9"/>
  <c r="S34" i="15"/>
  <c r="S148" i="17"/>
  <c r="T13" i="6"/>
  <c r="P5" i="6"/>
  <c r="P183" i="9" s="1"/>
  <c r="T102" i="7"/>
  <c r="C141" i="16"/>
  <c r="C99" i="6"/>
  <c r="L99" i="6" s="1"/>
  <c r="C142" i="15"/>
  <c r="P100" i="6"/>
  <c r="S100" i="6" s="1"/>
  <c r="S5" i="6" l="1"/>
  <c r="V89" i="6"/>
  <c r="T89" i="6"/>
  <c r="T148" i="17"/>
  <c r="S157" i="17"/>
  <c r="T157" i="17" s="1"/>
  <c r="P142" i="15"/>
  <c r="P141" i="16"/>
  <c r="S141" i="16" s="1"/>
  <c r="P99" i="6"/>
  <c r="S99" i="6" s="1"/>
  <c r="C166" i="17"/>
  <c r="C168" i="17" s="1"/>
  <c r="C170" i="17" s="1"/>
  <c r="C117" i="16"/>
  <c r="C102" i="6"/>
  <c r="L102" i="6" s="1"/>
  <c r="T101" i="7"/>
  <c r="C6" i="6" l="1"/>
  <c r="L6" i="6" s="1"/>
  <c r="P102" i="6"/>
  <c r="S102" i="6" s="1"/>
  <c r="V5" i="6"/>
  <c r="S183" i="9"/>
  <c r="T5" i="6"/>
  <c r="P166" i="17"/>
  <c r="P168" i="17" s="1"/>
  <c r="P170" i="17" s="1"/>
  <c r="P117" i="16"/>
  <c r="S117" i="16" s="1"/>
  <c r="V100" i="6"/>
  <c r="S142" i="15"/>
  <c r="T100" i="6"/>
  <c r="P6" i="6" l="1"/>
  <c r="P7" i="6" s="1"/>
  <c r="C7" i="6"/>
  <c r="T7" i="6" s="1"/>
  <c r="S166" i="17"/>
  <c r="V99" i="6"/>
  <c r="T99" i="6"/>
  <c r="S6" i="6" l="1"/>
  <c r="V102" i="6"/>
  <c r="T102" i="6"/>
  <c r="T166" i="17"/>
  <c r="S168" i="17"/>
  <c r="V6" i="6" l="1"/>
  <c r="S7" i="6"/>
  <c r="V7" i="6" s="1"/>
  <c r="T6" i="6"/>
  <c r="S170" i="17"/>
  <c r="T168" i="17"/>
  <c r="P19" i="3" l="1"/>
  <c r="S19" i="3" s="1"/>
  <c r="C13" i="3"/>
  <c r="C67" i="17" l="1"/>
  <c r="C76" i="17" s="1"/>
  <c r="L13" i="3"/>
  <c r="P13" i="3"/>
  <c r="C31" i="15"/>
  <c r="C37" i="15" s="1"/>
  <c r="C13" i="15" s="1"/>
  <c r="C27" i="11" s="1"/>
  <c r="V19" i="3"/>
  <c r="T19" i="3"/>
  <c r="C214" i="9"/>
  <c r="C219" i="9" s="1"/>
  <c r="C237" i="9" s="1"/>
  <c r="C90" i="3"/>
  <c r="L90" i="3" s="1"/>
  <c r="P31" i="15" l="1"/>
  <c r="P37" i="15" s="1"/>
  <c r="S13" i="3"/>
  <c r="P67" i="17"/>
  <c r="P76" i="17" s="1"/>
  <c r="P13" i="15"/>
  <c r="S13" i="15" s="1"/>
  <c r="P214" i="9"/>
  <c r="P219" i="9" s="1"/>
  <c r="P90" i="3"/>
  <c r="V13" i="3"/>
  <c r="C5" i="3"/>
  <c r="L5" i="3" s="1"/>
  <c r="P27" i="11"/>
  <c r="P5" i="3" l="1"/>
  <c r="P180" i="9" s="1"/>
  <c r="P198" i="9" s="1"/>
  <c r="S90" i="3"/>
  <c r="S5" i="3" s="1"/>
  <c r="S180" i="9" s="1"/>
  <c r="S67" i="17"/>
  <c r="T67" i="17" s="1"/>
  <c r="S214" i="9"/>
  <c r="S219" i="9" s="1"/>
  <c r="S31" i="15"/>
  <c r="S37" i="15" s="1"/>
  <c r="T13" i="3"/>
  <c r="W13" i="3" s="1"/>
  <c r="C180" i="9"/>
  <c r="V13" i="15"/>
  <c r="T13" i="15"/>
  <c r="S27" i="11"/>
  <c r="V5" i="3" l="1"/>
  <c r="T5" i="3"/>
  <c r="P205" i="9"/>
  <c r="P208" i="9" s="1"/>
  <c r="L100" i="3"/>
  <c r="S76" i="17"/>
  <c r="T76" i="17" s="1"/>
  <c r="T90" i="3"/>
  <c r="V27" i="11"/>
  <c r="T27" i="11"/>
  <c r="C205" i="9"/>
  <c r="C198" i="9"/>
  <c r="S205" i="9"/>
  <c r="S198" i="9"/>
  <c r="S208" i="9" l="1"/>
  <c r="C208" i="9"/>
  <c r="L88" i="10" l="1"/>
  <c r="P88" i="10"/>
  <c r="S88" i="10" s="1"/>
  <c r="T88" i="10" s="1"/>
  <c r="C87" i="10"/>
  <c r="L87" i="10" s="1"/>
  <c r="C81" i="10" l="1"/>
  <c r="C32" i="17"/>
  <c r="P32" i="17" s="1"/>
  <c r="S32" i="17" s="1"/>
  <c r="T32" i="17" s="1"/>
  <c r="P87" i="10"/>
  <c r="C124" i="16"/>
  <c r="V88" i="10"/>
  <c r="P81" i="10" l="1"/>
  <c r="L81" i="10"/>
  <c r="C80" i="10"/>
  <c r="C31" i="17" s="1"/>
  <c r="S87" i="10"/>
  <c r="P124" i="16"/>
  <c r="L80" i="10" l="1"/>
  <c r="C112" i="16"/>
  <c r="C96" i="10"/>
  <c r="S81" i="10"/>
  <c r="P80" i="10"/>
  <c r="S124" i="16"/>
  <c r="V87" i="10"/>
  <c r="T87" i="10"/>
  <c r="C33" i="17"/>
  <c r="P31" i="17"/>
  <c r="P112" i="16"/>
  <c r="V81" i="10" l="1"/>
  <c r="T81" i="10"/>
  <c r="L96" i="10"/>
  <c r="C9" i="10"/>
  <c r="L9" i="10" s="1"/>
  <c r="P96" i="10"/>
  <c r="S80" i="10"/>
  <c r="S112" i="16"/>
  <c r="S31" i="17"/>
  <c r="P33" i="17"/>
  <c r="V80" i="10" l="1"/>
  <c r="T80" i="10"/>
  <c r="S96" i="10"/>
  <c r="P9" i="10"/>
  <c r="S33" i="17"/>
  <c r="T31" i="17"/>
  <c r="S9" i="10" l="1"/>
  <c r="T96" i="10"/>
  <c r="V96" i="10"/>
  <c r="T33" i="17"/>
  <c r="V9" i="10" l="1"/>
  <c r="T9" i="10"/>
  <c r="C140" i="17"/>
  <c r="P101" i="5"/>
  <c r="S101" i="5" s="1"/>
  <c r="C128" i="16"/>
  <c r="C104" i="5"/>
  <c r="C100" i="5" s="1"/>
  <c r="C141" i="15" s="1"/>
  <c r="P128" i="16" l="1"/>
  <c r="S128" i="16" s="1"/>
  <c r="D107" i="5"/>
  <c r="S140" i="17"/>
  <c r="T140" i="17" s="1"/>
  <c r="T101" i="5"/>
  <c r="V101" i="5"/>
  <c r="P100" i="5"/>
  <c r="C140" i="16"/>
  <c r="P140" i="17"/>
  <c r="C99" i="5"/>
  <c r="P141" i="15" l="1"/>
  <c r="P140" i="16"/>
  <c r="S100" i="5"/>
  <c r="C116" i="16"/>
  <c r="C102" i="5"/>
  <c r="C139" i="17"/>
  <c r="C141" i="17" s="1"/>
  <c r="C143" i="17" s="1"/>
  <c r="P99" i="5"/>
  <c r="S99" i="5" l="1"/>
  <c r="P116" i="16"/>
  <c r="P139" i="17"/>
  <c r="P141" i="17" s="1"/>
  <c r="P143" i="17" s="1"/>
  <c r="S141" i="15"/>
  <c r="V100" i="5"/>
  <c r="T100" i="5"/>
  <c r="P102" i="5"/>
  <c r="C6" i="5"/>
  <c r="S140" i="16"/>
  <c r="C7" i="5" l="1"/>
  <c r="T7" i="5" s="1"/>
  <c r="V99" i="5"/>
  <c r="S139" i="17"/>
  <c r="T99" i="5"/>
  <c r="P6" i="5"/>
  <c r="P7" i="5" s="1"/>
  <c r="S102" i="5"/>
  <c r="S116" i="16"/>
  <c r="T139" i="17" l="1"/>
  <c r="S141" i="17"/>
  <c r="V102" i="5"/>
  <c r="S6" i="5"/>
  <c r="T102" i="5"/>
  <c r="V6" i="5" l="1"/>
  <c r="S7" i="5"/>
  <c r="V7" i="5" s="1"/>
  <c r="T6" i="5"/>
  <c r="S143" i="17"/>
  <c r="T141" i="17"/>
  <c r="L6" i="3"/>
  <c r="L102" i="3"/>
  <c r="L99" i="3"/>
  <c r="C86" i="17"/>
  <c r="C126" i="16"/>
  <c r="C132" i="16"/>
  <c r="C104" i="3"/>
  <c r="P101" i="3"/>
  <c r="P86" i="17" s="1"/>
  <c r="S101" i="3" l="1"/>
  <c r="P126" i="16"/>
  <c r="C100" i="3"/>
  <c r="D107" i="3"/>
  <c r="S126" i="16" l="1"/>
  <c r="P132" i="16"/>
  <c r="S132" i="16" s="1"/>
  <c r="T101" i="3"/>
  <c r="V101" i="3"/>
  <c r="S86" i="17"/>
  <c r="T86" i="17" s="1"/>
  <c r="C138" i="16"/>
  <c r="C144" i="16" s="1"/>
  <c r="C21" i="16" s="1"/>
  <c r="C161" i="9"/>
  <c r="L161" i="9" s="1"/>
  <c r="C99" i="3"/>
  <c r="C139" i="15"/>
  <c r="C145" i="15" s="1"/>
  <c r="C22" i="15" s="1"/>
  <c r="P100" i="3"/>
  <c r="P161" i="9" l="1"/>
  <c r="S161" i="9" s="1"/>
  <c r="V161" i="9" s="1"/>
  <c r="C146" i="9"/>
  <c r="L146" i="9" s="1"/>
  <c r="P99" i="3"/>
  <c r="C102" i="3"/>
  <c r="C114" i="16"/>
  <c r="C120" i="16" s="1"/>
  <c r="C20" i="16" s="1"/>
  <c r="C85" i="17"/>
  <c r="C87" i="17" s="1"/>
  <c r="C89" i="17" s="1"/>
  <c r="S100" i="3"/>
  <c r="P139" i="15"/>
  <c r="P145" i="15" s="1"/>
  <c r="P22" i="15" s="1"/>
  <c r="P138" i="16"/>
  <c r="C36" i="11"/>
  <c r="P36" i="11" s="1"/>
  <c r="S36" i="11" s="1"/>
  <c r="C18" i="11"/>
  <c r="P85" i="17" l="1"/>
  <c r="P87" i="17" s="1"/>
  <c r="P89" i="17" s="1"/>
  <c r="P114" i="16"/>
  <c r="S99" i="3"/>
  <c r="C17" i="11"/>
  <c r="C22" i="16"/>
  <c r="S138" i="16"/>
  <c r="P144" i="16"/>
  <c r="P146" i="9"/>
  <c r="S146" i="9" s="1"/>
  <c r="V146" i="9" s="1"/>
  <c r="C145" i="9"/>
  <c r="V100" i="3"/>
  <c r="S139" i="15"/>
  <c r="S145" i="15" s="1"/>
  <c r="S22" i="15" s="1"/>
  <c r="T100" i="3"/>
  <c r="C6" i="3"/>
  <c r="P102" i="3"/>
  <c r="T161" i="9"/>
  <c r="L145" i="9" l="1"/>
  <c r="P145" i="9"/>
  <c r="C7" i="3"/>
  <c r="T7" i="3" s="1"/>
  <c r="S144" i="16"/>
  <c r="P21" i="16"/>
  <c r="C9" i="16"/>
  <c r="P9" i="16" s="1"/>
  <c r="S9" i="16" s="1"/>
  <c r="S114" i="16"/>
  <c r="P120" i="16"/>
  <c r="C125" i="15"/>
  <c r="C133" i="15" s="1"/>
  <c r="C21" i="15" s="1"/>
  <c r="C21" i="17"/>
  <c r="C168" i="9"/>
  <c r="P168" i="9" s="1"/>
  <c r="S168" i="9" s="1"/>
  <c r="C197" i="9"/>
  <c r="S85" i="17"/>
  <c r="V99" i="3"/>
  <c r="T99" i="3"/>
  <c r="P6" i="3"/>
  <c r="P7" i="3" s="1"/>
  <c r="S102" i="3"/>
  <c r="V22" i="15"/>
  <c r="T22" i="15"/>
  <c r="T146" i="9"/>
  <c r="C19" i="11"/>
  <c r="S145" i="9" l="1"/>
  <c r="P125" i="15"/>
  <c r="P133" i="15" s="1"/>
  <c r="P197" i="9"/>
  <c r="C22" i="17"/>
  <c r="C35" i="17" s="1"/>
  <c r="P21" i="17"/>
  <c r="S87" i="17"/>
  <c r="T85" i="17"/>
  <c r="C209" i="9"/>
  <c r="C206" i="9"/>
  <c r="S120" i="16"/>
  <c r="P20" i="16"/>
  <c r="S21" i="16"/>
  <c r="P18" i="11"/>
  <c r="S6" i="3"/>
  <c r="V102" i="3"/>
  <c r="T102" i="3"/>
  <c r="P21" i="15"/>
  <c r="C35" i="11"/>
  <c r="C23" i="15"/>
  <c r="V9" i="16"/>
  <c r="T9" i="16"/>
  <c r="L168" i="9"/>
  <c r="T168" i="9"/>
  <c r="C9" i="9"/>
  <c r="P9" i="9" s="1"/>
  <c r="V168" i="9"/>
  <c r="P209" i="9" l="1"/>
  <c r="P206" i="9"/>
  <c r="S125" i="15"/>
  <c r="S133" i="15" s="1"/>
  <c r="S197" i="9"/>
  <c r="V145" i="9"/>
  <c r="T145" i="9"/>
  <c r="S9" i="9"/>
  <c r="S200" i="9" s="1"/>
  <c r="P200" i="9"/>
  <c r="S21" i="15"/>
  <c r="P23" i="15"/>
  <c r="C37" i="11"/>
  <c r="P35" i="11"/>
  <c r="S21" i="17"/>
  <c r="P22" i="17"/>
  <c r="P35" i="17" s="1"/>
  <c r="C200" i="9"/>
  <c r="L9" i="9"/>
  <c r="C9" i="15"/>
  <c r="P9" i="15" s="1"/>
  <c r="S9" i="15" s="1"/>
  <c r="V21" i="16"/>
  <c r="S18" i="11"/>
  <c r="V18" i="11" s="1"/>
  <c r="T21" i="16"/>
  <c r="S20" i="16"/>
  <c r="P22" i="16"/>
  <c r="S22" i="16" s="1"/>
  <c r="P17" i="11"/>
  <c r="P19" i="11" s="1"/>
  <c r="V6" i="3"/>
  <c r="S7" i="3"/>
  <c r="V7" i="3" s="1"/>
  <c r="T6" i="3"/>
  <c r="T87" i="17"/>
  <c r="S89" i="17"/>
  <c r="S209" i="9" l="1"/>
  <c r="S206" i="9"/>
  <c r="T9" i="9"/>
  <c r="V9" i="9"/>
  <c r="V22" i="16"/>
  <c r="T22" i="16"/>
  <c r="C41" i="11"/>
  <c r="T21" i="17"/>
  <c r="S22" i="17"/>
  <c r="V20" i="16"/>
  <c r="S17" i="11"/>
  <c r="T20" i="16"/>
  <c r="T9" i="15"/>
  <c r="L9" i="15"/>
  <c r="V9" i="15"/>
  <c r="P37" i="11"/>
  <c r="P41" i="11" s="1"/>
  <c r="S35" i="11"/>
  <c r="S23" i="15"/>
  <c r="V21" i="15"/>
  <c r="T21" i="15"/>
  <c r="V23" i="15" l="1"/>
  <c r="T23" i="15"/>
  <c r="V35" i="11"/>
  <c r="S37" i="11"/>
  <c r="T35" i="11"/>
  <c r="T22" i="17"/>
  <c r="S35" i="17"/>
  <c r="S19" i="11"/>
  <c r="V17" i="11"/>
  <c r="T17" i="11"/>
  <c r="V37" i="11" l="1"/>
  <c r="T37" i="11"/>
  <c r="V19" i="11"/>
  <c r="S41" i="11"/>
  <c r="T19" i="11"/>
  <c r="V41" i="11" l="1"/>
  <c r="T41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porszívó, vérnyomásmérő, mosógép
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C81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+3000.000,-Ft rehabilitációs hozzájárulás
</t>
        </r>
      </text>
    </comment>
  </commentList>
</comments>
</file>

<file path=xl/comments3.xml><?xml version="1.0" encoding="utf-8"?>
<comments xmlns="http://schemas.openxmlformats.org/spreadsheetml/2006/main">
  <authors>
    <author>Smidtné Nagy Terézia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élélmiszer, tisztítószer, + pellet, kinti játékok, szőnyegek, textilek
</t>
        </r>
      </text>
    </comment>
    <comment ref="B58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bejárat, sütő, árnyékolás, csapok</t>
        </r>
      </text>
    </comment>
  </commentList>
</comments>
</file>

<file path=xl/comments4.xml><?xml version="1.0" encoding="utf-8"?>
<comments xmlns="http://schemas.openxmlformats.org/spreadsheetml/2006/main">
  <authors>
    <author>Smidtné Nagy Terézia</author>
  </authors>
  <commentList>
    <comment ref="B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telefonközpont, laptop
</t>
        </r>
      </text>
    </comment>
  </commentList>
</comments>
</file>

<file path=xl/comments5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Laptop intézményvezető
</t>
        </r>
      </text>
    </comment>
  </commentList>
</comments>
</file>

<file path=xl/comments6.xml><?xml version="1.0" encoding="utf-8"?>
<comments xmlns="http://schemas.openxmlformats.org/spreadsheetml/2006/main">
  <authors>
    <author>Smidtné Nagy Terézia</author>
  </authors>
  <commentList>
    <comment ref="F8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2019.03.04.Kiegyenlítő bérrendezési támogatás (PH)
</t>
        </r>
      </text>
    </comment>
  </commentList>
</comments>
</file>

<file path=xl/sharedStrings.xml><?xml version="1.0" encoding="utf-8"?>
<sst xmlns="http://schemas.openxmlformats.org/spreadsheetml/2006/main" count="1982" uniqueCount="636">
  <si>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</si>
  <si>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</si>
  <si>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</si>
  <si>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</si>
  <si>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</si>
  <si>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</si>
  <si>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</si>
  <si>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</si>
  <si>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</si>
  <si>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</si>
  <si>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</si>
  <si>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</si>
  <si>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</si>
  <si>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</si>
  <si>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</si>
  <si>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</si>
  <si>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</si>
  <si>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</si>
  <si>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</si>
  <si>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</si>
  <si>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</si>
  <si>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</si>
  <si>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</si>
  <si>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</si>
  <si>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</si>
  <si>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</si>
  <si>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</si>
  <si>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</si>
  <si>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</si>
  <si>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</si>
  <si>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</si>
  <si>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</si>
  <si>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</si>
  <si>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</si>
  <si>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</si>
  <si>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</si>
  <si>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</si>
  <si>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</si>
  <si>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</si>
  <si>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</si>
  <si>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</si>
  <si>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</si>
  <si>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</si>
  <si>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</si>
  <si>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</si>
  <si>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</si>
  <si>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</si>
  <si>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</si>
  <si>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</si>
  <si>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</si>
  <si>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</si>
  <si>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</si>
  <si>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</si>
  <si>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</si>
  <si>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</si>
  <si>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</si>
  <si>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</si>
  <si>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</si>
  <si>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</si>
  <si>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</si>
  <si>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</si>
  <si>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</si>
  <si>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</si>
  <si>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</si>
  <si>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</si>
  <si>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</si>
  <si>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</si>
  <si>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</si>
  <si>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</si>
  <si>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</si>
  <si>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</si>
  <si>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</si>
  <si>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</si>
  <si>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</si>
  <si>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</si>
  <si>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</si>
  <si>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</si>
  <si>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</si>
  <si>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</si>
  <si>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</si>
  <si>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</si>
  <si>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</si>
  <si>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</si>
  <si>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</si>
  <si>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</si>
  <si>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</si>
  <si>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</si>
  <si>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</si>
  <si>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</si>
  <si>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</si>
  <si>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</si>
  <si>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</si>
  <si>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</si>
  <si>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</si>
  <si>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</si>
  <si>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</si>
  <si>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</si>
  <si>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</si>
  <si>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</si>
  <si>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</si>
  <si>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</si>
  <si>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</si>
  <si>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</si>
  <si>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</si>
  <si>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</si>
  <si>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</si>
  <si>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</si>
  <si>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</si>
  <si>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</si>
  <si>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</si>
  <si>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</si>
  <si>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</si>
  <si>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</si>
  <si>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</si>
  <si>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</si>
  <si>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</si>
  <si>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</si>
  <si>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</si>
  <si>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</si>
  <si>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</si>
  <si>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</si>
  <si>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</si>
  <si>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</si>
  <si>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</si>
  <si>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</si>
  <si>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</si>
  <si>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</si>
  <si>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</si>
  <si>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</si>
  <si>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</si>
  <si>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</si>
  <si>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</si>
  <si>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</si>
  <si>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</si>
  <si>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</si>
  <si>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</si>
  <si>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</si>
  <si>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</si>
  <si>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</si>
  <si>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</si>
  <si>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</si>
  <si>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</si>
  <si>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</si>
  <si>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</si>
  <si>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</si>
  <si>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</si>
  <si>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</si>
  <si>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</si>
  <si>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</si>
  <si>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</si>
  <si>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</si>
  <si>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</si>
  <si>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</si>
  <si>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</si>
  <si>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</si>
  <si>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</si>
  <si>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</si>
  <si>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</si>
  <si>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</si>
  <si>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</si>
  <si>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</si>
  <si>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</si>
  <si>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</si>
  <si>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</si>
  <si>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</si>
  <si>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</si>
  <si>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</si>
  <si>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</si>
  <si>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</si>
  <si>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</si>
  <si>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</si>
  <si>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</si>
  <si>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</si>
  <si>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</si>
  <si>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</si>
  <si>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</si>
  <si>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</si>
  <si>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</si>
  <si>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</si>
  <si>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</si>
  <si>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</si>
  <si>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</si>
  <si>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</si>
  <si>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</si>
  <si>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</si>
  <si>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</si>
  <si>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</si>
  <si>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</si>
  <si>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</si>
  <si>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</si>
  <si>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</si>
  <si>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</si>
  <si>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</si>
  <si>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</si>
  <si>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</si>
  <si>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</si>
  <si>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</si>
  <si>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</si>
  <si>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</si>
  <si>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</si>
  <si>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</si>
  <si>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</si>
  <si>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</si>
  <si>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</si>
  <si>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</si>
  <si>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</si>
  <si>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</si>
  <si>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</si>
  <si>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</si>
  <si>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</si>
  <si>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</si>
  <si>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</si>
  <si>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</si>
  <si>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</si>
  <si>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</si>
  <si>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</si>
  <si>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</si>
  <si>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</si>
  <si>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</si>
  <si>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</si>
  <si>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</si>
  <si>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</si>
  <si>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</si>
  <si>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</si>
  <si>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</si>
  <si>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</si>
  <si>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</si>
  <si>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</si>
  <si>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</si>
  <si>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</si>
  <si>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</si>
  <si>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</si>
  <si>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</si>
  <si>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</si>
  <si>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</si>
  <si>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</si>
  <si>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</si>
  <si>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</si>
  <si>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</si>
  <si>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</si>
  <si>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</si>
  <si>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</si>
  <si>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</si>
  <si>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</si>
  <si>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</si>
  <si>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</si>
  <si>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</si>
  <si>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</si>
  <si>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</si>
  <si>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</si>
  <si>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</si>
  <si>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</si>
  <si>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</si>
  <si>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</si>
  <si>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</si>
  <si>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</si>
  <si>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</si>
  <si>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</si>
  <si>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</si>
  <si>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</si>
  <si>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</si>
  <si>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</si>
  <si>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</si>
  <si>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</si>
  <si>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</si>
  <si>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</si>
  <si>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</si>
  <si>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</si>
  <si>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</si>
  <si>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</si>
  <si>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</si>
  <si>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</si>
  <si>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</si>
  <si>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</si>
  <si>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</si>
  <si>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</si>
  <si>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</si>
  <si>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</si>
  <si>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</si>
  <si>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</si>
  <si>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</si>
  <si>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</si>
  <si>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</si>
  <si>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</si>
  <si>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</si>
  <si>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</si>
  <si>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</si>
  <si>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</si>
  <si>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</si>
  <si>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</si>
  <si>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</si>
  <si>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</si>
  <si>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</si>
  <si>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</si>
  <si>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</si>
  <si>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</si>
  <si>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</si>
  <si>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</si>
  <si>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</si>
  <si>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</si>
  <si>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</si>
  <si>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</si>
  <si>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</si>
  <si>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</si>
  <si>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</si>
  <si>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</si>
  <si>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</si>
  <si>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</si>
  <si>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</si>
  <si>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</si>
  <si>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</si>
  <si>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</si>
  <si>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</si>
  <si>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</si>
  <si>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</si>
  <si>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</si>
  <si>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</si>
  <si>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</si>
  <si>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</si>
  <si>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</si>
  <si>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</si>
  <si>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</si>
  <si>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</si>
  <si>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</si>
  <si>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</si>
  <si>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</si>
  <si>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</si>
  <si>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</si>
  <si>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</si>
  <si>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</si>
  <si>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</si>
  <si>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</si>
  <si>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</si>
  <si>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</si>
  <si>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</si>
  <si>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</si>
  <si>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</si>
  <si>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</si>
  <si>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</si>
  <si>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</si>
  <si>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</si>
  <si>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</si>
  <si>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</si>
  <si>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</si>
  <si>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</si>
  <si>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</si>
  <si>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</si>
  <si>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</si>
  <si>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</si>
  <si>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</si>
  <si>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</si>
  <si>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</si>
  <si>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</si>
  <si>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</si>
  <si>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</si>
  <si>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</si>
  <si>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</si>
  <si>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</si>
  <si>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</si>
  <si>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</si>
  <si>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</si>
  <si>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</si>
  <si>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</si>
  <si>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</si>
  <si>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</si>
  <si>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</si>
  <si>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</si>
  <si>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</si>
  <si>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</si>
  <si>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</si>
  <si>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</si>
  <si>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</si>
  <si>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</si>
  <si>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</si>
  <si>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</si>
  <si>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</si>
  <si>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</si>
  <si>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</si>
  <si>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</si>
  <si>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</si>
  <si>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</si>
  <si>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</si>
  <si>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</si>
  <si>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</si>
  <si>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</si>
  <si>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</si>
  <si>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</si>
  <si>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</si>
  <si>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</si>
  <si>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</si>
  <si>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</si>
  <si>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</si>
  <si>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</si>
  <si>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</si>
  <si>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</si>
  <si>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</si>
  <si>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</si>
  <si>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</si>
  <si>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</si>
  <si>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</si>
  <si>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</si>
  <si>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</si>
  <si>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</si>
  <si>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</si>
  <si>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</si>
  <si>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</si>
  <si>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</si>
  <si>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</si>
  <si>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</si>
  <si>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</si>
  <si>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</si>
  <si>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</si>
  <si>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</si>
  <si>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</si>
  <si>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</si>
  <si>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</si>
  <si>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foglalkoztatást helyettesítő bérkompenzáció)</t>
    </r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</si>
  <si>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</si>
  <si>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</si>
  <si>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</si>
  <si>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</si>
  <si>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</si>
  <si>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</si>
  <si>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</si>
  <si>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</si>
  <si>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</si>
  <si>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</si>
  <si>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</si>
  <si>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</si>
  <si>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</si>
  <si>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</si>
  <si>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</si>
  <si>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</si>
  <si>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</si>
  <si>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</si>
  <si>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</si>
  <si>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</si>
  <si>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</si>
  <si>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</si>
  <si>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</si>
  <si>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</si>
  <si>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</si>
  <si>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</si>
  <si>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</si>
  <si>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</si>
  <si>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</si>
  <si>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</si>
  <si>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</si>
  <si>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</si>
  <si>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</si>
  <si>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</si>
  <si>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</si>
  <si>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</si>
  <si>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</si>
  <si>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</si>
  <si>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</si>
  <si>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</si>
  <si>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</si>
  <si>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</si>
  <si>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</si>
  <si>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</si>
  <si>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</si>
  <si>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</si>
  <si>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</si>
  <si>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</si>
  <si>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</si>
  <si>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</si>
  <si>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</si>
  <si>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</si>
  <si>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</si>
  <si>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</si>
  <si>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</si>
  <si>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</si>
  <si>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Felhalmozási célú önkormányzati támogatások </t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</si>
  <si>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</si>
  <si>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Részletes tételfelsorolás</t>
  </si>
  <si>
    <t>Civil támogatási keret</t>
  </si>
  <si>
    <t>Csatorna kamatfizetés</t>
  </si>
  <si>
    <t>Csatorna érdekeltségi hozzáj.</t>
  </si>
  <si>
    <t>Helyi járat hozzájárulás</t>
  </si>
  <si>
    <t>Bursa</t>
  </si>
  <si>
    <t>Rendőrség támogatása</t>
  </si>
  <si>
    <t>járdaépítés</t>
  </si>
  <si>
    <t>óvoda igény</t>
  </si>
  <si>
    <t>Leader önerő</t>
  </si>
  <si>
    <t>Útépítés</t>
  </si>
  <si>
    <t>kátyúzás</t>
  </si>
  <si>
    <t>Konyha</t>
  </si>
  <si>
    <t>Losonczi utcai rendelő</t>
  </si>
  <si>
    <t>Közművelődési érdekeltségnövelő támogatás</t>
  </si>
  <si>
    <t>TÁVÜSZ KFT.</t>
  </si>
  <si>
    <t>Dr Gáspár HSZK</t>
  </si>
  <si>
    <t>Sülysápi Csicsergő Óvoda</t>
  </si>
  <si>
    <t>Sülysáp Város Önkormányzata</t>
  </si>
  <si>
    <t>TTT</t>
  </si>
  <si>
    <t>Bölcsőde felújítás</t>
  </si>
  <si>
    <t>WAMKK felújítás</t>
  </si>
  <si>
    <t>Dr Gáspár felújítás</t>
  </si>
  <si>
    <t>Gyömrő szakrendelő felújítás</t>
  </si>
  <si>
    <t>Önkormányzatnál kapott támogatás (B113)</t>
  </si>
  <si>
    <t>Önkormányzatnál kapott támogatás (B112)</t>
  </si>
  <si>
    <t>Önkormányzatnál kapott támogatás (B111)</t>
  </si>
  <si>
    <t>ÖTE támogatása</t>
  </si>
  <si>
    <t>Utak tervezése</t>
  </si>
  <si>
    <t>Ingatlan vásárlás (Béke u. 6000 e Ft + 31-es melletti területek)</t>
  </si>
  <si>
    <t>2016-os évben eladott telkek 2017-re jutó része</t>
  </si>
  <si>
    <t>Wágner Árpád + SP Holding</t>
  </si>
  <si>
    <t>Bérlakások, orvosi rendelők (II. sz. körzet festés 500 e Ft)</t>
  </si>
  <si>
    <t>2017. évben további, konkrétan még nem látható ingatlan értékesítése.</t>
  </si>
  <si>
    <t>Társulás vagyonbiztosításához hozzárjárulás</t>
  </si>
  <si>
    <r>
      <t xml:space="preserve">Módosított előirányzat </t>
    </r>
    <r>
      <rPr>
        <b/>
        <sz val="12"/>
        <rFont val="Arial"/>
        <family val="2"/>
        <charset val="238"/>
      </rPr>
      <t>2018.12.31</t>
    </r>
  </si>
  <si>
    <t>2018.12.31-ig tényleges realizálás</t>
  </si>
  <si>
    <r>
      <t xml:space="preserve">2018.12.31-i realizálás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</si>
  <si>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t>a 2018.12.31-i a 2018.09.30-ihoz képest</t>
  </si>
  <si>
    <t>2018.12.31-ig tényleges felhasználás</t>
  </si>
  <si>
    <r>
      <t xml:space="preserve">2018.12.31-i felhasználás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</si>
  <si>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t>B113 (III.2. A települési önkormányzatok
szociális feladatainak egyéb
támogatása)</t>
  </si>
  <si>
    <t>Önkormányzatnál kapott támogatás (házi segítségnyújtás, időskorúak nap el., szoc étk) (B113)</t>
  </si>
  <si>
    <t>2017.</t>
  </si>
  <si>
    <t>2018.</t>
  </si>
  <si>
    <t>VEKOP-1.2.2-15-201600025-üzleti_infrastruktúra_feljesztés</t>
  </si>
  <si>
    <t>Sápi óvoda felújítás</t>
  </si>
  <si>
    <t>Járdaépítés</t>
  </si>
  <si>
    <t>Óvoda</t>
  </si>
  <si>
    <t>Egészségközpont építése</t>
  </si>
  <si>
    <t>2016-2017-es években eladott telkek 2018-ra jutó része</t>
  </si>
  <si>
    <t>Bérlakások</t>
  </si>
  <si>
    <t>WAMKK felújítás + Helytörténeti Múz. felúj.  (2017.+2018)</t>
  </si>
  <si>
    <t>Szent István téri parkoló</t>
  </si>
  <si>
    <t>Szőlősi ág gyűrűzése</t>
  </si>
  <si>
    <t>Utak tervezése (SKS Terv)</t>
  </si>
  <si>
    <t>Áru és készletértékesítés ellenértéke</t>
  </si>
  <si>
    <t>2018. évben további, konkrétan még nem látható ingatlan értékesítése.</t>
  </si>
  <si>
    <t>Dr Gáspár HSZK felújítás</t>
  </si>
  <si>
    <t>Gyerekfoci támogatás (lelátó)</t>
  </si>
  <si>
    <t>2017-ről áthúzódó útépítések és kapcs. Műsz. Feladatok</t>
  </si>
  <si>
    <t>Elláttotak pénzbeli juttatásai</t>
  </si>
  <si>
    <t>Zúzott köves utak kátyúzása (2017-ről áthúzódó)</t>
  </si>
  <si>
    <t>31-es melletti árkok tisztítása (2017-ről áthúzódó)</t>
  </si>
  <si>
    <t>Sülysáp Város Önkormányzata és Intézményei</t>
  </si>
  <si>
    <t>Sülysáp Város Önkormányzata és intézményei</t>
  </si>
  <si>
    <t>TERV</t>
  </si>
  <si>
    <t>Sülysáp Város Önkormáyzata</t>
  </si>
  <si>
    <t>Önkormányzati bevételek részletezője (KÖLTSÉGVETÉSHEZ)</t>
  </si>
  <si>
    <t>Önkormányzatnál a kapott támogatás (B114)</t>
  </si>
  <si>
    <t>Önkormányzat önerőből adott támogatásása</t>
  </si>
  <si>
    <t>B408, B411</t>
  </si>
  <si>
    <t>Kamatbevételek, Egyéb működési bevételek</t>
  </si>
  <si>
    <t>B402, B405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</si>
  <si>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</si>
  <si>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2019.01.01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</si>
  <si>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2019.06.30</t>
    </r>
  </si>
  <si>
    <r>
      <t xml:space="preserve">Módosított előirányzat </t>
    </r>
    <r>
      <rPr>
        <b/>
        <sz val="12"/>
        <rFont val="Arial"/>
        <family val="2"/>
        <charset val="238"/>
      </rPr>
      <t>2019.09.30</t>
    </r>
  </si>
  <si>
    <r>
      <rPr>
        <b/>
        <sz val="12"/>
        <rFont val="Arial"/>
        <family val="2"/>
        <charset val="238"/>
      </rPr>
      <t>2019.06.30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</si>
  <si>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2019.09.30-ig tényleges felhasználás</t>
  </si>
  <si>
    <r>
      <t>2019.06.30-i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</si>
  <si>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2019.09.30-i felhasználás </t>
    </r>
    <r>
      <rPr>
        <b/>
        <u/>
        <sz val="8"/>
        <rFont val="Arial"/>
        <family val="2"/>
        <charset val="238"/>
      </rPr>
      <t>2019.06.30-i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</si>
  <si>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2019.06.30-i</t>
    </r>
    <r>
      <rPr>
        <b/>
        <sz val="10"/>
        <rFont val="Arial"/>
        <family val="2"/>
        <charset val="238"/>
      </rPr>
      <t xml:space="preserve"> az eredetihez képest</t>
    </r>
  </si>
  <si>
    <t>a 2019.09.30-i a 2019.06.30-ihoz képest</t>
  </si>
  <si>
    <t>Önkormányzatok működési támogatásának tervezése</t>
  </si>
  <si>
    <t>2019. ÉV</t>
  </si>
  <si>
    <t>2018. Évi eredeti ei</t>
  </si>
  <si>
    <t>2019. Évi eredeti ei</t>
  </si>
  <si>
    <t>Eltérés 2019. - 2018. év</t>
  </si>
  <si>
    <t>2019.</t>
  </si>
  <si>
    <t>Külterületi út</t>
  </si>
  <si>
    <t>PM_EUALAPELLÁTÁS_Egészségház</t>
  </si>
  <si>
    <t>Külterületi utak támogatás</t>
  </si>
  <si>
    <t>Tartalékok (Iparterület beruházás 2020. kiadásai)</t>
  </si>
  <si>
    <t>2019. ÉV KÖLTSÉGVETÉS</t>
  </si>
  <si>
    <r>
      <rPr>
        <b/>
        <sz val="12"/>
        <rFont val="Arial"/>
        <family val="2"/>
        <charset val="238"/>
      </rPr>
      <t>2019.06.30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</si>
  <si>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2019.09.30-ig tényleges realizálás</t>
  </si>
  <si>
    <r>
      <t>2019.06.30-i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</si>
  <si>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2019.09.30-i realizálás </t>
    </r>
    <r>
      <rPr>
        <b/>
        <u/>
        <sz val="8"/>
        <rFont val="Arial"/>
        <family val="2"/>
        <charset val="238"/>
      </rPr>
      <t>2019.06.30-i módosított</t>
    </r>
    <r>
      <rPr>
        <b/>
        <sz val="8"/>
        <rFont val="Arial"/>
        <family val="2"/>
        <charset val="238"/>
      </rPr>
      <t xml:space="preserve"> előir-hoz képest</t>
    </r>
  </si>
  <si>
    <t>2019.12.31-ig tényleges felhasználás</t>
  </si>
  <si>
    <r>
      <t xml:space="preserve">Módosított előirányzat </t>
    </r>
    <r>
      <rPr>
        <b/>
        <sz val="12"/>
        <rFont val="Arial"/>
        <family val="2"/>
        <charset val="238"/>
      </rPr>
      <t>2019.12.31</t>
    </r>
  </si>
  <si>
    <r>
      <t xml:space="preserve">2019.12.31-i felhasználás </t>
    </r>
    <r>
      <rPr>
        <b/>
        <u/>
        <sz val="8"/>
        <rFont val="Arial"/>
        <family val="2"/>
        <charset val="238"/>
      </rPr>
      <t>2019.09.30-i módosított</t>
    </r>
    <r>
      <rPr>
        <b/>
        <sz val="8"/>
        <rFont val="Arial"/>
        <family val="2"/>
        <charset val="238"/>
      </rPr>
      <t xml:space="preserve"> előir-hoz képest</t>
    </r>
  </si>
  <si>
    <t>Gyerekfoci támogatás (Pálya tám.)</t>
  </si>
  <si>
    <t>Balassi óvoda tetőfelújítás</t>
  </si>
  <si>
    <t>Leader önerő (játszótér)</t>
  </si>
  <si>
    <r>
      <t xml:space="preserve">Egyéb műk c. tám. </t>
    </r>
    <r>
      <rPr>
        <sz val="8"/>
        <rFont val="Arial"/>
        <family val="2"/>
        <charset val="238"/>
      </rPr>
      <t>(Leader)</t>
    </r>
  </si>
  <si>
    <t>HSZK felújítás</t>
  </si>
  <si>
    <t>Információs tábla</t>
  </si>
  <si>
    <t>Orvosi rendelők parkolói</t>
  </si>
  <si>
    <t>Templom parkoló</t>
  </si>
  <si>
    <t>Iparterület fejlesztés 2020.</t>
  </si>
  <si>
    <t>Utcanév táblák</t>
  </si>
  <si>
    <t>Virág (láda + üzemeltetés)</t>
  </si>
  <si>
    <t xml:space="preserve">Piac </t>
  </si>
  <si>
    <t>Piac támogatása, Dózsa Gy. Út feljítás tám.</t>
  </si>
  <si>
    <t>Patakmeder</t>
  </si>
  <si>
    <t>Ingatlan értékesítés 2.</t>
  </si>
  <si>
    <t>Vasút u. gyalogos átkelőhely</t>
  </si>
  <si>
    <t>Coop előtti terület rendezés (terv)</t>
  </si>
  <si>
    <t xml:space="preserve"> </t>
  </si>
  <si>
    <t>Útfelújítás (Akácfa, Zrínyi, Nap, Váci Mihály, Forrói)</t>
  </si>
  <si>
    <t>2016-2018-as években eladott telkek 2019-re jutó része</t>
  </si>
  <si>
    <t>TVTÉK</t>
  </si>
  <si>
    <t>Kátyúzás</t>
  </si>
  <si>
    <t>Dózsa Gy. út felújítás</t>
  </si>
  <si>
    <t>WAMKK felújítás (villanyhálózat felújítás, lépcső (érdekeltségnövelő pályázat))</t>
  </si>
  <si>
    <t>Óvoda (kerítés, előtetők, …)(1.500.000+5.500.000)</t>
  </si>
  <si>
    <t>Bölcsőde felújítás (gázbekötés)</t>
  </si>
  <si>
    <t>Dózsa Gy. sportpálya felújítás</t>
  </si>
  <si>
    <t>2019. évben további ingatlan értékesítése</t>
  </si>
  <si>
    <t>Egyes önkormányzati kiadások részletezője  a 2019. évi KÖLTSÉGVETÉSHEZ</t>
  </si>
  <si>
    <t>……………………………………</t>
  </si>
  <si>
    <t>Polgármester</t>
  </si>
  <si>
    <t>Sülysáp, 2019.07.31.</t>
  </si>
  <si>
    <t>ebrendészeti hozzájárulás, bírságok, mezőőri járulék, talajterhelési díj</t>
  </si>
  <si>
    <t>K1103, K1104</t>
  </si>
  <si>
    <t>Pótelőirányzatok</t>
  </si>
  <si>
    <t>B11 Pótelőirányzatok</t>
  </si>
  <si>
    <t>Hónapok</t>
  </si>
  <si>
    <t>B113                                    (Szociális ágazati összevont pótlék</t>
  </si>
  <si>
    <t>B11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</si>
  <si>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</si>
  <si>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</si>
  <si>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</si>
  <si>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</si>
  <si>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</si>
  <si>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</si>
  <si>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</si>
  <si>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</si>
  <si>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</si>
  <si>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</si>
  <si>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</si>
  <si>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</si>
  <si>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</si>
  <si>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Egyéb működési célú átvett pénzeszközök (Tám. visszafizetése), Működési célú kölcsönök visszafizetése</t>
  </si>
  <si>
    <t>a 2019.06.30-i az eredetihez képest</t>
  </si>
  <si>
    <t>a 2019.12.31-i a 2019.09.30-ihoz képest</t>
  </si>
  <si>
    <t>2019.12.31-i felhasználás 2019.09.30-i módosított előir-hoz képest</t>
  </si>
  <si>
    <t>Módosított előirányzat 2019.12.31</t>
  </si>
  <si>
    <t>2019.12.31-ig tényleges realizálás</t>
  </si>
  <si>
    <t>2019.12.31-i realizálás 2019.09.30-i módosított előir-hoz képest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</si>
</sst>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.00\ &quot;HUF&quot;_-;\-* #,##0.00\ &quot;HUF&quot;_-;_-* &quot;-&quot;??\ &quot;HUF&quot;_-;_-@_-"/>
    <numFmt numFmtId="165" formatCode="_-* #,##0\ _F_t_-;\-* #,##0\ _F_t_-;_-* &quot;-&quot;??\ _F_t_-;_-@_-"/>
    <numFmt numFmtId="166" formatCode="#,##0_ ;\-#,##0\ "/>
    <numFmt numFmtId="167" formatCode="_-* #,##0\ &quot;Ft&quot;_-;\-* #,##0\ &quot;Ft&quot;_-;_-* &quot;-&quot;??\ &quot;Ft&quot;_-;_-@_-"/>
  </numFmts>
  <fonts count="8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53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  <xf numFmtId="164" fontId="82" fillId="0" borderId="0" applyFont="0" applyFill="0" applyBorder="0" applyAlignment="0" applyProtection="0"/>
  </cellStyleXfs>
  <cellXfs count="929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5" fontId="0" fillId="0" borderId="0" xfId="1" applyNumberFormat="1" applyFont="1" applyBorder="1"/>
    <xf numFmtId="165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5" fontId="7" fillId="0" borderId="1" xfId="1" applyNumberFormat="1" applyFont="1" applyBorder="1"/>
    <xf numFmtId="165" fontId="7" fillId="0" borderId="0" xfId="1" applyNumberFormat="1" applyFont="1"/>
    <xf numFmtId="0" fontId="8" fillId="0" borderId="1" xfId="0" applyFont="1" applyFill="1" applyBorder="1" applyAlignment="1">
      <alignment wrapText="1"/>
    </xf>
    <xf numFmtId="165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5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3" fillId="2" borderId="1" xfId="3" applyFont="1" applyFill="1" applyBorder="1"/>
    <xf numFmtId="165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5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5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5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5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6" fontId="3" fillId="2" borderId="1" xfId="1" applyNumberFormat="1" applyFont="1" applyFill="1" applyBorder="1"/>
    <xf numFmtId="166" fontId="8" fillId="0" borderId="1" xfId="1" applyNumberFormat="1" applyFont="1" applyBorder="1"/>
    <xf numFmtId="166" fontId="3" fillId="2" borderId="1" xfId="0" applyNumberFormat="1" applyFont="1" applyFill="1" applyBorder="1"/>
    <xf numFmtId="166" fontId="4" fillId="2" borderId="1" xfId="0" applyNumberFormat="1" applyFont="1" applyFill="1" applyBorder="1"/>
    <xf numFmtId="166" fontId="7" fillId="0" borderId="0" xfId="1" applyNumberFormat="1" applyFont="1" applyBorder="1"/>
    <xf numFmtId="9" fontId="15" fillId="2" borderId="1" xfId="3" applyFont="1" applyFill="1" applyBorder="1"/>
    <xf numFmtId="0" fontId="2" fillId="0" borderId="0" xfId="0" applyFont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166" fontId="7" fillId="4" borderId="1" xfId="1" applyNumberFormat="1" applyFont="1" applyFill="1" applyBorder="1"/>
    <xf numFmtId="166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3" fontId="32" fillId="0" borderId="1" xfId="0" applyNumberFormat="1" applyFont="1" applyFill="1" applyBorder="1"/>
    <xf numFmtId="166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6" fontId="7" fillId="0" borderId="1" xfId="1" applyNumberFormat="1" applyFont="1" applyFill="1" applyBorder="1"/>
    <xf numFmtId="166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6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6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6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5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9" fontId="2" fillId="0" borderId="1" xfId="1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0" borderId="1" xfId="1" applyNumberFormat="1" applyFont="1" applyBorder="1"/>
    <xf numFmtId="9" fontId="15" fillId="6" borderId="1" xfId="1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5" fontId="7" fillId="10" borderId="0" xfId="1" applyNumberFormat="1" applyFont="1" applyFill="1" applyBorder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5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6" fontId="1" fillId="4" borderId="1" xfId="1" applyNumberFormat="1" applyFont="1" applyFill="1" applyBorder="1"/>
    <xf numFmtId="3" fontId="47" fillId="0" borderId="0" xfId="0" applyNumberFormat="1" applyFont="1" applyBorder="1"/>
    <xf numFmtId="166" fontId="1" fillId="0" borderId="1" xfId="1" applyNumberFormat="1" applyFont="1" applyFill="1" applyBorder="1"/>
    <xf numFmtId="3" fontId="3" fillId="0" borderId="2" xfId="1" applyNumberFormat="1" applyFont="1" applyBorder="1"/>
    <xf numFmtId="165" fontId="3" fillId="0" borderId="1" xfId="1" applyNumberFormat="1" applyFont="1" applyBorder="1"/>
    <xf numFmtId="166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26" fillId="0" borderId="20" xfId="0" applyNumberFormat="1" applyFont="1" applyBorder="1"/>
    <xf numFmtId="0" fontId="26" fillId="0" borderId="20" xfId="0" applyFont="1" applyBorder="1"/>
    <xf numFmtId="166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6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5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6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5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5" fontId="7" fillId="0" borderId="33" xfId="1" applyNumberFormat="1" applyFont="1" applyBorder="1"/>
    <xf numFmtId="165" fontId="7" fillId="0" borderId="18" xfId="1" applyNumberFormat="1" applyFont="1" applyBorder="1"/>
    <xf numFmtId="3" fontId="3" fillId="0" borderId="39" xfId="0" applyNumberFormat="1" applyFont="1" applyFill="1" applyBorder="1"/>
    <xf numFmtId="165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6" fontId="8" fillId="0" borderId="3" xfId="1" applyNumberFormat="1" applyFont="1" applyBorder="1"/>
    <xf numFmtId="165" fontId="7" fillId="0" borderId="3" xfId="1" applyNumberFormat="1" applyFont="1" applyBorder="1"/>
    <xf numFmtId="165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5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6" fontId="7" fillId="0" borderId="9" xfId="1" applyNumberFormat="1" applyFont="1" applyFill="1" applyBorder="1"/>
    <xf numFmtId="166" fontId="3" fillId="0" borderId="9" xfId="1" applyNumberFormat="1" applyFont="1" applyFill="1" applyBorder="1"/>
    <xf numFmtId="166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5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6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6" fontId="7" fillId="0" borderId="8" xfId="1" applyNumberFormat="1" applyFont="1" applyFill="1" applyBorder="1"/>
    <xf numFmtId="166" fontId="3" fillId="0" borderId="8" xfId="1" applyNumberFormat="1" applyFont="1" applyFill="1" applyBorder="1"/>
    <xf numFmtId="166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5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5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0" fontId="0" fillId="0" borderId="32" xfId="49" applyFont="1" applyBorder="1"/>
    <xf numFmtId="165" fontId="72" fillId="0" borderId="0" xfId="1" applyNumberFormat="1" applyFont="1" applyBorder="1"/>
    <xf numFmtId="165" fontId="3" fillId="38" borderId="18" xfId="1" applyNumberFormat="1" applyFont="1" applyFill="1" applyBorder="1"/>
    <xf numFmtId="0" fontId="53" fillId="0" borderId="0" xfId="49" applyBorder="1"/>
    <xf numFmtId="0" fontId="53" fillId="0" borderId="0" xfId="49"/>
    <xf numFmtId="0" fontId="53" fillId="0" borderId="32" xfId="49" applyBorder="1"/>
    <xf numFmtId="3" fontId="53" fillId="0" borderId="33" xfId="49" applyNumberFormat="1" applyBorder="1"/>
    <xf numFmtId="0" fontId="53" fillId="0" borderId="37" xfId="49" applyBorder="1"/>
    <xf numFmtId="0" fontId="53" fillId="0" borderId="38" xfId="49" applyBorder="1"/>
    <xf numFmtId="3" fontId="53" fillId="0" borderId="14" xfId="49" applyNumberFormat="1" applyBorder="1"/>
    <xf numFmtId="165" fontId="53" fillId="0" borderId="0" xfId="49" applyNumberFormat="1"/>
    <xf numFmtId="0" fontId="71" fillId="0" borderId="32" xfId="49" applyFont="1" applyBorder="1"/>
    <xf numFmtId="0" fontId="71" fillId="0" borderId="37" xfId="49" applyFont="1" applyBorder="1"/>
    <xf numFmtId="0" fontId="3" fillId="0" borderId="31" xfId="49" applyFont="1" applyBorder="1"/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12" fillId="0" borderId="0" xfId="0" applyFont="1"/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0" fontId="1" fillId="0" borderId="32" xfId="49" applyFont="1" applyBorder="1" applyAlignment="1">
      <alignment wrapText="1"/>
    </xf>
    <xf numFmtId="0" fontId="71" fillId="0" borderId="32" xfId="49" applyFont="1" applyBorder="1" applyAlignment="1">
      <alignment wrapText="1"/>
    </xf>
    <xf numFmtId="0" fontId="74" fillId="0" borderId="52" xfId="0" applyFont="1" applyBorder="1" applyAlignment="1">
      <alignment wrapText="1"/>
    </xf>
    <xf numFmtId="165" fontId="3" fillId="38" borderId="30" xfId="1" applyNumberFormat="1" applyFont="1" applyFill="1" applyBorder="1"/>
    <xf numFmtId="3" fontId="1" fillId="0" borderId="2" xfId="1" applyNumberFormat="1" applyFont="1" applyBorder="1" applyAlignment="1">
      <alignment vertical="center"/>
    </xf>
    <xf numFmtId="165" fontId="3" fillId="38" borderId="15" xfId="1" applyNumberFormat="1" applyFont="1" applyFill="1" applyBorder="1"/>
    <xf numFmtId="3" fontId="53" fillId="0" borderId="55" xfId="49" applyNumberFormat="1" applyBorder="1"/>
    <xf numFmtId="3" fontId="53" fillId="0" borderId="56" xfId="49" applyNumberFormat="1" applyBorder="1"/>
    <xf numFmtId="0" fontId="1" fillId="0" borderId="0" xfId="49" applyFont="1" applyAlignment="1">
      <alignment horizontal="center" vertical="center"/>
    </xf>
    <xf numFmtId="0" fontId="1" fillId="0" borderId="15" xfId="49" applyFont="1" applyBorder="1" applyAlignment="1">
      <alignment horizontal="center" vertical="center"/>
    </xf>
    <xf numFmtId="165" fontId="3" fillId="38" borderId="57" xfId="1" applyNumberFormat="1" applyFont="1" applyFill="1" applyBorder="1"/>
    <xf numFmtId="0" fontId="1" fillId="0" borderId="0" xfId="49" applyFont="1" applyBorder="1" applyAlignment="1">
      <alignment horizontal="center" vertical="center"/>
    </xf>
    <xf numFmtId="165" fontId="1" fillId="0" borderId="0" xfId="1" applyNumberFormat="1" applyFont="1" applyBorder="1"/>
    <xf numFmtId="165" fontId="1" fillId="0" borderId="38" xfId="1" applyNumberFormat="1" applyFont="1" applyBorder="1"/>
    <xf numFmtId="0" fontId="53" fillId="0" borderId="0" xfId="49" applyAlignment="1">
      <alignment horizontal="center" vertical="center"/>
    </xf>
    <xf numFmtId="3" fontId="53" fillId="0" borderId="0" xfId="49" applyNumberFormat="1" applyBorder="1" applyAlignment="1">
      <alignment horizontal="center" vertical="center"/>
    </xf>
    <xf numFmtId="3" fontId="1" fillId="0" borderId="50" xfId="0" applyNumberFormat="1" applyFont="1" applyBorder="1"/>
    <xf numFmtId="165" fontId="1" fillId="0" borderId="58" xfId="1" applyNumberFormat="1" applyFont="1" applyBorder="1"/>
    <xf numFmtId="165" fontId="1" fillId="0" borderId="17" xfId="1" applyNumberFormat="1" applyFont="1" applyBorder="1"/>
    <xf numFmtId="165" fontId="1" fillId="0" borderId="59" xfId="1" applyNumberFormat="1" applyFont="1" applyBorder="1"/>
    <xf numFmtId="165" fontId="1" fillId="0" borderId="60" xfId="1" applyNumberFormat="1" applyFont="1" applyBorder="1"/>
    <xf numFmtId="0" fontId="1" fillId="0" borderId="51" xfId="49" applyFont="1" applyBorder="1" applyAlignment="1">
      <alignment vertical="center" wrapText="1"/>
    </xf>
    <xf numFmtId="0" fontId="53" fillId="7" borderId="38" xfId="49" applyFill="1" applyBorder="1"/>
    <xf numFmtId="0" fontId="1" fillId="0" borderId="29" xfId="49" applyFont="1" applyBorder="1"/>
    <xf numFmtId="0" fontId="3" fillId="0" borderId="29" xfId="49" applyFont="1" applyBorder="1"/>
    <xf numFmtId="0" fontId="53" fillId="0" borderId="25" xfId="49" applyBorder="1"/>
    <xf numFmtId="0" fontId="1" fillId="0" borderId="37" xfId="49" applyFont="1" applyBorder="1" applyAlignment="1">
      <alignment wrapText="1"/>
    </xf>
    <xf numFmtId="0" fontId="1" fillId="0" borderId="61" xfId="49" applyFont="1" applyBorder="1"/>
    <xf numFmtId="165" fontId="1" fillId="0" borderId="62" xfId="1" applyNumberFormat="1" applyFont="1" applyBorder="1"/>
    <xf numFmtId="0" fontId="53" fillId="0" borderId="18" xfId="49" applyBorder="1"/>
    <xf numFmtId="0" fontId="71" fillId="0" borderId="55" xfId="49" applyFont="1" applyBorder="1"/>
    <xf numFmtId="0" fontId="71" fillId="0" borderId="56" xfId="49" applyFont="1" applyBorder="1"/>
    <xf numFmtId="0" fontId="71" fillId="0" borderId="55" xfId="49" applyFont="1" applyBorder="1" applyAlignment="1">
      <alignment wrapText="1"/>
    </xf>
    <xf numFmtId="0" fontId="0" fillId="0" borderId="33" xfId="49" applyFont="1" applyBorder="1"/>
    <xf numFmtId="0" fontId="1" fillId="0" borderId="33" xfId="49" applyFont="1" applyBorder="1" applyAlignment="1">
      <alignment wrapText="1"/>
    </xf>
    <xf numFmtId="0" fontId="1" fillId="0" borderId="14" xfId="49" applyFont="1" applyBorder="1"/>
    <xf numFmtId="0" fontId="1" fillId="0" borderId="59" xfId="49" applyFont="1" applyBorder="1"/>
    <xf numFmtId="0" fontId="74" fillId="0" borderId="60" xfId="0" applyFont="1" applyBorder="1" applyAlignment="1">
      <alignment wrapText="1"/>
    </xf>
    <xf numFmtId="165" fontId="1" fillId="0" borderId="0" xfId="1" applyNumberFormat="1" applyFont="1"/>
    <xf numFmtId="165" fontId="1" fillId="4" borderId="54" xfId="1" applyNumberFormat="1" applyFont="1" applyFill="1" applyBorder="1"/>
    <xf numFmtId="3" fontId="7" fillId="4" borderId="1" xfId="1" applyNumberFormat="1" applyFont="1" applyFill="1" applyBorder="1" applyAlignment="1"/>
    <xf numFmtId="3" fontId="7" fillId="4" borderId="1" xfId="1" applyNumberFormat="1" applyFont="1" applyFill="1" applyBorder="1" applyAlignment="1">
      <alignment horizontal="right"/>
    </xf>
    <xf numFmtId="0" fontId="36" fillId="4" borderId="0" xfId="0" applyFont="1" applyFill="1" applyBorder="1" applyAlignment="1">
      <alignment vertical="center"/>
    </xf>
    <xf numFmtId="0" fontId="1" fillId="0" borderId="0" xfId="49" applyFont="1"/>
    <xf numFmtId="0" fontId="3" fillId="0" borderId="0" xfId="49" applyFont="1"/>
    <xf numFmtId="165" fontId="1" fillId="4" borderId="0" xfId="1" applyNumberFormat="1" applyFont="1" applyFill="1" applyBorder="1"/>
    <xf numFmtId="0" fontId="1" fillId="0" borderId="5" xfId="0" applyFont="1" applyBorder="1" applyAlignment="1">
      <alignment wrapText="1"/>
    </xf>
    <xf numFmtId="3" fontId="7" fillId="0" borderId="5" xfId="1" applyNumberFormat="1" applyFont="1" applyBorder="1"/>
    <xf numFmtId="0" fontId="15" fillId="0" borderId="5" xfId="0" applyFont="1" applyBorder="1" applyAlignment="1">
      <alignment horizontal="center"/>
    </xf>
    <xf numFmtId="3" fontId="2" fillId="0" borderId="0" xfId="0" applyNumberFormat="1" applyFont="1" applyBorder="1" applyAlignment="1"/>
    <xf numFmtId="165" fontId="2" fillId="0" borderId="0" xfId="1" applyNumberFormat="1" applyFont="1"/>
    <xf numFmtId="166" fontId="0" fillId="0" borderId="0" xfId="0" applyNumberFormat="1"/>
    <xf numFmtId="165" fontId="0" fillId="0" borderId="0" xfId="1" applyNumberFormat="1" applyFont="1"/>
    <xf numFmtId="0" fontId="0" fillId="0" borderId="20" xfId="0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77" fillId="7" borderId="1" xfId="0" applyNumberFormat="1" applyFont="1" applyFill="1" applyBorder="1" applyAlignment="1">
      <alignment vertical="center"/>
    </xf>
    <xf numFmtId="3" fontId="78" fillId="7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26" fillId="0" borderId="1" xfId="0" applyNumberFormat="1" applyFont="1" applyBorder="1"/>
    <xf numFmtId="3" fontId="26" fillId="0" borderId="1" xfId="1" applyNumberFormat="1" applyFont="1" applyBorder="1"/>
    <xf numFmtId="0" fontId="2" fillId="0" borderId="1" xfId="0" applyFont="1" applyBorder="1" applyAlignment="1">
      <alignment horizontal="center"/>
    </xf>
    <xf numFmtId="9" fontId="15" fillId="2" borderId="1" xfId="3" applyFont="1" applyFill="1" applyBorder="1" applyAlignment="1">
      <alignment horizontal="center"/>
    </xf>
    <xf numFmtId="9" fontId="2" fillId="0" borderId="1" xfId="3" applyNumberFormat="1" applyFont="1" applyBorder="1" applyAlignment="1">
      <alignment horizontal="center"/>
    </xf>
    <xf numFmtId="9" fontId="15" fillId="0" borderId="1" xfId="3" applyFont="1" applyFill="1" applyBorder="1" applyAlignment="1">
      <alignment horizontal="center"/>
    </xf>
    <xf numFmtId="9" fontId="2" fillId="0" borderId="1" xfId="3" applyFont="1" applyBorder="1" applyAlignment="1">
      <alignment horizontal="center"/>
    </xf>
    <xf numFmtId="9" fontId="15" fillId="0" borderId="1" xfId="3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9" fontId="15" fillId="2" borderId="1" xfId="3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15" borderId="0" xfId="0" applyNumberFormat="1" applyFont="1" applyFill="1" applyAlignment="1">
      <alignment horizontal="center"/>
    </xf>
    <xf numFmtId="9" fontId="2" fillId="0" borderId="1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13" fillId="0" borderId="1" xfId="3" applyFont="1" applyBorder="1" applyAlignment="1">
      <alignment horizontal="center"/>
    </xf>
    <xf numFmtId="9" fontId="15" fillId="5" borderId="1" xfId="3" applyFont="1" applyFill="1" applyBorder="1" applyAlignment="1">
      <alignment horizontal="center"/>
    </xf>
    <xf numFmtId="9" fontId="15" fillId="0" borderId="0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7" fillId="0" borderId="0" xfId="3" applyFont="1" applyAlignment="1">
      <alignment horizontal="center"/>
    </xf>
    <xf numFmtId="9" fontId="7" fillId="15" borderId="0" xfId="3" applyFont="1" applyFill="1" applyAlignment="1">
      <alignment horizontal="center"/>
    </xf>
    <xf numFmtId="9" fontId="2" fillId="0" borderId="0" xfId="3" applyFont="1" applyAlignment="1">
      <alignment horizontal="center"/>
    </xf>
    <xf numFmtId="9" fontId="7" fillId="0" borderId="1" xfId="3" applyFont="1" applyBorder="1" applyAlignment="1">
      <alignment horizontal="center"/>
    </xf>
    <xf numFmtId="9" fontId="15" fillId="0" borderId="10" xfId="3" applyFont="1" applyFill="1" applyBorder="1" applyAlignment="1">
      <alignment horizontal="center"/>
    </xf>
    <xf numFmtId="9" fontId="3" fillId="0" borderId="0" xfId="3" applyFont="1" applyFill="1" applyBorder="1" applyAlignment="1">
      <alignment horizontal="center"/>
    </xf>
    <xf numFmtId="3" fontId="8" fillId="39" borderId="1" xfId="1" applyNumberFormat="1" applyFont="1" applyFill="1" applyBorder="1"/>
    <xf numFmtId="3" fontId="7" fillId="39" borderId="1" xfId="1" applyNumberFormat="1" applyFont="1" applyFill="1" applyBorder="1" applyAlignment="1">
      <alignment horizontal="center"/>
    </xf>
    <xf numFmtId="3" fontId="7" fillId="39" borderId="2" xfId="1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3" fillId="5" borderId="1" xfId="3" applyFont="1" applyFill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15" fillId="2" borderId="1" xfId="1" applyNumberFormat="1" applyFont="1" applyFill="1" applyBorder="1" applyAlignment="1">
      <alignment horizontal="center"/>
    </xf>
    <xf numFmtId="9" fontId="15" fillId="2" borderId="1" xfId="3" applyNumberFormat="1" applyFont="1" applyFill="1" applyBorder="1" applyAlignment="1">
      <alignment horizontal="center"/>
    </xf>
    <xf numFmtId="9" fontId="15" fillId="0" borderId="1" xfId="1" applyNumberFormat="1" applyFont="1" applyBorder="1" applyAlignment="1">
      <alignment horizontal="center"/>
    </xf>
    <xf numFmtId="9" fontId="15" fillId="4" borderId="1" xfId="3" applyNumberFormat="1" applyFont="1" applyFill="1" applyBorder="1" applyAlignment="1">
      <alignment horizontal="center"/>
    </xf>
    <xf numFmtId="9" fontId="2" fillId="4" borderId="1" xfId="3" applyNumberFormat="1" applyFont="1" applyFill="1" applyBorder="1" applyAlignment="1">
      <alignment horizontal="center"/>
    </xf>
    <xf numFmtId="9" fontId="15" fillId="6" borderId="1" xfId="1" applyNumberFormat="1" applyFont="1" applyFill="1" applyBorder="1" applyAlignment="1">
      <alignment horizontal="center"/>
    </xf>
    <xf numFmtId="9" fontId="15" fillId="6" borderId="1" xfId="3" applyNumberFormat="1" applyFont="1" applyFill="1" applyBorder="1" applyAlignment="1">
      <alignment horizontal="center"/>
    </xf>
    <xf numFmtId="9" fontId="37" fillId="2" borderId="1" xfId="0" applyNumberFormat="1" applyFont="1" applyFill="1" applyBorder="1" applyAlignment="1">
      <alignment horizontal="center"/>
    </xf>
    <xf numFmtId="9" fontId="2" fillId="0" borderId="1" xfId="3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13" fillId="0" borderId="1" xfId="3" applyFont="1" applyFill="1" applyBorder="1" applyAlignment="1">
      <alignment horizontal="center"/>
    </xf>
    <xf numFmtId="9" fontId="13" fillId="2" borderId="1" xfId="3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9" fontId="33" fillId="8" borderId="1" xfId="3" applyFont="1" applyFill="1" applyBorder="1" applyAlignment="1">
      <alignment horizontal="center" vertical="center"/>
    </xf>
    <xf numFmtId="9" fontId="28" fillId="0" borderId="1" xfId="3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7" fillId="0" borderId="0" xfId="1" applyNumberFormat="1" applyFont="1" applyBorder="1" applyAlignment="1">
      <alignment horizontal="center"/>
    </xf>
    <xf numFmtId="9" fontId="3" fillId="2" borderId="1" xfId="3" applyFont="1" applyFill="1" applyBorder="1" applyAlignment="1">
      <alignment horizontal="center"/>
    </xf>
    <xf numFmtId="9" fontId="3" fillId="8" borderId="1" xfId="3" applyFont="1" applyFill="1" applyBorder="1" applyAlignment="1">
      <alignment horizontal="center" vertical="center"/>
    </xf>
    <xf numFmtId="9" fontId="14" fillId="8" borderId="1" xfId="3" applyFont="1" applyFill="1" applyBorder="1" applyAlignment="1">
      <alignment horizontal="center" vertical="center"/>
    </xf>
    <xf numFmtId="9" fontId="14" fillId="0" borderId="1" xfId="3" applyFont="1" applyFill="1" applyBorder="1" applyAlignment="1">
      <alignment horizontal="center"/>
    </xf>
    <xf numFmtId="9" fontId="8" fillId="0" borderId="1" xfId="3" applyFont="1" applyBorder="1" applyAlignment="1">
      <alignment horizontal="center"/>
    </xf>
    <xf numFmtId="9" fontId="4" fillId="2" borderId="1" xfId="3" applyFont="1" applyFill="1" applyBorder="1" applyAlignment="1">
      <alignment horizontal="center"/>
    </xf>
    <xf numFmtId="9" fontId="8" fillId="5" borderId="1" xfId="3" applyFont="1" applyFill="1" applyBorder="1" applyAlignment="1">
      <alignment horizontal="center"/>
    </xf>
    <xf numFmtId="9" fontId="18" fillId="0" borderId="0" xfId="3" applyFont="1" applyBorder="1" applyAlignment="1">
      <alignment horizontal="center"/>
    </xf>
    <xf numFmtId="9" fontId="18" fillId="0" borderId="0" xfId="3" applyFont="1" applyAlignment="1">
      <alignment horizontal="center"/>
    </xf>
    <xf numFmtId="9" fontId="7" fillId="0" borderId="0" xfId="3" applyFont="1" applyBorder="1" applyAlignment="1">
      <alignment horizontal="center"/>
    </xf>
    <xf numFmtId="9" fontId="42" fillId="0" borderId="0" xfId="3" applyFont="1" applyBorder="1" applyAlignment="1">
      <alignment horizontal="center"/>
    </xf>
    <xf numFmtId="9" fontId="18" fillId="10" borderId="0" xfId="3" applyFont="1" applyFill="1" applyBorder="1" applyAlignment="1">
      <alignment horizontal="center"/>
    </xf>
    <xf numFmtId="9" fontId="18" fillId="10" borderId="0" xfId="3" applyFont="1" applyFill="1" applyAlignment="1">
      <alignment horizontal="center"/>
    </xf>
    <xf numFmtId="9" fontId="7" fillId="10" borderId="0" xfId="3" applyFont="1" applyFill="1" applyAlignment="1">
      <alignment horizontal="center"/>
    </xf>
    <xf numFmtId="9" fontId="7" fillId="10" borderId="0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9" fontId="44" fillId="0" borderId="0" xfId="3" applyFont="1" applyBorder="1" applyAlignment="1">
      <alignment horizontal="center"/>
    </xf>
    <xf numFmtId="9" fontId="44" fillId="0" borderId="0" xfId="3" applyFont="1" applyAlignment="1">
      <alignment horizontal="center"/>
    </xf>
    <xf numFmtId="9" fontId="7" fillId="11" borderId="8" xfId="3" applyFont="1" applyFill="1" applyBorder="1" applyAlignment="1">
      <alignment horizontal="center"/>
    </xf>
    <xf numFmtId="9" fontId="13" fillId="5" borderId="1" xfId="3" applyFont="1" applyFill="1" applyBorder="1"/>
    <xf numFmtId="9" fontId="18" fillId="0" borderId="1" xfId="3" applyFont="1" applyFill="1" applyBorder="1" applyAlignment="1">
      <alignment horizontal="center"/>
    </xf>
    <xf numFmtId="9" fontId="79" fillId="7" borderId="1" xfId="3" applyFont="1" applyFill="1" applyBorder="1" applyAlignment="1">
      <alignment horizontal="center" vertical="center"/>
    </xf>
    <xf numFmtId="9" fontId="13" fillId="5" borderId="1" xfId="3" applyFont="1" applyFill="1" applyBorder="1" applyAlignment="1">
      <alignment horizontal="center"/>
    </xf>
    <xf numFmtId="3" fontId="77" fillId="7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3" fillId="5" borderId="1" xfId="1" applyNumberFormat="1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9" fontId="7" fillId="0" borderId="1" xfId="3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9" fontId="3" fillId="0" borderId="1" xfId="3" applyFont="1" applyFill="1" applyBorder="1" applyAlignment="1">
      <alignment horizontal="center"/>
    </xf>
    <xf numFmtId="166" fontId="7" fillId="9" borderId="1" xfId="1" applyNumberFormat="1" applyFont="1" applyFill="1" applyBorder="1" applyAlignment="1">
      <alignment horizontal="center"/>
    </xf>
    <xf numFmtId="9" fontId="7" fillId="4" borderId="1" xfId="3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9" fontId="27" fillId="9" borderId="1" xfId="3" applyFont="1" applyFill="1" applyBorder="1" applyAlignment="1">
      <alignment horizontal="center"/>
    </xf>
    <xf numFmtId="166" fontId="7" fillId="0" borderId="8" xfId="1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9" fontId="27" fillId="0" borderId="1" xfId="3" applyFont="1" applyFill="1" applyBorder="1" applyAlignment="1">
      <alignment horizontal="center"/>
    </xf>
    <xf numFmtId="166" fontId="27" fillId="0" borderId="8" xfId="1" applyNumberFormat="1" applyFont="1" applyFill="1" applyBorder="1" applyAlignment="1">
      <alignment horizontal="center"/>
    </xf>
    <xf numFmtId="3" fontId="48" fillId="12" borderId="0" xfId="0" applyNumberFormat="1" applyFont="1" applyFill="1" applyBorder="1" applyAlignment="1">
      <alignment horizontal="center"/>
    </xf>
    <xf numFmtId="3" fontId="3" fillId="11" borderId="0" xfId="0" applyNumberFormat="1" applyFont="1" applyFill="1" applyBorder="1" applyAlignment="1">
      <alignment horizontal="center"/>
    </xf>
    <xf numFmtId="9" fontId="3" fillId="8" borderId="0" xfId="1" applyNumberFormat="1" applyFont="1" applyFill="1" applyBorder="1" applyAlignment="1">
      <alignment horizontal="center" vertical="center"/>
    </xf>
    <xf numFmtId="9" fontId="33" fillId="8" borderId="0" xfId="3" applyFont="1" applyFill="1" applyBorder="1" applyAlignment="1">
      <alignment horizontal="center" vertical="center"/>
    </xf>
    <xf numFmtId="9" fontId="33" fillId="8" borderId="3" xfId="3" applyFont="1" applyFill="1" applyBorder="1" applyAlignment="1">
      <alignment horizontal="center" vertical="center"/>
    </xf>
    <xf numFmtId="9" fontId="7" fillId="0" borderId="3" xfId="3" applyFont="1" applyBorder="1" applyAlignment="1">
      <alignment horizontal="center"/>
    </xf>
    <xf numFmtId="9" fontId="48" fillId="12" borderId="0" xfId="3" applyFont="1" applyFill="1" applyBorder="1" applyAlignment="1">
      <alignment horizontal="center"/>
    </xf>
    <xf numFmtId="9" fontId="48" fillId="12" borderId="3" xfId="3" applyFont="1" applyFill="1" applyBorder="1" applyAlignment="1">
      <alignment horizontal="center"/>
    </xf>
    <xf numFmtId="9" fontId="3" fillId="11" borderId="0" xfId="3" applyFont="1" applyFill="1" applyBorder="1" applyAlignment="1">
      <alignment horizontal="center"/>
    </xf>
    <xf numFmtId="9" fontId="3" fillId="11" borderId="3" xfId="3" applyFont="1" applyFill="1" applyBorder="1" applyAlignment="1">
      <alignment horizontal="center"/>
    </xf>
    <xf numFmtId="9" fontId="7" fillId="0" borderId="5" xfId="3" applyFont="1" applyBorder="1" applyAlignment="1">
      <alignment horizontal="center"/>
    </xf>
    <xf numFmtId="9" fontId="7" fillId="0" borderId="23" xfId="3" applyFont="1" applyBorder="1" applyAlignment="1">
      <alignment horizontal="center"/>
    </xf>
    <xf numFmtId="9" fontId="13" fillId="0" borderId="0" xfId="3" applyFont="1" applyFill="1" applyBorder="1" applyAlignment="1">
      <alignment horizontal="center"/>
    </xf>
    <xf numFmtId="9" fontId="13" fillId="0" borderId="3" xfId="3" applyFont="1" applyFill="1" applyBorder="1" applyAlignment="1">
      <alignment horizontal="center"/>
    </xf>
    <xf numFmtId="9" fontId="2" fillId="2" borderId="1" xfId="3" applyFont="1" applyFill="1" applyBorder="1" applyAlignment="1">
      <alignment horizontal="center"/>
    </xf>
    <xf numFmtId="0" fontId="4" fillId="5" borderId="1" xfId="0" applyFont="1" applyFill="1" applyBorder="1"/>
    <xf numFmtId="166" fontId="4" fillId="5" borderId="1" xfId="1" applyNumberFormat="1" applyFont="1" applyFill="1" applyBorder="1"/>
    <xf numFmtId="166" fontId="4" fillId="5" borderId="1" xfId="1" applyNumberFormat="1" applyFont="1" applyFill="1" applyBorder="1" applyAlignment="1">
      <alignment horizontal="center"/>
    </xf>
    <xf numFmtId="3" fontId="4" fillId="40" borderId="1" xfId="0" applyNumberFormat="1" applyFont="1" applyFill="1" applyBorder="1"/>
    <xf numFmtId="3" fontId="3" fillId="40" borderId="1" xfId="0" applyNumberFormat="1" applyFont="1" applyFill="1" applyBorder="1" applyAlignment="1">
      <alignment horizontal="center"/>
    </xf>
    <xf numFmtId="3" fontId="3" fillId="40" borderId="2" xfId="0" applyNumberFormat="1" applyFont="1" applyFill="1" applyBorder="1" applyAlignment="1">
      <alignment horizontal="center"/>
    </xf>
    <xf numFmtId="0" fontId="0" fillId="40" borderId="8" xfId="0" applyFill="1" applyBorder="1" applyAlignment="1">
      <alignment horizontal="center"/>
    </xf>
    <xf numFmtId="0" fontId="0" fillId="40" borderId="9" xfId="0" applyFill="1" applyBorder="1" applyAlignment="1">
      <alignment horizontal="center"/>
    </xf>
    <xf numFmtId="3" fontId="80" fillId="2" borderId="1" xfId="0" applyNumberFormat="1" applyFont="1" applyFill="1" applyBorder="1" applyAlignment="1">
      <alignment horizontal="center"/>
    </xf>
    <xf numFmtId="9" fontId="18" fillId="0" borderId="1" xfId="3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3" fillId="5" borderId="1" xfId="0" applyFont="1" applyFill="1" applyBorder="1"/>
    <xf numFmtId="3" fontId="0" fillId="0" borderId="1" xfId="0" applyNumberFormat="1" applyBorder="1"/>
    <xf numFmtId="49" fontId="7" fillId="0" borderId="0" xfId="0" applyNumberFormat="1" applyFont="1"/>
    <xf numFmtId="3" fontId="53" fillId="0" borderId="0" xfId="49" applyNumberFormat="1" applyBorder="1"/>
    <xf numFmtId="0" fontId="1" fillId="0" borderId="0" xfId="49" applyFont="1" applyBorder="1"/>
    <xf numFmtId="3" fontId="53" fillId="0" borderId="37" xfId="49" applyNumberFormat="1" applyBorder="1"/>
    <xf numFmtId="3" fontId="1" fillId="0" borderId="0" xfId="49" applyNumberFormat="1" applyFont="1" applyBorder="1" applyAlignment="1">
      <alignment horizontal="center" vertical="center"/>
    </xf>
    <xf numFmtId="3" fontId="73" fillId="0" borderId="0" xfId="0" applyNumberFormat="1" applyFont="1" applyFill="1" applyBorder="1"/>
    <xf numFmtId="0" fontId="18" fillId="4" borderId="1" xfId="0" applyFont="1" applyFill="1" applyBorder="1" applyAlignment="1">
      <alignment horizontal="right" wrapText="1"/>
    </xf>
    <xf numFmtId="0" fontId="1" fillId="0" borderId="0" xfId="49" applyFont="1" applyBorder="1" applyAlignment="1">
      <alignment wrapText="1"/>
    </xf>
    <xf numFmtId="0" fontId="53" fillId="7" borderId="0" xfId="49" applyFill="1" applyBorder="1"/>
    <xf numFmtId="165" fontId="3" fillId="4" borderId="0" xfId="1" applyNumberFormat="1" applyFont="1" applyFill="1" applyBorder="1"/>
    <xf numFmtId="3" fontId="53" fillId="4" borderId="0" xfId="49" applyNumberFormat="1" applyFill="1" applyBorder="1"/>
    <xf numFmtId="0" fontId="53" fillId="4" borderId="0" xfId="49" applyFill="1"/>
    <xf numFmtId="0" fontId="3" fillId="4" borderId="0" xfId="0" applyFont="1" applyFill="1" applyAlignment="1">
      <alignment horizontal="center"/>
    </xf>
    <xf numFmtId="3" fontId="53" fillId="41" borderId="33" xfId="49" applyNumberFormat="1" applyFill="1" applyBorder="1"/>
    <xf numFmtId="3" fontId="53" fillId="41" borderId="55" xfId="49" applyNumberFormat="1" applyFill="1" applyBorder="1"/>
    <xf numFmtId="0" fontId="53" fillId="4" borderId="0" xfId="49" applyFill="1" applyAlignment="1">
      <alignment horizontal="center" vertical="center"/>
    </xf>
    <xf numFmtId="165" fontId="1" fillId="4" borderId="17" xfId="1" applyNumberFormat="1" applyFont="1" applyFill="1" applyBorder="1"/>
    <xf numFmtId="0" fontId="0" fillId="0" borderId="25" xfId="49" applyFont="1" applyBorder="1"/>
    <xf numFmtId="0" fontId="71" fillId="0" borderId="32" xfId="49" applyFont="1" applyBorder="1" applyAlignment="1">
      <alignment vertical="center"/>
    </xf>
    <xf numFmtId="0" fontId="53" fillId="0" borderId="32" xfId="49" applyBorder="1" applyAlignment="1">
      <alignment horizontal="left" vertical="top"/>
    </xf>
    <xf numFmtId="0" fontId="1" fillId="0" borderId="33" xfId="49" applyFont="1" applyBorder="1" applyAlignment="1">
      <alignment vertical="center" wrapText="1"/>
    </xf>
    <xf numFmtId="0" fontId="1" fillId="0" borderId="29" xfId="49" applyFont="1" applyBorder="1" applyAlignment="1">
      <alignment vertical="center"/>
    </xf>
    <xf numFmtId="0" fontId="1" fillId="0" borderId="30" xfId="49" applyFont="1" applyBorder="1" applyAlignment="1">
      <alignment vertical="center" wrapText="1"/>
    </xf>
    <xf numFmtId="0" fontId="3" fillId="0" borderId="29" xfId="49" applyFont="1" applyBorder="1" applyAlignment="1">
      <alignment horizontal="left" vertical="center"/>
    </xf>
    <xf numFmtId="165" fontId="3" fillId="38" borderId="25" xfId="1" applyNumberFormat="1" applyFont="1" applyFill="1" applyBorder="1"/>
    <xf numFmtId="0" fontId="1" fillId="0" borderId="25" xfId="49" applyFont="1" applyBorder="1" applyAlignment="1">
      <alignment wrapText="1"/>
    </xf>
    <xf numFmtId="0" fontId="81" fillId="0" borderId="51" xfId="0" applyFont="1" applyBorder="1" applyAlignment="1">
      <alignment wrapText="1"/>
    </xf>
    <xf numFmtId="0" fontId="1" fillId="0" borderId="1" xfId="49" applyFont="1" applyBorder="1"/>
    <xf numFmtId="0" fontId="81" fillId="0" borderId="52" xfId="0" applyFont="1" applyBorder="1" applyAlignment="1">
      <alignment wrapText="1"/>
    </xf>
    <xf numFmtId="0" fontId="1" fillId="0" borderId="53" xfId="49" applyFont="1" applyBorder="1"/>
    <xf numFmtId="0" fontId="81" fillId="0" borderId="0" xfId="0" applyFont="1" applyBorder="1" applyAlignment="1">
      <alignment wrapText="1"/>
    </xf>
    <xf numFmtId="0" fontId="1" fillId="0" borderId="63" xfId="49" applyFont="1" applyBorder="1"/>
    <xf numFmtId="0" fontId="1" fillId="0" borderId="22" xfId="49" applyFont="1" applyBorder="1"/>
    <xf numFmtId="165" fontId="1" fillId="0" borderId="64" xfId="1" applyNumberFormat="1" applyFont="1" applyBorder="1"/>
    <xf numFmtId="0" fontId="1" fillId="0" borderId="0" xfId="0" applyFont="1" applyBorder="1" applyAlignment="1">
      <alignment horizontal="center" vertical="center"/>
    </xf>
    <xf numFmtId="3" fontId="73" fillId="0" borderId="1" xfId="0" applyNumberFormat="1" applyFont="1" applyFill="1" applyBorder="1"/>
    <xf numFmtId="3" fontId="3" fillId="0" borderId="2" xfId="1" applyNumberFormat="1" applyFont="1" applyBorder="1" applyAlignment="1">
      <alignment vertical="center"/>
    </xf>
    <xf numFmtId="9" fontId="15" fillId="0" borderId="1" xfId="3" applyNumberFormat="1" applyFont="1" applyBorder="1" applyAlignment="1">
      <alignment horizontal="center"/>
    </xf>
    <xf numFmtId="0" fontId="84" fillId="0" borderId="0" xfId="0" applyFont="1"/>
    <xf numFmtId="0" fontId="85" fillId="0" borderId="0" xfId="0" applyFont="1"/>
    <xf numFmtId="0" fontId="83" fillId="0" borderId="11" xfId="0" applyFont="1" applyBorder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83" fillId="0" borderId="56" xfId="0" applyFont="1" applyFill="1" applyBorder="1" applyAlignment="1">
      <alignment horizontal="center" vertical="center"/>
    </xf>
    <xf numFmtId="0" fontId="83" fillId="0" borderId="71" xfId="0" applyFont="1" applyBorder="1"/>
    <xf numFmtId="0" fontId="0" fillId="0" borderId="63" xfId="0" applyBorder="1"/>
    <xf numFmtId="0" fontId="0" fillId="0" borderId="22" xfId="0" applyBorder="1"/>
    <xf numFmtId="167" fontId="0" fillId="4" borderId="9" xfId="54" applyNumberFormat="1" applyFont="1" applyFill="1" applyBorder="1"/>
    <xf numFmtId="0" fontId="0" fillId="0" borderId="4" xfId="0" applyBorder="1"/>
    <xf numFmtId="167" fontId="83" fillId="0" borderId="58" xfId="54" applyNumberFormat="1" applyFont="1" applyBorder="1"/>
    <xf numFmtId="0" fontId="83" fillId="0" borderId="34" xfId="0" applyFont="1" applyBorder="1"/>
    <xf numFmtId="0" fontId="0" fillId="0" borderId="51" xfId="0" applyBorder="1"/>
    <xf numFmtId="0" fontId="0" fillId="0" borderId="1" xfId="0" applyBorder="1"/>
    <xf numFmtId="167" fontId="0" fillId="0" borderId="21" xfId="54" applyNumberFormat="1" applyFont="1" applyBorder="1"/>
    <xf numFmtId="167" fontId="0" fillId="0" borderId="9" xfId="54" applyNumberFormat="1" applyFont="1" applyBorder="1"/>
    <xf numFmtId="167" fontId="0" fillId="0" borderId="1" xfId="54" applyNumberFormat="1" applyFont="1" applyBorder="1"/>
    <xf numFmtId="167" fontId="0" fillId="0" borderId="2" xfId="54" applyNumberFormat="1" applyFont="1" applyBorder="1"/>
    <xf numFmtId="0" fontId="83" fillId="0" borderId="35" xfId="0" applyFont="1" applyBorder="1"/>
    <xf numFmtId="0" fontId="0" fillId="0" borderId="72" xfId="0" applyBorder="1"/>
    <xf numFmtId="0" fontId="0" fillId="0" borderId="10" xfId="0" applyBorder="1"/>
    <xf numFmtId="167" fontId="0" fillId="0" borderId="10" xfId="54" applyNumberFormat="1" applyFont="1" applyBorder="1"/>
    <xf numFmtId="167" fontId="0" fillId="0" borderId="19" xfId="54" applyNumberFormat="1" applyFont="1" applyBorder="1"/>
    <xf numFmtId="0" fontId="83" fillId="0" borderId="11" xfId="0" applyFont="1" applyBorder="1"/>
    <xf numFmtId="167" fontId="83" fillId="0" borderId="65" xfId="54" applyNumberFormat="1" applyFont="1" applyBorder="1"/>
    <xf numFmtId="167" fontId="83" fillId="0" borderId="66" xfId="54" applyNumberFormat="1" applyFont="1" applyBorder="1"/>
    <xf numFmtId="167" fontId="83" fillId="0" borderId="73" xfId="54" applyNumberFormat="1" applyFont="1" applyBorder="1"/>
    <xf numFmtId="167" fontId="83" fillId="0" borderId="74" xfId="54" applyNumberFormat="1" applyFont="1" applyBorder="1"/>
    <xf numFmtId="9" fontId="7" fillId="0" borderId="0" xfId="3" applyFont="1"/>
    <xf numFmtId="3" fontId="3" fillId="4" borderId="33" xfId="49" applyNumberFormat="1" applyFont="1" applyFill="1" applyBorder="1"/>
    <xf numFmtId="0" fontId="3" fillId="0" borderId="32" xfId="49" applyFont="1" applyBorder="1"/>
    <xf numFmtId="167" fontId="0" fillId="0" borderId="23" xfId="54" applyNumberFormat="1" applyFont="1" applyBorder="1"/>
    <xf numFmtId="167" fontId="0" fillId="0" borderId="36" xfId="54" applyNumberFormat="1" applyFont="1" applyBorder="1"/>
    <xf numFmtId="167" fontId="0" fillId="0" borderId="22" xfId="54" applyNumberFormat="1" applyFont="1" applyBorder="1"/>
    <xf numFmtId="167" fontId="0" fillId="0" borderId="4" xfId="54" applyNumberFormat="1" applyFont="1" applyBorder="1"/>
    <xf numFmtId="0" fontId="0" fillId="0" borderId="52" xfId="0" applyBorder="1"/>
    <xf numFmtId="0" fontId="0" fillId="0" borderId="53" xfId="0" applyBorder="1"/>
    <xf numFmtId="167" fontId="0" fillId="0" borderId="53" xfId="54" applyNumberFormat="1" applyFont="1" applyBorder="1"/>
    <xf numFmtId="167" fontId="0" fillId="0" borderId="75" xfId="54" applyNumberFormat="1" applyFont="1" applyBorder="1"/>
    <xf numFmtId="167" fontId="83" fillId="0" borderId="60" xfId="54" applyNumberFormat="1" applyFont="1" applyBorder="1"/>
    <xf numFmtId="0" fontId="0" fillId="0" borderId="75" xfId="0" applyBorder="1"/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9" fontId="3" fillId="0" borderId="2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9" xfId="3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49" applyFont="1" applyAlignment="1">
      <alignment horizontal="center"/>
    </xf>
    <xf numFmtId="0" fontId="3" fillId="0" borderId="0" xfId="0" applyFont="1" applyAlignment="1">
      <alignment horizontal="center"/>
    </xf>
    <xf numFmtId="0" fontId="83" fillId="0" borderId="65" xfId="0" applyFont="1" applyBorder="1" applyAlignment="1">
      <alignment horizontal="center" wrapText="1"/>
    </xf>
    <xf numFmtId="0" fontId="83" fillId="0" borderId="66" xfId="0" applyFont="1" applyBorder="1" applyAlignment="1">
      <alignment horizontal="center" wrapText="1"/>
    </xf>
    <xf numFmtId="0" fontId="83" fillId="0" borderId="67" xfId="0" applyFont="1" applyBorder="1" applyAlignment="1">
      <alignment horizontal="center" wrapText="1"/>
    </xf>
  </cellXfs>
  <cellStyles count="55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Pénznem" xfId="54" builtinId="4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17/2017_&#214;nkorm&#225;nyzat/2017_beruh&#225;z&#225;sok/2017_Ipari%20ter&#252;let%20beruh&#225;z&#225;s/2017_IPARI%20park%20l&#233;tes&#237;t&#233;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0">
          <cell r="B10">
            <v>304167057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tabSelected="1" view="pageBreakPreview" zoomScaleNormal="75" zoomScaleSheetLayoutView="100" workbookViewId="0">
      <selection activeCell="H1" sqref="H1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5.5546875" style="22" customWidth="1"/>
    <col min="4" max="6" width="15.5546875" style="23" customWidth="1"/>
    <col min="7" max="7" width="0.6640625" style="23" customWidth="1"/>
    <col min="8" max="8" width="15.5546875" style="22" customWidth="1"/>
    <col min="9" max="10" width="15.5546875" style="23" customWidth="1"/>
    <col min="11" max="11" width="0.6640625" style="23" customWidth="1"/>
    <col min="12" max="14" width="10.5546875" style="22" customWidth="1"/>
    <col min="15" max="15" width="0.664062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30" t="s">
        <v>450</v>
      </c>
      <c r="B1" s="229"/>
      <c r="C1" s="229"/>
      <c r="D1" s="229"/>
      <c r="E1" s="229"/>
      <c r="F1" s="344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7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7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5"/>
      <c r="D5" s="345"/>
      <c r="E5" s="345"/>
      <c r="F5" s="345"/>
      <c r="G5" s="345"/>
      <c r="H5" s="346"/>
      <c r="I5" s="346"/>
      <c r="J5" s="346"/>
      <c r="K5" s="345"/>
      <c r="L5" s="347"/>
      <c r="M5" s="36"/>
      <c r="N5" s="36"/>
      <c r="O5" s="345"/>
      <c r="P5" s="346"/>
      <c r="Q5" s="346"/>
      <c r="R5" s="346"/>
      <c r="S5" s="346"/>
      <c r="T5" s="36"/>
      <c r="U5" s="269"/>
    </row>
    <row r="6" spans="1:27" ht="14.1" hidden="1" customHeight="1" x14ac:dyDescent="0.25">
      <c r="A6" s="46"/>
      <c r="B6" s="46"/>
      <c r="C6" s="345"/>
      <c r="D6" s="345"/>
      <c r="E6" s="345"/>
      <c r="F6" s="345"/>
      <c r="G6" s="345"/>
      <c r="H6" s="346"/>
      <c r="I6" s="346"/>
      <c r="J6" s="346"/>
      <c r="K6" s="345"/>
      <c r="L6" s="347"/>
      <c r="M6" s="36"/>
      <c r="N6" s="36"/>
      <c r="O6" s="345"/>
      <c r="P6" s="346"/>
      <c r="Q6" s="346"/>
      <c r="R6" s="346"/>
      <c r="S6" s="346"/>
      <c r="T6" s="36"/>
      <c r="U6" s="269"/>
    </row>
    <row r="7" spans="1:27" ht="15.6" x14ac:dyDescent="0.3">
      <c r="A7" s="46"/>
      <c r="B7" s="46"/>
      <c r="C7" s="860" t="s">
        <v>410</v>
      </c>
      <c r="D7" s="861"/>
      <c r="E7" s="861"/>
      <c r="F7" s="862"/>
      <c r="G7" s="348"/>
      <c r="H7" s="860" t="s">
        <v>409</v>
      </c>
      <c r="I7" s="863"/>
      <c r="J7" s="863"/>
      <c r="K7" s="863"/>
      <c r="L7" s="863"/>
      <c r="M7" s="863"/>
      <c r="N7" s="864"/>
      <c r="O7" s="348"/>
      <c r="P7" s="860" t="s">
        <v>406</v>
      </c>
      <c r="Q7" s="861"/>
      <c r="R7" s="861"/>
      <c r="S7" s="861"/>
      <c r="T7" s="862"/>
      <c r="U7"/>
    </row>
    <row r="8" spans="1:27" ht="13.8" x14ac:dyDescent="0.25">
      <c r="A8" s="46"/>
      <c r="B8" s="46"/>
      <c r="C8" s="520"/>
      <c r="D8" s="467"/>
      <c r="E8" s="467"/>
      <c r="F8" s="492"/>
      <c r="G8" s="345"/>
      <c r="H8" s="865" t="s">
        <v>422</v>
      </c>
      <c r="I8" s="866"/>
      <c r="J8" s="866"/>
      <c r="K8" s="466"/>
      <c r="L8" s="867" t="s">
        <v>421</v>
      </c>
      <c r="M8" s="866"/>
      <c r="N8" s="868"/>
      <c r="O8" s="345"/>
      <c r="P8" s="491">
        <f>+'1. Sülysáp összesen'!P8</f>
        <v>1</v>
      </c>
      <c r="Q8" s="349">
        <f>+' 2. Önk. Bevételek'!Q8</f>
        <v>1</v>
      </c>
      <c r="R8" s="349">
        <f>+'1. Sülysáp összesen'!R8</f>
        <v>0</v>
      </c>
      <c r="S8" s="467"/>
      <c r="T8" s="492"/>
      <c r="U8"/>
    </row>
    <row r="9" spans="1:27" ht="20.100000000000001" customHeight="1" x14ac:dyDescent="0.25">
      <c r="A9" s="350"/>
      <c r="B9" s="351" t="s">
        <v>377</v>
      </c>
      <c r="C9" s="493">
        <f>+C23</f>
        <v>1950141658.03</v>
      </c>
      <c r="D9" s="352">
        <f t="shared" ref="D9:J9" si="0">+D23</f>
        <v>1962128521</v>
      </c>
      <c r="E9" s="352">
        <f t="shared" si="0"/>
        <v>1972413317</v>
      </c>
      <c r="F9" s="521">
        <f t="shared" si="0"/>
        <v>0</v>
      </c>
      <c r="G9" s="352"/>
      <c r="H9" s="493">
        <f t="shared" si="0"/>
        <v>588369045</v>
      </c>
      <c r="I9" s="352">
        <f t="shared" si="0"/>
        <v>982943374</v>
      </c>
      <c r="J9" s="352">
        <f t="shared" si="0"/>
        <v>0</v>
      </c>
      <c r="K9" s="353"/>
      <c r="L9" s="354">
        <f>H9/C9</f>
        <v>0.30170579792360336</v>
      </c>
      <c r="M9" s="355">
        <f>I9/D9</f>
        <v>0.50095769134380774</v>
      </c>
      <c r="N9" s="494">
        <f>+J9/E9</f>
        <v>0</v>
      </c>
      <c r="O9" s="353"/>
      <c r="P9" s="493">
        <f>IF(D9&gt;0,+D9-C9,0)</f>
        <v>11986862.970000029</v>
      </c>
      <c r="Q9" s="352">
        <f>IF(E9&gt;0,+E9-D9,0)</f>
        <v>10284796</v>
      </c>
      <c r="R9" s="352">
        <f>IF(F9&gt;0,+F9-E9,0)</f>
        <v>0</v>
      </c>
      <c r="S9" s="352">
        <f>SUM(P9:R9)</f>
        <v>22271658.970000029</v>
      </c>
      <c r="T9" s="494">
        <f>+S9/C9</f>
        <v>1.1420533928031915E-2</v>
      </c>
      <c r="U9" s="250"/>
      <c r="V9" s="234">
        <f>+S9-E9+C9</f>
        <v>0</v>
      </c>
    </row>
    <row r="10" spans="1:27" ht="13.8" x14ac:dyDescent="0.25">
      <c r="A10" s="356"/>
      <c r="B10" s="357"/>
      <c r="C10" s="495"/>
      <c r="D10" s="345"/>
      <c r="E10" s="345"/>
      <c r="F10" s="522"/>
      <c r="G10" s="345"/>
      <c r="H10" s="495"/>
      <c r="I10" s="345"/>
      <c r="J10" s="345"/>
      <c r="K10" s="345"/>
      <c r="L10" s="358"/>
      <c r="M10" s="359"/>
      <c r="N10" s="496"/>
      <c r="O10" s="345"/>
      <c r="P10" s="495"/>
      <c r="Q10" s="345"/>
      <c r="R10" s="345"/>
      <c r="S10" s="345"/>
      <c r="T10" s="496"/>
      <c r="U10" s="242"/>
      <c r="V10" s="243"/>
    </row>
    <row r="11" spans="1:27" s="1" customFormat="1" ht="64.5" customHeight="1" x14ac:dyDescent="0.25">
      <c r="A11" s="360" t="s">
        <v>372</v>
      </c>
      <c r="B11" s="360" t="s">
        <v>370</v>
      </c>
      <c r="C11" s="523" t="s">
        <v>550</v>
      </c>
      <c r="D11" s="361" t="s">
        <v>551</v>
      </c>
      <c r="E11" s="361" t="s">
        <v>552</v>
      </c>
      <c r="F11" s="524" t="s">
        <v>575</v>
      </c>
      <c r="G11" s="361"/>
      <c r="H11" s="497" t="s">
        <v>553</v>
      </c>
      <c r="I11" s="362" t="s">
        <v>554</v>
      </c>
      <c r="J11" s="362" t="s">
        <v>574</v>
      </c>
      <c r="K11" s="361"/>
      <c r="L11" s="363" t="s">
        <v>555</v>
      </c>
      <c r="M11" s="363" t="s">
        <v>556</v>
      </c>
      <c r="N11" s="498" t="s">
        <v>576</v>
      </c>
      <c r="O11" s="361"/>
      <c r="P11" s="497" t="s">
        <v>630</v>
      </c>
      <c r="Q11" s="362" t="s">
        <v>558</v>
      </c>
      <c r="R11" s="362" t="s">
        <v>631</v>
      </c>
      <c r="S11" s="362" t="s">
        <v>407</v>
      </c>
      <c r="T11" s="498" t="s">
        <v>408</v>
      </c>
      <c r="U11" s="343"/>
      <c r="V11" s="132" t="s">
        <v>412</v>
      </c>
    </row>
    <row r="12" spans="1:27" x14ac:dyDescent="0.25">
      <c r="A12" s="364"/>
      <c r="B12" s="47"/>
      <c r="C12" s="525"/>
      <c r="D12" s="365"/>
      <c r="E12" s="365"/>
      <c r="F12" s="526"/>
      <c r="G12" s="365"/>
      <c r="H12" s="499"/>
      <c r="I12" s="344"/>
      <c r="J12" s="344"/>
      <c r="K12" s="365"/>
      <c r="L12" s="358"/>
      <c r="M12" s="366"/>
      <c r="N12" s="512"/>
      <c r="O12" s="365"/>
      <c r="P12" s="499"/>
      <c r="Q12" s="344"/>
      <c r="R12" s="344"/>
      <c r="S12" s="344"/>
      <c r="T12" s="500"/>
      <c r="U12" s="369"/>
      <c r="V12" s="196"/>
    </row>
    <row r="13" spans="1:27" x14ac:dyDescent="0.25">
      <c r="A13" s="34" t="s">
        <v>0</v>
      </c>
      <c r="B13" s="517" t="s">
        <v>3</v>
      </c>
      <c r="C13" s="160">
        <f>+C37</f>
        <v>427595554</v>
      </c>
      <c r="D13" s="160">
        <f t="shared" ref="D13:E13" si="1">+D37</f>
        <v>440289654</v>
      </c>
      <c r="E13" s="160">
        <f t="shared" si="1"/>
        <v>440573451</v>
      </c>
      <c r="F13" s="160">
        <f t="shared" ref="F13:J13" si="2">+F37</f>
        <v>0</v>
      </c>
      <c r="G13" s="509"/>
      <c r="H13" s="160">
        <f t="shared" si="2"/>
        <v>206440974</v>
      </c>
      <c r="I13" s="160">
        <f t="shared" si="2"/>
        <v>316775768</v>
      </c>
      <c r="J13" s="160">
        <f t="shared" si="2"/>
        <v>0</v>
      </c>
      <c r="K13" s="160"/>
      <c r="L13" s="35">
        <f t="shared" ref="L13:N19" si="3">H13/D13</f>
        <v>0.46887536903149668</v>
      </c>
      <c r="M13" s="35">
        <f t="shared" si="3"/>
        <v>0.71900784598116874</v>
      </c>
      <c r="N13" s="35" t="e">
        <f t="shared" si="3"/>
        <v>#DIV/0!</v>
      </c>
      <c r="O13" s="509"/>
      <c r="P13" s="175">
        <f t="shared" ref="P13:R21" si="4">+(D13-C13)*P$8</f>
        <v>12694100</v>
      </c>
      <c r="Q13" s="175">
        <f t="shared" si="4"/>
        <v>283797</v>
      </c>
      <c r="R13" s="175">
        <f t="shared" si="4"/>
        <v>0</v>
      </c>
      <c r="S13" s="175">
        <f t="shared" ref="S13:S21" si="5">SUM(P13:R13)</f>
        <v>12977897</v>
      </c>
      <c r="T13" s="176">
        <f t="shared" ref="T13:T24" si="6">IF(C13=0,0,+S13/C13)</f>
        <v>3.0350869831541793E-2</v>
      </c>
      <c r="U13" s="488"/>
      <c r="V13" s="243">
        <f t="shared" ref="V13:V24" si="7">+S13-E13+C13</f>
        <v>0</v>
      </c>
    </row>
    <row r="14" spans="1:27" ht="15" customHeight="1" x14ac:dyDescent="0.25">
      <c r="A14" s="34" t="s">
        <v>26</v>
      </c>
      <c r="B14" s="517" t="s">
        <v>455</v>
      </c>
      <c r="C14" s="160">
        <f>+C49</f>
        <v>82881356.030000001</v>
      </c>
      <c r="D14" s="160">
        <f t="shared" ref="D14:E14" si="8">+D49</f>
        <v>83128031</v>
      </c>
      <c r="E14" s="160">
        <f t="shared" si="8"/>
        <v>83150829</v>
      </c>
      <c r="F14" s="160">
        <f t="shared" ref="F14:J14" si="9">+F49</f>
        <v>0</v>
      </c>
      <c r="G14" s="509"/>
      <c r="H14" s="160">
        <f t="shared" si="9"/>
        <v>44058096</v>
      </c>
      <c r="I14" s="160">
        <f t="shared" si="9"/>
        <v>63733664</v>
      </c>
      <c r="J14" s="160">
        <f t="shared" si="9"/>
        <v>0</v>
      </c>
      <c r="K14" s="160"/>
      <c r="L14" s="35">
        <f t="shared" si="3"/>
        <v>0.53000288194002809</v>
      </c>
      <c r="M14" s="35">
        <f t="shared" si="3"/>
        <v>0.76648260476152319</v>
      </c>
      <c r="N14" s="35" t="e">
        <f t="shared" si="3"/>
        <v>#DIV/0!</v>
      </c>
      <c r="O14" s="509"/>
      <c r="P14" s="175">
        <f t="shared" si="4"/>
        <v>246674.96999999881</v>
      </c>
      <c r="Q14" s="175">
        <f t="shared" si="4"/>
        <v>22798</v>
      </c>
      <c r="R14" s="175">
        <f t="shared" si="4"/>
        <v>0</v>
      </c>
      <c r="S14" s="175">
        <f t="shared" si="5"/>
        <v>269472.96999999881</v>
      </c>
      <c r="T14" s="176">
        <f t="shared" si="6"/>
        <v>3.2513098591492578E-3</v>
      </c>
      <c r="U14" s="488"/>
      <c r="V14" s="243">
        <f t="shared" si="7"/>
        <v>0</v>
      </c>
    </row>
    <row r="15" spans="1:27" x14ac:dyDescent="0.25">
      <c r="A15" s="34" t="s">
        <v>29</v>
      </c>
      <c r="B15" s="517" t="s">
        <v>30</v>
      </c>
      <c r="C15" s="160">
        <f>+C61</f>
        <v>297819000</v>
      </c>
      <c r="D15" s="376">
        <f t="shared" ref="D15:E15" si="10">+D61</f>
        <v>285175143</v>
      </c>
      <c r="E15" s="160">
        <f t="shared" si="10"/>
        <v>339446765</v>
      </c>
      <c r="F15" s="160">
        <f t="shared" ref="F15:J15" si="11">+F61</f>
        <v>0</v>
      </c>
      <c r="G15" s="509"/>
      <c r="H15" s="376">
        <f t="shared" si="11"/>
        <v>127489245</v>
      </c>
      <c r="I15" s="376">
        <f t="shared" si="11"/>
        <v>214632445</v>
      </c>
      <c r="J15" s="160">
        <f t="shared" si="11"/>
        <v>0</v>
      </c>
      <c r="K15" s="160"/>
      <c r="L15" s="35">
        <f t="shared" si="3"/>
        <v>0.44705595185762736</v>
      </c>
      <c r="M15" s="35">
        <f t="shared" si="3"/>
        <v>0.63230075266735863</v>
      </c>
      <c r="N15" s="35" t="e">
        <f t="shared" si="3"/>
        <v>#DIV/0!</v>
      </c>
      <c r="O15" s="509"/>
      <c r="P15" s="175">
        <f t="shared" si="4"/>
        <v>-12643857</v>
      </c>
      <c r="Q15" s="175">
        <f t="shared" si="4"/>
        <v>54271622</v>
      </c>
      <c r="R15" s="175">
        <f t="shared" si="4"/>
        <v>0</v>
      </c>
      <c r="S15" s="175">
        <f t="shared" si="5"/>
        <v>41627765</v>
      </c>
      <c r="T15" s="176">
        <f t="shared" si="6"/>
        <v>0.13977538370621082</v>
      </c>
      <c r="U15" s="488"/>
      <c r="V15" s="243">
        <f t="shared" si="7"/>
        <v>0</v>
      </c>
    </row>
    <row r="16" spans="1:27" x14ac:dyDescent="0.25">
      <c r="A16" s="34" t="s">
        <v>111</v>
      </c>
      <c r="B16" s="517" t="s">
        <v>112</v>
      </c>
      <c r="C16" s="160">
        <f>+C73</f>
        <v>22100000</v>
      </c>
      <c r="D16" s="160">
        <f t="shared" ref="D16:E16" si="12">+D73</f>
        <v>24267500</v>
      </c>
      <c r="E16" s="160">
        <f t="shared" si="12"/>
        <v>20200000</v>
      </c>
      <c r="F16" s="160">
        <f t="shared" ref="F16:J16" si="13">+F73</f>
        <v>0</v>
      </c>
      <c r="G16" s="509"/>
      <c r="H16" s="160">
        <f t="shared" si="13"/>
        <v>7396231</v>
      </c>
      <c r="I16" s="160">
        <f t="shared" si="13"/>
        <v>10496866</v>
      </c>
      <c r="J16" s="160">
        <f t="shared" si="13"/>
        <v>0</v>
      </c>
      <c r="K16" s="160"/>
      <c r="L16" s="35">
        <f t="shared" si="3"/>
        <v>0.30477927268981148</v>
      </c>
      <c r="M16" s="35">
        <f t="shared" si="3"/>
        <v>0.51964683168316828</v>
      </c>
      <c r="N16" s="35" t="e">
        <f t="shared" si="3"/>
        <v>#DIV/0!</v>
      </c>
      <c r="O16" s="509"/>
      <c r="P16" s="175">
        <f t="shared" si="4"/>
        <v>2167500</v>
      </c>
      <c r="Q16" s="175">
        <f t="shared" si="4"/>
        <v>-4067500</v>
      </c>
      <c r="R16" s="175">
        <f t="shared" si="4"/>
        <v>0</v>
      </c>
      <c r="S16" s="175">
        <f t="shared" si="5"/>
        <v>-1900000</v>
      </c>
      <c r="T16" s="176">
        <f t="shared" si="6"/>
        <v>-8.5972850678733032E-2</v>
      </c>
      <c r="U16" s="488"/>
      <c r="V16" s="243">
        <f t="shared" si="7"/>
        <v>0</v>
      </c>
    </row>
    <row r="17" spans="1:22" x14ac:dyDescent="0.25">
      <c r="A17" s="34" t="s">
        <v>375</v>
      </c>
      <c r="B17" s="517" t="s">
        <v>141</v>
      </c>
      <c r="C17" s="160">
        <f>+C85</f>
        <v>106777000</v>
      </c>
      <c r="D17" s="160">
        <f t="shared" ref="D17:E17" si="14">+D85</f>
        <v>114831425</v>
      </c>
      <c r="E17" s="160">
        <f t="shared" si="14"/>
        <v>126926504</v>
      </c>
      <c r="F17" s="160">
        <f t="shared" ref="F17:J17" si="15">+F85</f>
        <v>0</v>
      </c>
      <c r="G17" s="509"/>
      <c r="H17" s="160">
        <f t="shared" si="15"/>
        <v>68417711</v>
      </c>
      <c r="I17" s="160">
        <f t="shared" si="15"/>
        <v>111271404</v>
      </c>
      <c r="J17" s="160">
        <f t="shared" si="15"/>
        <v>0</v>
      </c>
      <c r="K17" s="160"/>
      <c r="L17" s="35">
        <f t="shared" si="3"/>
        <v>0.59580999713275351</v>
      </c>
      <c r="M17" s="35">
        <f t="shared" si="3"/>
        <v>0.87666011820509926</v>
      </c>
      <c r="N17" s="35" t="e">
        <f t="shared" si="3"/>
        <v>#DIV/0!</v>
      </c>
      <c r="O17" s="509"/>
      <c r="P17" s="175">
        <f t="shared" si="4"/>
        <v>8054425</v>
      </c>
      <c r="Q17" s="175">
        <f t="shared" si="4"/>
        <v>12095079</v>
      </c>
      <c r="R17" s="175">
        <f t="shared" si="4"/>
        <v>0</v>
      </c>
      <c r="S17" s="175">
        <f t="shared" si="5"/>
        <v>20149504</v>
      </c>
      <c r="T17" s="176">
        <f t="shared" si="6"/>
        <v>0.18870640681045545</v>
      </c>
      <c r="U17" s="488"/>
      <c r="V17" s="243">
        <f t="shared" si="7"/>
        <v>0</v>
      </c>
    </row>
    <row r="18" spans="1:22" x14ac:dyDescent="0.25">
      <c r="A18" s="34" t="s">
        <v>158</v>
      </c>
      <c r="B18" s="517" t="s">
        <v>159</v>
      </c>
      <c r="C18" s="160">
        <f>+C97</f>
        <v>796250000</v>
      </c>
      <c r="D18" s="160">
        <f t="shared" ref="D18:E18" si="16">+D97</f>
        <v>797718020</v>
      </c>
      <c r="E18" s="160">
        <f t="shared" si="16"/>
        <v>746934020</v>
      </c>
      <c r="F18" s="160">
        <f t="shared" ref="F18:J18" si="17">+F97</f>
        <v>0</v>
      </c>
      <c r="G18" s="509"/>
      <c r="H18" s="160">
        <f t="shared" si="17"/>
        <v>100910696</v>
      </c>
      <c r="I18" s="160">
        <f t="shared" si="17"/>
        <v>179839289</v>
      </c>
      <c r="J18" s="160">
        <f t="shared" si="17"/>
        <v>0</v>
      </c>
      <c r="K18" s="160"/>
      <c r="L18" s="35">
        <f t="shared" si="3"/>
        <v>0.12649920582212748</v>
      </c>
      <c r="M18" s="35">
        <f t="shared" si="3"/>
        <v>0.24076997992406343</v>
      </c>
      <c r="N18" s="35" t="e">
        <f t="shared" si="3"/>
        <v>#DIV/0!</v>
      </c>
      <c r="O18" s="509"/>
      <c r="P18" s="175">
        <f t="shared" si="4"/>
        <v>1468020</v>
      </c>
      <c r="Q18" s="175">
        <f t="shared" si="4"/>
        <v>-50784000</v>
      </c>
      <c r="R18" s="175">
        <f t="shared" si="4"/>
        <v>0</v>
      </c>
      <c r="S18" s="175">
        <f t="shared" si="5"/>
        <v>-49315980</v>
      </c>
      <c r="T18" s="176">
        <f t="shared" si="6"/>
        <v>-6.1935296703296706E-2</v>
      </c>
      <c r="U18" s="488"/>
      <c r="V18" s="243">
        <f t="shared" si="7"/>
        <v>0</v>
      </c>
    </row>
    <row r="19" spans="1:22" x14ac:dyDescent="0.25">
      <c r="A19" s="34" t="s">
        <v>173</v>
      </c>
      <c r="B19" s="517" t="s">
        <v>174</v>
      </c>
      <c r="C19" s="160">
        <f>+C109</f>
        <v>198800000</v>
      </c>
      <c r="D19" s="160">
        <f t="shared" ref="D19:E19" si="18">+D109</f>
        <v>198800000</v>
      </c>
      <c r="E19" s="160">
        <f t="shared" si="18"/>
        <v>197263000</v>
      </c>
      <c r="F19" s="160">
        <f t="shared" ref="F19:J19" si="19">+F109</f>
        <v>0</v>
      </c>
      <c r="G19" s="509"/>
      <c r="H19" s="160">
        <f t="shared" si="19"/>
        <v>15737344</v>
      </c>
      <c r="I19" s="160">
        <f t="shared" si="19"/>
        <v>68275190</v>
      </c>
      <c r="J19" s="160">
        <f t="shared" si="19"/>
        <v>0</v>
      </c>
      <c r="K19" s="160"/>
      <c r="L19" s="35">
        <f t="shared" si="3"/>
        <v>7.9161690140845065E-2</v>
      </c>
      <c r="M19" s="35">
        <f t="shared" si="3"/>
        <v>0.34611249955642975</v>
      </c>
      <c r="N19" s="35" t="e">
        <f t="shared" si="3"/>
        <v>#DIV/0!</v>
      </c>
      <c r="O19" s="509"/>
      <c r="P19" s="175">
        <f t="shared" si="4"/>
        <v>0</v>
      </c>
      <c r="Q19" s="175">
        <f t="shared" si="4"/>
        <v>-1537000</v>
      </c>
      <c r="R19" s="175">
        <f t="shared" si="4"/>
        <v>0</v>
      </c>
      <c r="S19" s="175">
        <f t="shared" si="5"/>
        <v>-1537000</v>
      </c>
      <c r="T19" s="176">
        <f t="shared" si="6"/>
        <v>-7.731388329979879E-3</v>
      </c>
      <c r="U19" s="488"/>
      <c r="V19" s="243">
        <f t="shared" si="7"/>
        <v>0</v>
      </c>
    </row>
    <row r="20" spans="1:22" x14ac:dyDescent="0.25">
      <c r="A20" s="34" t="s">
        <v>183</v>
      </c>
      <c r="B20" s="517" t="s">
        <v>184</v>
      </c>
      <c r="C20" s="160">
        <f>+C121</f>
        <v>0</v>
      </c>
      <c r="D20" s="160">
        <f t="shared" ref="D20:E20" si="20">+D121</f>
        <v>0</v>
      </c>
      <c r="E20" s="160">
        <f t="shared" si="20"/>
        <v>0</v>
      </c>
      <c r="F20" s="160">
        <f t="shared" ref="F20:J20" si="21">+F121</f>
        <v>0</v>
      </c>
      <c r="G20" s="509"/>
      <c r="H20" s="160">
        <f t="shared" si="21"/>
        <v>0</v>
      </c>
      <c r="I20" s="160">
        <f t="shared" si="21"/>
        <v>0</v>
      </c>
      <c r="J20" s="160">
        <f t="shared" si="21"/>
        <v>0</v>
      </c>
      <c r="K20" s="160"/>
      <c r="L20" s="35">
        <v>0</v>
      </c>
      <c r="M20" s="35">
        <v>0</v>
      </c>
      <c r="N20" s="35">
        <v>0</v>
      </c>
      <c r="O20" s="509"/>
      <c r="P20" s="175">
        <f t="shared" si="4"/>
        <v>0</v>
      </c>
      <c r="Q20" s="175">
        <f t="shared" si="4"/>
        <v>0</v>
      </c>
      <c r="R20" s="175">
        <f t="shared" si="4"/>
        <v>0</v>
      </c>
      <c r="S20" s="175">
        <f t="shared" si="5"/>
        <v>0</v>
      </c>
      <c r="T20" s="176">
        <f t="shared" si="6"/>
        <v>0</v>
      </c>
      <c r="U20" s="488"/>
      <c r="V20" s="243">
        <f t="shared" si="7"/>
        <v>0</v>
      </c>
    </row>
    <row r="21" spans="1:22" x14ac:dyDescent="0.25">
      <c r="A21" s="34" t="s">
        <v>201</v>
      </c>
      <c r="B21" s="517" t="s">
        <v>202</v>
      </c>
      <c r="C21" s="160">
        <f>+C133</f>
        <v>535243607.02999997</v>
      </c>
      <c r="D21" s="160">
        <f t="shared" ref="D21:E21" si="22">+D133</f>
        <v>544090785</v>
      </c>
      <c r="E21" s="160">
        <f t="shared" si="22"/>
        <v>547364785</v>
      </c>
      <c r="F21" s="160">
        <f t="shared" ref="F21:J21" si="23">+F133</f>
        <v>0</v>
      </c>
      <c r="G21" s="509"/>
      <c r="H21" s="160">
        <f t="shared" si="23"/>
        <v>277698930</v>
      </c>
      <c r="I21" s="160">
        <f t="shared" si="23"/>
        <v>402220672</v>
      </c>
      <c r="J21" s="160">
        <f t="shared" si="23"/>
        <v>0</v>
      </c>
      <c r="K21" s="160"/>
      <c r="L21" s="35">
        <f>+H21/D21</f>
        <v>0.51039079810917953</v>
      </c>
      <c r="M21" s="35">
        <f>+I21/E21</f>
        <v>0.73483110901991988</v>
      </c>
      <c r="N21" s="35" t="e">
        <f>+J21/F21</f>
        <v>#DIV/0!</v>
      </c>
      <c r="O21" s="509"/>
      <c r="P21" s="175">
        <f t="shared" si="4"/>
        <v>8847177.9700000286</v>
      </c>
      <c r="Q21" s="175">
        <f t="shared" si="4"/>
        <v>3274000</v>
      </c>
      <c r="R21" s="175">
        <f t="shared" si="4"/>
        <v>0</v>
      </c>
      <c r="S21" s="175">
        <f t="shared" si="5"/>
        <v>12121177.970000029</v>
      </c>
      <c r="T21" s="176">
        <f t="shared" si="6"/>
        <v>2.2646095741822931E-2</v>
      </c>
      <c r="U21" s="488"/>
      <c r="V21" s="243">
        <f t="shared" si="7"/>
        <v>0</v>
      </c>
    </row>
    <row r="22" spans="1:22" x14ac:dyDescent="0.25">
      <c r="A22" s="34"/>
      <c r="B22" s="517" t="s">
        <v>448</v>
      </c>
      <c r="C22" s="160">
        <f>-C145</f>
        <v>-517324859.02999997</v>
      </c>
      <c r="D22" s="160">
        <f t="shared" ref="D22:J22" si="24">-D145</f>
        <v>-526172037</v>
      </c>
      <c r="E22" s="160">
        <f t="shared" si="24"/>
        <v>-529446037</v>
      </c>
      <c r="F22" s="160">
        <f t="shared" si="24"/>
        <v>0</v>
      </c>
      <c r="G22" s="509"/>
      <c r="H22" s="160">
        <f t="shared" si="24"/>
        <v>-259780182</v>
      </c>
      <c r="I22" s="160">
        <f t="shared" si="24"/>
        <v>-384301924</v>
      </c>
      <c r="J22" s="160">
        <f t="shared" si="24"/>
        <v>0</v>
      </c>
      <c r="K22" s="160"/>
      <c r="L22" s="35"/>
      <c r="M22" s="35"/>
      <c r="N22" s="35"/>
      <c r="O22" s="509"/>
      <c r="P22" s="160">
        <f t="shared" ref="P22:S22" si="25">-P145</f>
        <v>-8847177.9699999988</v>
      </c>
      <c r="Q22" s="160">
        <f t="shared" si="25"/>
        <v>-3274000</v>
      </c>
      <c r="R22" s="160">
        <f t="shared" si="25"/>
        <v>0</v>
      </c>
      <c r="S22" s="160">
        <f t="shared" si="25"/>
        <v>-12121177.969999999</v>
      </c>
      <c r="T22" s="176">
        <f t="shared" si="6"/>
        <v>2.3430495864296141E-2</v>
      </c>
      <c r="U22" s="488"/>
      <c r="V22" s="243">
        <f t="shared" si="7"/>
        <v>0</v>
      </c>
    </row>
    <row r="23" spans="1:22" x14ac:dyDescent="0.25">
      <c r="A23" s="12"/>
      <c r="B23" s="518" t="s">
        <v>377</v>
      </c>
      <c r="C23" s="164">
        <f>SUM(C13:C22)</f>
        <v>1950141658.03</v>
      </c>
      <c r="D23" s="164">
        <f t="shared" ref="D23:F23" si="26">SUM(D13:D22)</f>
        <v>1962128521</v>
      </c>
      <c r="E23" s="164">
        <f t="shared" si="26"/>
        <v>1972413317</v>
      </c>
      <c r="F23" s="164">
        <f t="shared" si="26"/>
        <v>0</v>
      </c>
      <c r="G23" s="510"/>
      <c r="H23" s="164">
        <f t="shared" ref="H23" si="27">SUM(H13:H22)</f>
        <v>588369045</v>
      </c>
      <c r="I23" s="164">
        <f t="shared" ref="I23" si="28">SUM(I13:I22)</f>
        <v>982943374</v>
      </c>
      <c r="J23" s="164">
        <f t="shared" ref="J23" si="29">SUM(J13:J22)</f>
        <v>0</v>
      </c>
      <c r="K23" s="164"/>
      <c r="L23" s="33">
        <f>H23/D23</f>
        <v>0.29986264340122704</v>
      </c>
      <c r="M23" s="33">
        <f>I23/E23</f>
        <v>0.49834553717931523</v>
      </c>
      <c r="N23" s="33" t="e">
        <f>J23/F23</f>
        <v>#DIV/0!</v>
      </c>
      <c r="O23" s="510"/>
      <c r="P23" s="164">
        <f>SUM(P13:P22)</f>
        <v>11986862.970000029</v>
      </c>
      <c r="Q23" s="164">
        <f>SUM(Q13:Q22)</f>
        <v>10284796</v>
      </c>
      <c r="R23" s="164">
        <f t="shared" ref="R23:S23" si="30">SUM(R13:R22)</f>
        <v>0</v>
      </c>
      <c r="S23" s="164">
        <f t="shared" si="30"/>
        <v>22271658.970000029</v>
      </c>
      <c r="T23" s="176">
        <f t="shared" si="6"/>
        <v>1.1420533928031915E-2</v>
      </c>
      <c r="U23" s="489"/>
      <c r="V23" s="243">
        <f t="shared" si="7"/>
        <v>0</v>
      </c>
    </row>
    <row r="24" spans="1:22" x14ac:dyDescent="0.25">
      <c r="A24" s="34"/>
      <c r="B24" s="519" t="s">
        <v>412</v>
      </c>
      <c r="C24" s="178"/>
      <c r="D24" s="178"/>
      <c r="E24" s="178"/>
      <c r="F24" s="178"/>
      <c r="G24" s="511"/>
      <c r="H24" s="178"/>
      <c r="I24" s="178"/>
      <c r="J24" s="178"/>
      <c r="K24" s="178"/>
      <c r="L24" s="370"/>
      <c r="M24" s="370"/>
      <c r="N24" s="370"/>
      <c r="O24" s="511"/>
      <c r="P24" s="178"/>
      <c r="Q24" s="178"/>
      <c r="R24" s="178"/>
      <c r="S24" s="178"/>
      <c r="T24" s="176">
        <f t="shared" si="6"/>
        <v>0</v>
      </c>
      <c r="U24" s="490"/>
      <c r="V24" s="243">
        <f t="shared" si="7"/>
        <v>0</v>
      </c>
    </row>
    <row r="25" spans="1:22" x14ac:dyDescent="0.25">
      <c r="C25" s="501"/>
      <c r="D25" s="74"/>
      <c r="E25" s="74"/>
      <c r="F25" s="527"/>
      <c r="G25" s="74"/>
      <c r="H25" s="501"/>
      <c r="K25" s="74"/>
      <c r="L25" s="87"/>
      <c r="M25" s="87"/>
      <c r="N25" s="502"/>
      <c r="O25" s="74"/>
      <c r="P25" s="501"/>
      <c r="Q25" s="73"/>
      <c r="R25" s="73"/>
      <c r="S25" s="73"/>
      <c r="T25" s="502"/>
      <c r="U25" s="74"/>
    </row>
    <row r="26" spans="1:22" x14ac:dyDescent="0.25">
      <c r="C26" s="501"/>
      <c r="D26" s="74"/>
      <c r="E26" s="74"/>
      <c r="F26" s="527"/>
      <c r="G26" s="74"/>
      <c r="H26" s="501"/>
      <c r="K26" s="74"/>
      <c r="L26" s="87"/>
      <c r="M26" s="87"/>
      <c r="N26" s="502"/>
      <c r="O26" s="74"/>
      <c r="P26" s="501"/>
      <c r="Q26" s="73"/>
      <c r="R26" s="73"/>
      <c r="S26" s="73"/>
      <c r="T26" s="502"/>
      <c r="U26" s="74"/>
    </row>
    <row r="27" spans="1:22" x14ac:dyDescent="0.25">
      <c r="C27" s="501"/>
      <c r="D27" s="74"/>
      <c r="E27" s="74"/>
      <c r="F27" s="527"/>
      <c r="G27" s="74"/>
      <c r="H27" s="501"/>
      <c r="K27" s="74"/>
      <c r="L27" s="87"/>
      <c r="M27" s="87"/>
      <c r="N27" s="502"/>
      <c r="O27" s="74"/>
      <c r="P27" s="501"/>
      <c r="Q27" s="73"/>
      <c r="R27" s="73"/>
      <c r="S27" s="73"/>
      <c r="T27" s="502"/>
      <c r="U27" s="74"/>
    </row>
    <row r="28" spans="1:22" x14ac:dyDescent="0.25">
      <c r="A28" s="322" t="s">
        <v>0</v>
      </c>
      <c r="B28" s="322" t="str">
        <f>+'3. Önk. Kiadások'!B13</f>
        <v>Személyi juttatások</v>
      </c>
      <c r="C28" s="501"/>
      <c r="D28" s="74"/>
      <c r="E28" s="74"/>
      <c r="F28" s="527"/>
      <c r="G28" s="74"/>
      <c r="H28" s="501"/>
      <c r="K28" s="74"/>
      <c r="L28" s="87"/>
      <c r="M28" s="87"/>
      <c r="N28" s="502"/>
      <c r="O28" s="74"/>
      <c r="P28" s="501"/>
      <c r="Q28" s="73"/>
      <c r="R28" s="73"/>
      <c r="S28" s="73"/>
      <c r="T28" s="502"/>
      <c r="U28" s="74"/>
    </row>
    <row r="29" spans="1:22" x14ac:dyDescent="0.25">
      <c r="B29" s="22" t="str">
        <f>+'3. Önk. Kiadások'!A1</f>
        <v>Sülysáp Város Önkormányzata</v>
      </c>
      <c r="C29" s="501">
        <f>+'3. Önk. Kiadások'!C13</f>
        <v>66622000</v>
      </c>
      <c r="D29" s="73">
        <f>+'3. Önk. Kiadások'!D13</f>
        <v>68241000</v>
      </c>
      <c r="E29" s="73">
        <f>+'3. Önk. Kiadások'!E13</f>
        <v>68524797</v>
      </c>
      <c r="F29" s="462">
        <f>+'3. Önk. Kiadások'!F13</f>
        <v>0</v>
      </c>
      <c r="G29" s="73">
        <f>+'3. Önk. Kiadások'!G13</f>
        <v>0</v>
      </c>
      <c r="H29" s="501">
        <f>+'3. Önk. Kiadások'!H13</f>
        <v>33091181</v>
      </c>
      <c r="I29" s="73">
        <f>+'3. Önk. Kiadások'!I13</f>
        <v>52878824</v>
      </c>
      <c r="J29" s="73">
        <f>+'3. Önk. Kiadások'!J13</f>
        <v>0</v>
      </c>
      <c r="K29" s="73"/>
      <c r="L29" s="73"/>
      <c r="M29" s="73"/>
      <c r="N29" s="462"/>
      <c r="O29" s="73"/>
      <c r="P29" s="501">
        <f>+'3. Önk. Kiadások'!P13</f>
        <v>1619000</v>
      </c>
      <c r="Q29" s="73">
        <f>+'3. Önk. Kiadások'!Q13</f>
        <v>283797</v>
      </c>
      <c r="R29" s="73">
        <f>+'3. Önk. Kiadások'!R13</f>
        <v>0</v>
      </c>
      <c r="S29" s="73">
        <f>+'3. Önk. Kiadások'!S13</f>
        <v>1902797</v>
      </c>
      <c r="T29" s="502"/>
      <c r="U29" s="74"/>
    </row>
    <row r="30" spans="1:22" x14ac:dyDescent="0.25">
      <c r="B30" s="56" t="s">
        <v>456</v>
      </c>
      <c r="C30" s="501">
        <f>+'4. Dr Gáspár HSZK'!C13</f>
        <v>26281954</v>
      </c>
      <c r="D30" s="73">
        <f>+'4. Dr Gáspár HSZK'!D13</f>
        <v>26281954</v>
      </c>
      <c r="E30" s="73">
        <f>+'4. Dr Gáspár HSZK'!E13</f>
        <v>26281954</v>
      </c>
      <c r="F30" s="462">
        <f>+'4. Dr Gáspár HSZK'!F13</f>
        <v>0</v>
      </c>
      <c r="G30" s="73"/>
      <c r="H30" s="501">
        <f>+'4. Dr Gáspár HSZK'!H13</f>
        <v>11842617</v>
      </c>
      <c r="I30" s="73">
        <f>+'4. Dr Gáspár HSZK'!I13</f>
        <v>18141800</v>
      </c>
      <c r="J30" s="73">
        <f>+'4. Dr Gáspár HSZK'!J13</f>
        <v>0</v>
      </c>
      <c r="K30" s="73"/>
      <c r="L30" s="73"/>
      <c r="M30" s="73"/>
      <c r="N30" s="462"/>
      <c r="O30" s="73"/>
      <c r="P30" s="501">
        <f>+'4. Dr Gáspár HSZK'!P13</f>
        <v>0</v>
      </c>
      <c r="Q30" s="73">
        <f>+'4. Dr Gáspár HSZK'!Q13</f>
        <v>0</v>
      </c>
      <c r="R30" s="73">
        <f>+'4. Dr Gáspár HSZK'!R13</f>
        <v>0</v>
      </c>
      <c r="S30" s="73">
        <f>+'4. Dr Gáspár HSZK'!S13</f>
        <v>0</v>
      </c>
      <c r="T30" s="502"/>
      <c r="U30" s="74"/>
    </row>
    <row r="31" spans="1:22" x14ac:dyDescent="0.25">
      <c r="B31" s="56" t="s">
        <v>462</v>
      </c>
      <c r="C31" s="501">
        <f>+'5. Csicsergő'!C13</f>
        <v>145684000</v>
      </c>
      <c r="D31" s="73">
        <f>+'5. Csicsergő'!D13</f>
        <v>145684000</v>
      </c>
      <c r="E31" s="73">
        <f>+'5. Csicsergő'!E13</f>
        <v>145684000</v>
      </c>
      <c r="F31" s="462">
        <f>+'5. Csicsergő'!F13</f>
        <v>0</v>
      </c>
      <c r="G31" s="73"/>
      <c r="H31" s="501">
        <f>+'5. Csicsergő'!H13</f>
        <v>69259443</v>
      </c>
      <c r="I31" s="73">
        <f>+'5. Csicsergő'!I13</f>
        <v>106851886</v>
      </c>
      <c r="J31" s="73">
        <f>+'5. Csicsergő'!J13</f>
        <v>0</v>
      </c>
      <c r="K31" s="73"/>
      <c r="L31" s="73"/>
      <c r="M31" s="73"/>
      <c r="N31" s="462"/>
      <c r="O31" s="73"/>
      <c r="P31" s="501">
        <f>+'5. Csicsergő'!P13</f>
        <v>0</v>
      </c>
      <c r="Q31" s="73">
        <f>+'5. Csicsergő'!Q13</f>
        <v>0</v>
      </c>
      <c r="R31" s="73">
        <f>+'5. Csicsergő'!R13</f>
        <v>0</v>
      </c>
      <c r="S31" s="73">
        <f>+'5. Csicsergő'!S13</f>
        <v>0</v>
      </c>
      <c r="T31" s="502"/>
      <c r="U31" s="74"/>
    </row>
    <row r="32" spans="1:22" x14ac:dyDescent="0.25">
      <c r="B32" s="56" t="s">
        <v>463</v>
      </c>
      <c r="C32" s="501">
        <f>+'6. Gólyahír'!C13</f>
        <v>43340000</v>
      </c>
      <c r="D32" s="73">
        <f>+'6. Gólyahír'!D13</f>
        <v>43340000</v>
      </c>
      <c r="E32" s="73">
        <f>+'6. Gólyahír'!E13</f>
        <v>43340000</v>
      </c>
      <c r="F32" s="462">
        <f>+'6. Gólyahír'!F13</f>
        <v>0</v>
      </c>
      <c r="G32" s="73"/>
      <c r="H32" s="501">
        <f>+'6. Gólyahír'!H13</f>
        <v>20669168</v>
      </c>
      <c r="I32" s="73">
        <f>+'6. Gólyahír'!I13</f>
        <v>31333670</v>
      </c>
      <c r="J32" s="73">
        <f>+'6. Gólyahír'!J13</f>
        <v>0</v>
      </c>
      <c r="K32" s="73"/>
      <c r="L32" s="73"/>
      <c r="M32" s="73"/>
      <c r="N32" s="462"/>
      <c r="O32" s="73"/>
      <c r="P32" s="501">
        <f>+'6. Gólyahír'!P13</f>
        <v>0</v>
      </c>
      <c r="Q32" s="73">
        <f>+'6. Gólyahír'!Q13</f>
        <v>0</v>
      </c>
      <c r="R32" s="73">
        <f>+'6. Gólyahír'!R13</f>
        <v>0</v>
      </c>
      <c r="S32" s="73">
        <f>+'6. Gólyahír'!S13</f>
        <v>0</v>
      </c>
      <c r="T32" s="502"/>
      <c r="U32" s="74"/>
    </row>
    <row r="33" spans="1:21" x14ac:dyDescent="0.25">
      <c r="B33" s="320" t="s">
        <v>458</v>
      </c>
      <c r="C33" s="501">
        <f>+'7. Polg.Hiv.'!C13</f>
        <v>102325600</v>
      </c>
      <c r="D33" s="73">
        <f>+'7. Polg.Hiv.'!D13</f>
        <v>113400700</v>
      </c>
      <c r="E33" s="73">
        <f>+'7. Polg.Hiv.'!E13</f>
        <v>113400700</v>
      </c>
      <c r="F33" s="462">
        <f>+'7. Polg.Hiv.'!F13</f>
        <v>0</v>
      </c>
      <c r="G33" s="73"/>
      <c r="H33" s="501">
        <f>+'7. Polg.Hiv.'!H13</f>
        <v>51012328</v>
      </c>
      <c r="I33" s="73">
        <f>+'7. Polg.Hiv.'!I13</f>
        <v>76482976</v>
      </c>
      <c r="J33" s="73">
        <f>+'7. Polg.Hiv.'!J13</f>
        <v>0</v>
      </c>
      <c r="K33" s="73"/>
      <c r="L33" s="73"/>
      <c r="M33" s="73"/>
      <c r="N33" s="462"/>
      <c r="O33" s="73"/>
      <c r="P33" s="501">
        <f>+'7. Polg.Hiv.'!P13</f>
        <v>11075100</v>
      </c>
      <c r="Q33" s="73">
        <f>+'7. Polg.Hiv.'!Q13</f>
        <v>0</v>
      </c>
      <c r="R33" s="73">
        <f>+'7. Polg.Hiv.'!R13</f>
        <v>0</v>
      </c>
      <c r="S33" s="73">
        <f>+'7. Polg.Hiv.'!S13</f>
        <v>11075100</v>
      </c>
      <c r="T33" s="502"/>
      <c r="U33" s="74"/>
    </row>
    <row r="34" spans="1:21" x14ac:dyDescent="0.25">
      <c r="B34" s="73" t="s">
        <v>429</v>
      </c>
      <c r="C34" s="501">
        <f>+'8. WAMKK'!C13</f>
        <v>13970000</v>
      </c>
      <c r="D34" s="73">
        <f>+'8. WAMKK'!D13</f>
        <v>13970000</v>
      </c>
      <c r="E34" s="73">
        <f>+'8. WAMKK'!E13</f>
        <v>13970000</v>
      </c>
      <c r="F34" s="462">
        <f>+'8. WAMKK'!F13</f>
        <v>0</v>
      </c>
      <c r="G34" s="73"/>
      <c r="H34" s="501">
        <f>+'8. WAMKK'!H13</f>
        <v>6042177</v>
      </c>
      <c r="I34" s="73">
        <f>+'8. WAMKK'!I13</f>
        <v>9018873</v>
      </c>
      <c r="J34" s="73">
        <f>+'8. WAMKK'!J13</f>
        <v>0</v>
      </c>
      <c r="K34" s="73"/>
      <c r="L34" s="73"/>
      <c r="M34" s="73"/>
      <c r="N34" s="462"/>
      <c r="O34" s="73"/>
      <c r="P34" s="501">
        <f>+'8. WAMKK'!P13</f>
        <v>0</v>
      </c>
      <c r="Q34" s="73">
        <f>+'8. WAMKK'!Q13</f>
        <v>0</v>
      </c>
      <c r="R34" s="73">
        <f>+'8. WAMKK'!R13</f>
        <v>0</v>
      </c>
      <c r="S34" s="73">
        <f>+'8. WAMKK'!S13</f>
        <v>0</v>
      </c>
      <c r="T34" s="502"/>
      <c r="U34" s="74"/>
    </row>
    <row r="35" spans="1:21" x14ac:dyDescent="0.25">
      <c r="B35" s="73" t="s">
        <v>430</v>
      </c>
      <c r="C35" s="501">
        <f>+'9. Közp. Konyha'!C13</f>
        <v>29372000</v>
      </c>
      <c r="D35" s="73">
        <f>+'9. Közp. Konyha'!D13</f>
        <v>29372000</v>
      </c>
      <c r="E35" s="73">
        <f>+'9. Közp. Konyha'!E13</f>
        <v>29372000</v>
      </c>
      <c r="F35" s="462">
        <f>+'9. Közp. Konyha'!F13</f>
        <v>0</v>
      </c>
      <c r="G35" s="73"/>
      <c r="H35" s="501">
        <f>+'9. Közp. Konyha'!H13</f>
        <v>14524060</v>
      </c>
      <c r="I35" s="73">
        <f>+'9. Közp. Konyha'!I13</f>
        <v>22067739</v>
      </c>
      <c r="J35" s="73">
        <f>+'9. Közp. Konyha'!J13</f>
        <v>0</v>
      </c>
      <c r="K35" s="73"/>
      <c r="L35" s="73"/>
      <c r="M35" s="73"/>
      <c r="N35" s="462"/>
      <c r="O35" s="73"/>
      <c r="P35" s="501">
        <f>+'9. Közp. Konyha'!P13</f>
        <v>0</v>
      </c>
      <c r="Q35" s="73">
        <f>+'9. Közp. Konyha'!Q13</f>
        <v>0</v>
      </c>
      <c r="R35" s="73">
        <f>+'9. Közp. Konyha'!R13</f>
        <v>0</v>
      </c>
      <c r="S35" s="73">
        <f>+'9. Közp. Konyha'!S13</f>
        <v>0</v>
      </c>
      <c r="T35" s="502"/>
      <c r="U35" s="74"/>
    </row>
    <row r="36" spans="1:21" ht="8.1" customHeight="1" x14ac:dyDescent="0.25">
      <c r="B36" s="386" t="s">
        <v>453</v>
      </c>
      <c r="C36" s="503"/>
      <c r="D36" s="385"/>
      <c r="E36" s="385"/>
      <c r="F36" s="514"/>
      <c r="G36" s="385"/>
      <c r="H36" s="503"/>
      <c r="I36" s="385"/>
      <c r="J36" s="385"/>
      <c r="K36" s="385"/>
      <c r="L36" s="385"/>
      <c r="M36" s="385"/>
      <c r="N36" s="514"/>
      <c r="O36" s="385"/>
      <c r="P36" s="503"/>
      <c r="Q36" s="385"/>
      <c r="R36" s="385"/>
      <c r="S36" s="385"/>
      <c r="T36" s="502"/>
      <c r="U36" s="74"/>
    </row>
    <row r="37" spans="1:21" x14ac:dyDescent="0.25">
      <c r="A37" s="387" t="str">
        <f>+A28</f>
        <v>K1</v>
      </c>
      <c r="B37" s="367" t="s">
        <v>447</v>
      </c>
      <c r="C37" s="504">
        <f>SUM(C29:C36)</f>
        <v>427595554</v>
      </c>
      <c r="D37" s="368">
        <f t="shared" ref="D37:F37" si="31">SUM(D29:D36)</f>
        <v>440289654</v>
      </c>
      <c r="E37" s="368">
        <f t="shared" si="31"/>
        <v>440573451</v>
      </c>
      <c r="F37" s="515">
        <f t="shared" si="31"/>
        <v>0</v>
      </c>
      <c r="G37" s="368"/>
      <c r="H37" s="504">
        <f>SUM(H29:H36)</f>
        <v>206440974</v>
      </c>
      <c r="I37" s="368">
        <f t="shared" ref="I37:J37" si="32">SUM(I29:I36)</f>
        <v>316775768</v>
      </c>
      <c r="J37" s="368">
        <f t="shared" si="32"/>
        <v>0</v>
      </c>
      <c r="K37" s="368"/>
      <c r="L37" s="368"/>
      <c r="M37" s="368"/>
      <c r="N37" s="515"/>
      <c r="O37" s="368"/>
      <c r="P37" s="504">
        <f>SUM(P29:P36)</f>
        <v>12694100</v>
      </c>
      <c r="Q37" s="368">
        <f t="shared" ref="Q37:S37" si="33">SUM(Q29:Q36)</f>
        <v>283797</v>
      </c>
      <c r="R37" s="368">
        <f t="shared" si="33"/>
        <v>0</v>
      </c>
      <c r="S37" s="368">
        <f t="shared" si="33"/>
        <v>12977897</v>
      </c>
      <c r="T37" s="502"/>
      <c r="U37" s="74"/>
    </row>
    <row r="38" spans="1:21" x14ac:dyDescent="0.25">
      <c r="C38" s="501"/>
      <c r="D38" s="74"/>
      <c r="E38" s="74"/>
      <c r="F38" s="527"/>
      <c r="G38" s="74"/>
      <c r="H38" s="501"/>
      <c r="K38" s="74"/>
      <c r="L38" s="87"/>
      <c r="M38" s="87"/>
      <c r="N38" s="502"/>
      <c r="O38" s="74"/>
      <c r="P38" s="501"/>
      <c r="Q38" s="73"/>
      <c r="R38" s="73"/>
      <c r="S38" s="73"/>
      <c r="T38" s="502"/>
      <c r="U38" s="74"/>
    </row>
    <row r="39" spans="1:21" x14ac:dyDescent="0.25">
      <c r="C39" s="501"/>
      <c r="D39" s="74"/>
      <c r="E39" s="74"/>
      <c r="F39" s="527"/>
      <c r="G39" s="74"/>
      <c r="H39" s="501"/>
      <c r="K39" s="74"/>
      <c r="L39" s="87"/>
      <c r="M39" s="87"/>
      <c r="N39" s="502"/>
      <c r="O39" s="74"/>
      <c r="P39" s="501"/>
      <c r="Q39" s="73"/>
      <c r="R39" s="73"/>
      <c r="S39" s="73"/>
      <c r="T39" s="502"/>
      <c r="U39" s="74"/>
    </row>
    <row r="40" spans="1:21" x14ac:dyDescent="0.25">
      <c r="A40" s="322" t="s">
        <v>26</v>
      </c>
      <c r="B40" s="322" t="str">
        <f>+'3. Önk. Kiadások'!B29</f>
        <v>Munkaadót terhelő járulékok és szociális hozzájárulás</v>
      </c>
      <c r="C40" s="501"/>
      <c r="D40" s="74"/>
      <c r="E40" s="74"/>
      <c r="F40" s="527"/>
      <c r="G40" s="74"/>
      <c r="H40" s="501"/>
      <c r="K40" s="74"/>
      <c r="L40" s="87"/>
      <c r="M40" s="87"/>
      <c r="N40" s="502"/>
      <c r="O40" s="74"/>
      <c r="P40" s="501"/>
      <c r="Q40" s="73"/>
      <c r="R40" s="73"/>
      <c r="S40" s="73"/>
      <c r="T40" s="502"/>
      <c r="U40" s="74"/>
    </row>
    <row r="41" spans="1:21" x14ac:dyDescent="0.25">
      <c r="B41" s="56" t="str">
        <f t="shared" ref="B41:B47" si="34">+B29</f>
        <v>Sülysáp Város Önkormányzata</v>
      </c>
      <c r="C41" s="501">
        <f>+'3. Önk. Kiadások'!C29</f>
        <v>11000000</v>
      </c>
      <c r="D41" s="73">
        <f>+'3. Önk. Kiadások'!D29</f>
        <v>11000000</v>
      </c>
      <c r="E41" s="73">
        <f>+'3. Önk. Kiadások'!E29</f>
        <v>11000000</v>
      </c>
      <c r="F41" s="462">
        <f>+'3. Önk. Kiadások'!F29</f>
        <v>0</v>
      </c>
      <c r="G41" s="74"/>
      <c r="H41" s="501">
        <f>+'3. Önk. Kiadások'!H29</f>
        <v>5790855</v>
      </c>
      <c r="I41" s="73">
        <f>+'3. Önk. Kiadások'!I29</f>
        <v>8980382</v>
      </c>
      <c r="J41" s="73">
        <f>+'3. Önk. Kiadások'!J29</f>
        <v>0</v>
      </c>
      <c r="K41" s="74"/>
      <c r="L41" s="87"/>
      <c r="M41" s="87"/>
      <c r="N41" s="502"/>
      <c r="O41" s="74"/>
      <c r="P41" s="501">
        <f>+'3. Önk. Kiadások'!P29</f>
        <v>0</v>
      </c>
      <c r="Q41" s="73">
        <f>+'3. Önk. Kiadások'!Q29</f>
        <v>0</v>
      </c>
      <c r="R41" s="73">
        <f>+'3. Önk. Kiadások'!R29</f>
        <v>0</v>
      </c>
      <c r="S41" s="73">
        <f>+'3. Önk. Kiadások'!S29</f>
        <v>0</v>
      </c>
      <c r="T41" s="502"/>
      <c r="U41" s="74"/>
    </row>
    <row r="42" spans="1:21" x14ac:dyDescent="0.25">
      <c r="B42" s="56" t="str">
        <f t="shared" si="34"/>
        <v>Gondozási Központ</v>
      </c>
      <c r="C42" s="501">
        <f>+'4. Dr Gáspár HSZK'!C29</f>
        <v>4876356.03</v>
      </c>
      <c r="D42" s="73">
        <f>+'4. Dr Gáspár HSZK'!D29</f>
        <v>4876356</v>
      </c>
      <c r="E42" s="73">
        <f>+'4. Dr Gáspár HSZK'!E29</f>
        <v>4876356</v>
      </c>
      <c r="F42" s="462">
        <f>+'4. Dr Gáspár HSZK'!F29</f>
        <v>0</v>
      </c>
      <c r="G42" s="73"/>
      <c r="H42" s="501">
        <f>+'4. Dr Gáspár HSZK'!H29</f>
        <v>2545934</v>
      </c>
      <c r="I42" s="73">
        <f>+'4. Dr Gáspár HSZK'!I29</f>
        <v>3690717</v>
      </c>
      <c r="J42" s="73">
        <f>+'4. Dr Gáspár HSZK'!J29</f>
        <v>0</v>
      </c>
      <c r="K42" s="73"/>
      <c r="L42" s="73"/>
      <c r="M42" s="73"/>
      <c r="N42" s="462"/>
      <c r="O42" s="73"/>
      <c r="P42" s="501">
        <f>+'4. Dr Gáspár HSZK'!P29</f>
        <v>-3.0000000260770321E-2</v>
      </c>
      <c r="Q42" s="73">
        <f>+'4. Dr Gáspár HSZK'!Q29</f>
        <v>0</v>
      </c>
      <c r="R42" s="73">
        <f>+'4. Dr Gáspár HSZK'!R29</f>
        <v>0</v>
      </c>
      <c r="S42" s="73">
        <f>+'4. Dr Gáspár HSZK'!S29</f>
        <v>-3.0000000260770321E-2</v>
      </c>
      <c r="T42" s="502"/>
      <c r="U42" s="74"/>
    </row>
    <row r="43" spans="1:21" x14ac:dyDescent="0.25">
      <c r="B43" s="56" t="str">
        <f t="shared" si="34"/>
        <v>Csicsergő Napköziotthonos Óvoda</v>
      </c>
      <c r="C43" s="501">
        <f>+'5. Csicsergő'!C30</f>
        <v>30000000</v>
      </c>
      <c r="D43" s="73">
        <f>+'5. Csicsergő'!D30</f>
        <v>30000000</v>
      </c>
      <c r="E43" s="73">
        <f>+'5. Csicsergő'!E30</f>
        <v>30000000</v>
      </c>
      <c r="F43" s="462">
        <f>+'5. Csicsergő'!F30</f>
        <v>0</v>
      </c>
      <c r="G43" s="73"/>
      <c r="H43" s="501">
        <f>+'5. Csicsergő'!H30</f>
        <v>14696128</v>
      </c>
      <c r="I43" s="73">
        <f>+'5. Csicsergő'!I30</f>
        <v>21528393</v>
      </c>
      <c r="J43" s="73">
        <f>+'5. Csicsergő'!J30</f>
        <v>0</v>
      </c>
      <c r="K43" s="73"/>
      <c r="L43" s="73"/>
      <c r="M43" s="73"/>
      <c r="N43" s="462"/>
      <c r="O43" s="73"/>
      <c r="P43" s="501">
        <f>+'5. Csicsergő'!P30</f>
        <v>0</v>
      </c>
      <c r="Q43" s="73">
        <f>+'5. Csicsergő'!Q30</f>
        <v>0</v>
      </c>
      <c r="R43" s="73">
        <f>+'5. Csicsergő'!R30</f>
        <v>0</v>
      </c>
      <c r="S43" s="73">
        <f>+'5. Csicsergő'!S30</f>
        <v>0</v>
      </c>
      <c r="T43" s="502"/>
      <c r="U43" s="74"/>
    </row>
    <row r="44" spans="1:21" x14ac:dyDescent="0.25">
      <c r="B44" s="56" t="str">
        <f t="shared" si="34"/>
        <v>Gólyahír Bőlcsőde</v>
      </c>
      <c r="C44" s="501">
        <f>+'6. Gólyahír'!C29</f>
        <v>8153000</v>
      </c>
      <c r="D44" s="73">
        <f>+'6. Gólyahír'!D29</f>
        <v>8153000</v>
      </c>
      <c r="E44" s="73">
        <f>+'6. Gólyahír'!E29</f>
        <v>8153000</v>
      </c>
      <c r="F44" s="462">
        <f>+'6. Gólyahír'!F29</f>
        <v>0</v>
      </c>
      <c r="G44" s="73"/>
      <c r="H44" s="501">
        <f>+'6. Gólyahír'!H29</f>
        <v>4692885</v>
      </c>
      <c r="I44" s="73">
        <f>+'6. Gólyahír'!I29</f>
        <v>6664922</v>
      </c>
      <c r="J44" s="73">
        <f>+'6. Gólyahír'!J29</f>
        <v>0</v>
      </c>
      <c r="K44" s="73"/>
      <c r="L44" s="73"/>
      <c r="M44" s="73"/>
      <c r="N44" s="462"/>
      <c r="O44" s="73"/>
      <c r="P44" s="501">
        <f>+'6. Gólyahír'!P29</f>
        <v>0</v>
      </c>
      <c r="Q44" s="73">
        <f>+'6. Gólyahír'!Q29</f>
        <v>0</v>
      </c>
      <c r="R44" s="73">
        <f>+'6. Gólyahír'!R29</f>
        <v>0</v>
      </c>
      <c r="S44" s="73">
        <f>+'6. Gólyahír'!S29</f>
        <v>0</v>
      </c>
      <c r="T44" s="502"/>
      <c r="U44" s="74"/>
    </row>
    <row r="45" spans="1:21" x14ac:dyDescent="0.25">
      <c r="B45" s="56" t="str">
        <f t="shared" si="34"/>
        <v>Polgármesteri Hivatal</v>
      </c>
      <c r="C45" s="501">
        <f>+'7. Polg.Hiv.'!C29</f>
        <v>20252000</v>
      </c>
      <c r="D45" s="73">
        <f>+'7. Polg.Hiv.'!D29</f>
        <v>20498675</v>
      </c>
      <c r="E45" s="73">
        <f>+'7. Polg.Hiv.'!E29</f>
        <v>20521473</v>
      </c>
      <c r="F45" s="462">
        <f>+'7. Polg.Hiv.'!F29</f>
        <v>0</v>
      </c>
      <c r="G45" s="73"/>
      <c r="H45" s="501">
        <f>+'7. Polg.Hiv.'!H29</f>
        <v>11664414</v>
      </c>
      <c r="I45" s="73">
        <f>+'7. Polg.Hiv.'!I29</f>
        <v>16279513</v>
      </c>
      <c r="J45" s="73">
        <f>+'7. Polg.Hiv.'!J29</f>
        <v>0</v>
      </c>
      <c r="K45" s="73"/>
      <c r="L45" s="73"/>
      <c r="M45" s="73"/>
      <c r="N45" s="462"/>
      <c r="O45" s="73"/>
      <c r="P45" s="501">
        <f>+'7. Polg.Hiv.'!P29</f>
        <v>246675</v>
      </c>
      <c r="Q45" s="73">
        <f>+'7. Polg.Hiv.'!Q29</f>
        <v>22798</v>
      </c>
      <c r="R45" s="73">
        <f>+'7. Polg.Hiv.'!R29</f>
        <v>0</v>
      </c>
      <c r="S45" s="73">
        <f>+'7. Polg.Hiv.'!S29</f>
        <v>269473</v>
      </c>
      <c r="T45" s="502"/>
      <c r="U45" s="74"/>
    </row>
    <row r="46" spans="1:21" x14ac:dyDescent="0.25">
      <c r="B46" s="56" t="str">
        <f t="shared" si="34"/>
        <v>Wass Albert Művelődési Központ és Könyvtár</v>
      </c>
      <c r="C46" s="501">
        <f>+'8. WAMKK'!C29</f>
        <v>3000000</v>
      </c>
      <c r="D46" s="73">
        <f>+'8. WAMKK'!D29</f>
        <v>3000000</v>
      </c>
      <c r="E46" s="73">
        <f>+'8. WAMKK'!E29</f>
        <v>3000000</v>
      </c>
      <c r="F46" s="462">
        <f>+'8. WAMKK'!F29</f>
        <v>0</v>
      </c>
      <c r="G46" s="73"/>
      <c r="H46" s="501">
        <f>+'8. WAMKK'!H29</f>
        <v>1315967</v>
      </c>
      <c r="I46" s="73">
        <f>+'8. WAMKK'!I29</f>
        <v>1869747</v>
      </c>
      <c r="J46" s="73">
        <f>+'8. WAMKK'!J29</f>
        <v>0</v>
      </c>
      <c r="K46" s="73"/>
      <c r="L46" s="73"/>
      <c r="M46" s="73"/>
      <c r="N46" s="462"/>
      <c r="O46" s="73"/>
      <c r="P46" s="501">
        <f>+'8. WAMKK'!P29</f>
        <v>0</v>
      </c>
      <c r="Q46" s="73">
        <f>+'8. WAMKK'!Q29</f>
        <v>0</v>
      </c>
      <c r="R46" s="73">
        <f>+'8. WAMKK'!R29</f>
        <v>0</v>
      </c>
      <c r="S46" s="73">
        <f>+'8. WAMKK'!S29</f>
        <v>0</v>
      </c>
      <c r="T46" s="502"/>
      <c r="U46" s="74"/>
    </row>
    <row r="47" spans="1:21" x14ac:dyDescent="0.25">
      <c r="B47" s="56" t="str">
        <f t="shared" si="34"/>
        <v>Központi Konyha</v>
      </c>
      <c r="C47" s="501">
        <f>+'9. Közp. Konyha'!C29</f>
        <v>5600000</v>
      </c>
      <c r="D47" s="73">
        <f>+'9. Közp. Konyha'!D29</f>
        <v>5600000</v>
      </c>
      <c r="E47" s="73">
        <f>+'9. Közp. Konyha'!E29</f>
        <v>5600000</v>
      </c>
      <c r="F47" s="462">
        <f>+'9. Közp. Konyha'!F29</f>
        <v>0</v>
      </c>
      <c r="G47" s="73"/>
      <c r="H47" s="501">
        <f>+'9. Közp. Konyha'!H29</f>
        <v>3351913</v>
      </c>
      <c r="I47" s="73">
        <f>+'9. Közp. Konyha'!I29</f>
        <v>4719990</v>
      </c>
      <c r="J47" s="73">
        <f>+'9. Közp. Konyha'!J29</f>
        <v>0</v>
      </c>
      <c r="K47" s="73"/>
      <c r="L47" s="73"/>
      <c r="M47" s="73"/>
      <c r="N47" s="462"/>
      <c r="O47" s="73"/>
      <c r="P47" s="501">
        <f>+'9. Közp. Konyha'!P29</f>
        <v>0</v>
      </c>
      <c r="Q47" s="73">
        <f>+'9. Közp. Konyha'!Q29</f>
        <v>0</v>
      </c>
      <c r="R47" s="73">
        <f>+'9. Közp. Konyha'!R29</f>
        <v>0</v>
      </c>
      <c r="S47" s="73">
        <f>+'9. Közp. Konyha'!S29</f>
        <v>0</v>
      </c>
      <c r="T47" s="502"/>
      <c r="U47" s="74"/>
    </row>
    <row r="48" spans="1:21" ht="8.1" customHeight="1" x14ac:dyDescent="0.25">
      <c r="B48" s="386" t="s">
        <v>453</v>
      </c>
      <c r="C48" s="503"/>
      <c r="D48" s="385"/>
      <c r="E48" s="385"/>
      <c r="F48" s="514"/>
      <c r="G48" s="385"/>
      <c r="H48" s="503"/>
      <c r="I48" s="385"/>
      <c r="J48" s="385"/>
      <c r="K48" s="385"/>
      <c r="L48" s="385"/>
      <c r="M48" s="385"/>
      <c r="N48" s="514"/>
      <c r="O48" s="385"/>
      <c r="P48" s="503"/>
      <c r="Q48" s="385"/>
      <c r="R48" s="385"/>
      <c r="S48" s="385"/>
      <c r="T48" s="502"/>
      <c r="U48" s="74"/>
    </row>
    <row r="49" spans="1:21" x14ac:dyDescent="0.25">
      <c r="A49" s="387" t="str">
        <f>+A40</f>
        <v>K2</v>
      </c>
      <c r="B49" s="367" t="s">
        <v>447</v>
      </c>
      <c r="C49" s="504">
        <f>SUM(C41:C48)</f>
        <v>82881356.030000001</v>
      </c>
      <c r="D49" s="368">
        <f t="shared" ref="D49:F49" si="35">SUM(D41:D48)</f>
        <v>83128031</v>
      </c>
      <c r="E49" s="368">
        <f t="shared" si="35"/>
        <v>83150829</v>
      </c>
      <c r="F49" s="515">
        <f t="shared" si="35"/>
        <v>0</v>
      </c>
      <c r="G49" s="368"/>
      <c r="H49" s="504">
        <f>SUM(H41:H48)</f>
        <v>44058096</v>
      </c>
      <c r="I49" s="368">
        <f t="shared" ref="I49:J49" si="36">SUM(I41:I48)</f>
        <v>63733664</v>
      </c>
      <c r="J49" s="368">
        <f t="shared" si="36"/>
        <v>0</v>
      </c>
      <c r="K49" s="368"/>
      <c r="L49" s="368"/>
      <c r="M49" s="368"/>
      <c r="N49" s="515"/>
      <c r="O49" s="368"/>
      <c r="P49" s="504">
        <f>SUM(P41:P48)</f>
        <v>246674.96999999974</v>
      </c>
      <c r="Q49" s="368">
        <f t="shared" ref="Q49:S49" si="37">SUM(Q41:Q48)</f>
        <v>22798</v>
      </c>
      <c r="R49" s="368">
        <f t="shared" si="37"/>
        <v>0</v>
      </c>
      <c r="S49" s="368">
        <f t="shared" si="37"/>
        <v>269472.96999999974</v>
      </c>
      <c r="T49" s="502"/>
      <c r="U49" s="74"/>
    </row>
    <row r="50" spans="1:21" x14ac:dyDescent="0.25">
      <c r="C50" s="501"/>
      <c r="D50" s="74"/>
      <c r="E50" s="74"/>
      <c r="F50" s="527"/>
      <c r="G50" s="74"/>
      <c r="H50" s="501"/>
      <c r="K50" s="74"/>
      <c r="L50" s="87"/>
      <c r="M50" s="87"/>
      <c r="N50" s="502"/>
      <c r="O50" s="74"/>
      <c r="P50" s="501"/>
      <c r="Q50" s="73"/>
      <c r="R50" s="73"/>
      <c r="S50" s="73"/>
      <c r="T50" s="502"/>
      <c r="U50" s="74"/>
    </row>
    <row r="51" spans="1:21" x14ac:dyDescent="0.25">
      <c r="C51" s="501"/>
      <c r="D51" s="74"/>
      <c r="E51" s="74"/>
      <c r="F51" s="527"/>
      <c r="G51" s="74"/>
      <c r="H51" s="501"/>
      <c r="K51" s="74"/>
      <c r="L51" s="87"/>
      <c r="M51" s="87"/>
      <c r="N51" s="502"/>
      <c r="O51" s="74"/>
      <c r="P51" s="501"/>
      <c r="Q51" s="73"/>
      <c r="R51" s="73"/>
      <c r="S51" s="73"/>
      <c r="T51" s="502"/>
      <c r="U51" s="74"/>
    </row>
    <row r="52" spans="1:21" x14ac:dyDescent="0.25">
      <c r="A52" s="322" t="s">
        <v>29</v>
      </c>
      <c r="B52" s="322" t="str">
        <f>+'3. Önk. Kiadások'!B32</f>
        <v>Dologi kiadások</v>
      </c>
      <c r="C52" s="501"/>
      <c r="D52" s="74"/>
      <c r="E52" s="74"/>
      <c r="F52" s="527"/>
      <c r="G52" s="74"/>
      <c r="H52" s="501"/>
      <c r="K52" s="74"/>
      <c r="L52" s="87"/>
      <c r="M52" s="87"/>
      <c r="N52" s="502"/>
      <c r="O52" s="74"/>
      <c r="P52" s="501"/>
      <c r="Q52" s="73"/>
      <c r="R52" s="73"/>
      <c r="S52" s="73"/>
      <c r="T52" s="502"/>
      <c r="U52" s="74"/>
    </row>
    <row r="53" spans="1:21" x14ac:dyDescent="0.25">
      <c r="B53" s="56" t="str">
        <f t="shared" ref="B53:B59" si="38">+B41</f>
        <v>Sülysáp Város Önkormányzata</v>
      </c>
      <c r="C53" s="501">
        <f>+'3. Önk. Kiadások'!C32</f>
        <v>162428000</v>
      </c>
      <c r="D53" s="73">
        <f>+'3. Önk. Kiadások'!D32</f>
        <v>150452970</v>
      </c>
      <c r="E53" s="73">
        <f>+'3. Önk. Kiadások'!E32</f>
        <v>201226541</v>
      </c>
      <c r="F53" s="462">
        <f>+'3. Önk. Kiadások'!F32</f>
        <v>0</v>
      </c>
      <c r="G53" s="74"/>
      <c r="H53" s="501">
        <f>+'3. Önk. Kiadások'!H32</f>
        <v>67263471</v>
      </c>
      <c r="I53" s="73">
        <f>+'3. Önk. Kiadások'!I32</f>
        <v>127937757</v>
      </c>
      <c r="J53" s="73">
        <f>+'3. Önk. Kiadások'!J32</f>
        <v>0</v>
      </c>
      <c r="K53" s="74"/>
      <c r="L53" s="87"/>
      <c r="M53" s="87"/>
      <c r="N53" s="502"/>
      <c r="O53" s="74"/>
      <c r="P53" s="501">
        <f>+'3. Önk. Kiadások'!P32</f>
        <v>-11975030</v>
      </c>
      <c r="Q53" s="73">
        <f>+'3. Önk. Kiadások'!Q32</f>
        <v>50773571</v>
      </c>
      <c r="R53" s="73">
        <f>+'3. Önk. Kiadások'!R32</f>
        <v>0</v>
      </c>
      <c r="S53" s="73">
        <f>+'3. Önk. Kiadások'!S32</f>
        <v>38798541</v>
      </c>
      <c r="T53" s="502"/>
      <c r="U53" s="74"/>
    </row>
    <row r="54" spans="1:21" x14ac:dyDescent="0.25">
      <c r="A54" s="56"/>
      <c r="B54" s="56" t="str">
        <f t="shared" si="38"/>
        <v>Gondozási Központ</v>
      </c>
      <c r="C54" s="501">
        <f>+'4. Dr Gáspár HSZK'!C32</f>
        <v>10130000</v>
      </c>
      <c r="D54" s="73">
        <f>+'4. Dr Gáspár HSZK'!D32</f>
        <v>10130000</v>
      </c>
      <c r="E54" s="73">
        <f>+'4. Dr Gáspár HSZK'!E32</f>
        <v>10130000</v>
      </c>
      <c r="F54" s="462">
        <f>+'4. Dr Gáspár HSZK'!F32</f>
        <v>0</v>
      </c>
      <c r="G54" s="73"/>
      <c r="H54" s="530">
        <f>+'4. Dr Gáspár HSZK'!H32</f>
        <v>3117797</v>
      </c>
      <c r="I54" s="320">
        <f>+'4. Dr Gáspár HSZK'!I32</f>
        <v>5702808</v>
      </c>
      <c r="J54" s="73">
        <f>+'4. Dr Gáspár HSZK'!J32</f>
        <v>0</v>
      </c>
      <c r="K54" s="73"/>
      <c r="L54" s="73"/>
      <c r="M54" s="73"/>
      <c r="N54" s="462"/>
      <c r="O54" s="73"/>
      <c r="P54" s="501">
        <f>+'4. Dr Gáspár HSZK'!P32</f>
        <v>0</v>
      </c>
      <c r="Q54" s="73">
        <f>+'4. Dr Gáspár HSZK'!Q32</f>
        <v>0</v>
      </c>
      <c r="R54" s="73">
        <f>+'4. Dr Gáspár HSZK'!R32</f>
        <v>0</v>
      </c>
      <c r="S54" s="73">
        <f>+'4. Dr Gáspár HSZK'!S32</f>
        <v>0</v>
      </c>
      <c r="T54" s="502"/>
      <c r="U54" s="74"/>
    </row>
    <row r="55" spans="1:21" x14ac:dyDescent="0.25">
      <c r="B55" s="56" t="str">
        <f t="shared" si="38"/>
        <v>Csicsergő Napköziotthonos Óvoda</v>
      </c>
      <c r="C55" s="501">
        <f>+'5. Csicsergő'!C33</f>
        <v>15885000</v>
      </c>
      <c r="D55" s="73">
        <f>+'5. Csicsergő'!D33</f>
        <v>15885000</v>
      </c>
      <c r="E55" s="73">
        <f>+'5. Csicsergő'!E33</f>
        <v>15885000</v>
      </c>
      <c r="F55" s="462">
        <f>+'5. Csicsergő'!F33</f>
        <v>0</v>
      </c>
      <c r="G55" s="73"/>
      <c r="H55" s="501">
        <f>+'5. Csicsergő'!H33</f>
        <v>6272583</v>
      </c>
      <c r="I55" s="73">
        <f>+'5. Csicsergő'!I33</f>
        <v>8740932</v>
      </c>
      <c r="J55" s="73">
        <f>+'5. Csicsergő'!J33</f>
        <v>0</v>
      </c>
      <c r="K55" s="73"/>
      <c r="L55" s="73"/>
      <c r="M55" s="73"/>
      <c r="N55" s="462"/>
      <c r="O55" s="73"/>
      <c r="P55" s="501">
        <f>+'5. Csicsergő'!P33</f>
        <v>0</v>
      </c>
      <c r="Q55" s="73">
        <f>+'5. Csicsergő'!Q33</f>
        <v>0</v>
      </c>
      <c r="R55" s="73">
        <f>+'5. Csicsergő'!R33</f>
        <v>0</v>
      </c>
      <c r="S55" s="73">
        <f>+'5. Csicsergő'!S33</f>
        <v>0</v>
      </c>
      <c r="T55" s="502"/>
      <c r="U55" s="74"/>
    </row>
    <row r="56" spans="1:21" x14ac:dyDescent="0.25">
      <c r="B56" s="56" t="str">
        <f t="shared" si="38"/>
        <v>Gólyahír Bőlcsőde</v>
      </c>
      <c r="C56" s="501">
        <f>+'6. Gólyahír'!C32</f>
        <v>13785000</v>
      </c>
      <c r="D56" s="73">
        <f>+'6. Gólyahír'!D32</f>
        <v>13305000</v>
      </c>
      <c r="E56" s="73">
        <f>+'6. Gólyahír'!E32</f>
        <v>13305000</v>
      </c>
      <c r="F56" s="462">
        <f>+'6. Gólyahír'!F32</f>
        <v>0</v>
      </c>
      <c r="G56" s="73"/>
      <c r="H56" s="501">
        <f>+'6. Gólyahír'!H32</f>
        <v>5536614</v>
      </c>
      <c r="I56" s="73">
        <f>+'6. Gólyahír'!I32</f>
        <v>8025288</v>
      </c>
      <c r="J56" s="73">
        <f>+'6. Gólyahír'!J32</f>
        <v>0</v>
      </c>
      <c r="K56" s="73"/>
      <c r="L56" s="73"/>
      <c r="M56" s="73"/>
      <c r="N56" s="462"/>
      <c r="O56" s="73"/>
      <c r="P56" s="501">
        <f>+'6. Gólyahír'!P32</f>
        <v>-480000</v>
      </c>
      <c r="Q56" s="73">
        <f>+'6. Gólyahír'!Q32</f>
        <v>0</v>
      </c>
      <c r="R56" s="73">
        <f>+'6. Gólyahír'!R32</f>
        <v>0</v>
      </c>
      <c r="S56" s="73">
        <f>+'6. Gólyahír'!S32</f>
        <v>-480000</v>
      </c>
      <c r="T56" s="502"/>
      <c r="U56" s="74"/>
    </row>
    <row r="57" spans="1:21" x14ac:dyDescent="0.25">
      <c r="B57" s="56" t="str">
        <f t="shared" si="38"/>
        <v>Polgármesteri Hivatal</v>
      </c>
      <c r="C57" s="501">
        <f>+'7. Polg.Hiv.'!C32</f>
        <v>11128000</v>
      </c>
      <c r="D57" s="73">
        <f>+'7. Polg.Hiv.'!D32</f>
        <v>11011573</v>
      </c>
      <c r="E57" s="73">
        <f>+'7. Polg.Hiv.'!E32</f>
        <v>11235624</v>
      </c>
      <c r="F57" s="462">
        <f>+'7. Polg.Hiv.'!F32</f>
        <v>0</v>
      </c>
      <c r="G57" s="73"/>
      <c r="H57" s="501">
        <f>+'7. Polg.Hiv.'!H32</f>
        <v>4746493</v>
      </c>
      <c r="I57" s="73">
        <f>+'7. Polg.Hiv.'!I32</f>
        <v>7111916</v>
      </c>
      <c r="J57" s="73">
        <f>+'7. Polg.Hiv.'!J32</f>
        <v>0</v>
      </c>
      <c r="K57" s="73"/>
      <c r="L57" s="73"/>
      <c r="M57" s="73"/>
      <c r="N57" s="462"/>
      <c r="O57" s="73"/>
      <c r="P57" s="501">
        <f>+'7. Polg.Hiv.'!P32</f>
        <v>-116427</v>
      </c>
      <c r="Q57" s="73">
        <f>+'7. Polg.Hiv.'!Q32</f>
        <v>224051</v>
      </c>
      <c r="R57" s="73">
        <f>+'7. Polg.Hiv.'!R32</f>
        <v>0</v>
      </c>
      <c r="S57" s="73">
        <f>+'7. Polg.Hiv.'!S32</f>
        <v>107624</v>
      </c>
      <c r="T57" s="502"/>
      <c r="U57" s="74"/>
    </row>
    <row r="58" spans="1:21" x14ac:dyDescent="0.25">
      <c r="B58" s="56" t="str">
        <f t="shared" si="38"/>
        <v>Wass Albert Művelődési Központ és Könyvtár</v>
      </c>
      <c r="C58" s="501">
        <f>+'8. WAMKK'!C32</f>
        <v>13092000</v>
      </c>
      <c r="D58" s="73">
        <f>+'8. WAMKK'!D32</f>
        <v>13019600</v>
      </c>
      <c r="E58" s="73">
        <f>+'8. WAMKK'!E32</f>
        <v>16293600</v>
      </c>
      <c r="F58" s="462">
        <f>+'8. WAMKK'!F32</f>
        <v>0</v>
      </c>
      <c r="G58" s="73"/>
      <c r="H58" s="501">
        <f>+'8. WAMKK'!H32</f>
        <v>4969781</v>
      </c>
      <c r="I58" s="73">
        <f>+'8. WAMKK'!I32</f>
        <v>12120491</v>
      </c>
      <c r="J58" s="73">
        <f>+'8. WAMKK'!J32</f>
        <v>0</v>
      </c>
      <c r="K58" s="73"/>
      <c r="L58" s="73"/>
      <c r="M58" s="73"/>
      <c r="N58" s="462"/>
      <c r="O58" s="73"/>
      <c r="P58" s="501">
        <f>+'8. WAMKK'!P32</f>
        <v>-72400</v>
      </c>
      <c r="Q58" s="73">
        <f>+'8. WAMKK'!Q32</f>
        <v>3274000</v>
      </c>
      <c r="R58" s="73">
        <f>+'8. WAMKK'!R32</f>
        <v>0</v>
      </c>
      <c r="S58" s="73">
        <f>+'8. WAMKK'!S32</f>
        <v>3201600</v>
      </c>
      <c r="T58" s="502"/>
      <c r="U58" s="74"/>
    </row>
    <row r="59" spans="1:21" x14ac:dyDescent="0.25">
      <c r="B59" s="56" t="str">
        <f t="shared" si="38"/>
        <v>Központi Konyha</v>
      </c>
      <c r="C59" s="501">
        <f>+'9. Közp. Konyha'!C32</f>
        <v>71371000</v>
      </c>
      <c r="D59" s="73">
        <f>+'9. Közp. Konyha'!D32</f>
        <v>71371000</v>
      </c>
      <c r="E59" s="73">
        <f>+'9. Közp. Konyha'!E32</f>
        <v>71371000</v>
      </c>
      <c r="F59" s="462">
        <f>+'9. Közp. Konyha'!F32</f>
        <v>0</v>
      </c>
      <c r="G59" s="73"/>
      <c r="H59" s="501">
        <f>+'9. Közp. Konyha'!H32</f>
        <v>35582506</v>
      </c>
      <c r="I59" s="73">
        <f>+'9. Közp. Konyha'!I32</f>
        <v>44993253</v>
      </c>
      <c r="J59" s="73">
        <f>+'9. Közp. Konyha'!J32</f>
        <v>0</v>
      </c>
      <c r="K59" s="73"/>
      <c r="L59" s="73"/>
      <c r="M59" s="73"/>
      <c r="N59" s="462"/>
      <c r="O59" s="73"/>
      <c r="P59" s="501">
        <f>+'9. Közp. Konyha'!P32</f>
        <v>0</v>
      </c>
      <c r="Q59" s="73">
        <f>+'9. Közp. Konyha'!Q32</f>
        <v>0</v>
      </c>
      <c r="R59" s="73">
        <f>+'9. Közp. Konyha'!R32</f>
        <v>0</v>
      </c>
      <c r="S59" s="73">
        <f>+'9. Közp. Konyha'!S32</f>
        <v>0</v>
      </c>
      <c r="T59" s="502"/>
      <c r="U59" s="74"/>
    </row>
    <row r="60" spans="1:21" ht="8.1" customHeight="1" x14ac:dyDescent="0.25">
      <c r="B60" s="386" t="s">
        <v>453</v>
      </c>
      <c r="C60" s="503"/>
      <c r="D60" s="385"/>
      <c r="E60" s="385"/>
      <c r="F60" s="514"/>
      <c r="G60" s="385"/>
      <c r="H60" s="503"/>
      <c r="I60" s="385"/>
      <c r="J60" s="385"/>
      <c r="K60" s="385"/>
      <c r="L60" s="385"/>
      <c r="M60" s="385"/>
      <c r="N60" s="514"/>
      <c r="O60" s="385"/>
      <c r="P60" s="503"/>
      <c r="Q60" s="385"/>
      <c r="R60" s="385"/>
      <c r="S60" s="385"/>
      <c r="T60" s="502"/>
      <c r="U60" s="74"/>
    </row>
    <row r="61" spans="1:21" x14ac:dyDescent="0.25">
      <c r="A61" s="387" t="str">
        <f>+A52</f>
        <v>K3</v>
      </c>
      <c r="B61" s="367" t="s">
        <v>447</v>
      </c>
      <c r="C61" s="504">
        <f>SUM(C53:C60)</f>
        <v>297819000</v>
      </c>
      <c r="D61" s="368">
        <f t="shared" ref="D61:F61" si="39">SUM(D53:D60)</f>
        <v>285175143</v>
      </c>
      <c r="E61" s="368">
        <f t="shared" si="39"/>
        <v>339446765</v>
      </c>
      <c r="F61" s="515">
        <f t="shared" si="39"/>
        <v>0</v>
      </c>
      <c r="G61" s="368"/>
      <c r="H61" s="504">
        <f>SUM(H53:H60)</f>
        <v>127489245</v>
      </c>
      <c r="I61" s="368">
        <f t="shared" ref="I61:J61" si="40">SUM(I53:I60)</f>
        <v>214632445</v>
      </c>
      <c r="J61" s="368">
        <f t="shared" si="40"/>
        <v>0</v>
      </c>
      <c r="K61" s="368"/>
      <c r="L61" s="368"/>
      <c r="M61" s="368"/>
      <c r="N61" s="515"/>
      <c r="O61" s="368"/>
      <c r="P61" s="504">
        <f>SUM(P53:P60)</f>
        <v>-12643857</v>
      </c>
      <c r="Q61" s="368">
        <f t="shared" ref="Q61:S61" si="41">SUM(Q53:Q60)</f>
        <v>54271622</v>
      </c>
      <c r="R61" s="368">
        <f t="shared" si="41"/>
        <v>0</v>
      </c>
      <c r="S61" s="368">
        <f t="shared" si="41"/>
        <v>41627765</v>
      </c>
      <c r="T61" s="502"/>
      <c r="U61" s="74"/>
    </row>
    <row r="62" spans="1:21" x14ac:dyDescent="0.25">
      <c r="C62" s="501"/>
      <c r="D62" s="74"/>
      <c r="E62" s="74"/>
      <c r="F62" s="527"/>
      <c r="G62" s="74"/>
      <c r="H62" s="501"/>
      <c r="K62" s="74"/>
      <c r="L62" s="87"/>
      <c r="M62" s="87"/>
      <c r="N62" s="502"/>
      <c r="O62" s="74"/>
      <c r="P62" s="501"/>
      <c r="Q62" s="73"/>
      <c r="R62" s="73"/>
      <c r="S62" s="73"/>
      <c r="T62" s="502"/>
      <c r="U62" s="74"/>
    </row>
    <row r="63" spans="1:21" x14ac:dyDescent="0.25">
      <c r="C63" s="501"/>
      <c r="D63" s="74"/>
      <c r="E63" s="74"/>
      <c r="F63" s="527"/>
      <c r="G63" s="74"/>
      <c r="H63" s="501"/>
      <c r="K63" s="74"/>
      <c r="L63" s="87"/>
      <c r="M63" s="87"/>
      <c r="N63" s="502"/>
      <c r="O63" s="74"/>
      <c r="P63" s="501"/>
      <c r="Q63" s="73"/>
      <c r="R63" s="73"/>
      <c r="S63" s="73"/>
      <c r="T63" s="502"/>
      <c r="U63" s="74"/>
    </row>
    <row r="64" spans="1:21" x14ac:dyDescent="0.25">
      <c r="A64" s="322" t="s">
        <v>111</v>
      </c>
      <c r="B64" s="322" t="str">
        <f>+'3. Önk. Kiadások'!B81</f>
        <v>Elláttotak pénzpeli juttatásai</v>
      </c>
      <c r="C64" s="501"/>
      <c r="D64" s="74"/>
      <c r="E64" s="74"/>
      <c r="F64" s="527"/>
      <c r="G64" s="74"/>
      <c r="H64" s="501"/>
      <c r="K64" s="74"/>
      <c r="L64" s="87"/>
      <c r="M64" s="87"/>
      <c r="N64" s="502"/>
      <c r="O64" s="74"/>
      <c r="P64" s="501"/>
      <c r="Q64" s="73"/>
      <c r="R64" s="73"/>
      <c r="S64" s="73"/>
      <c r="T64" s="502"/>
      <c r="U64" s="74"/>
    </row>
    <row r="65" spans="1:21" x14ac:dyDescent="0.25">
      <c r="B65" s="56" t="str">
        <f t="shared" ref="B65:B71" si="42">+B53</f>
        <v>Sülysáp Város Önkormányzata</v>
      </c>
      <c r="C65" s="501">
        <f>+'3. Önk. Kiadások'!C81</f>
        <v>22100000</v>
      </c>
      <c r="D65" s="73">
        <f>+'3. Önk. Kiadások'!D81</f>
        <v>24267500</v>
      </c>
      <c r="E65" s="73">
        <f>+'3. Önk. Kiadások'!E81</f>
        <v>20200000</v>
      </c>
      <c r="F65" s="462">
        <f>+'3. Önk. Kiadások'!F81</f>
        <v>0</v>
      </c>
      <c r="G65" s="74"/>
      <c r="H65" s="501">
        <f>+'3. Önk. Kiadások'!H81</f>
        <v>7396231</v>
      </c>
      <c r="I65" s="73">
        <f>+'3. Önk. Kiadások'!I81</f>
        <v>10496866</v>
      </c>
      <c r="J65" s="73">
        <f>+'3. Önk. Kiadások'!J81</f>
        <v>0</v>
      </c>
      <c r="K65" s="74"/>
      <c r="L65" s="87"/>
      <c r="M65" s="87"/>
      <c r="N65" s="502"/>
      <c r="O65" s="74"/>
      <c r="P65" s="501">
        <f>+'3. Önk. Kiadások'!P81</f>
        <v>2167500</v>
      </c>
      <c r="Q65" s="73">
        <f>+'3. Önk. Kiadások'!Q81</f>
        <v>-4067500</v>
      </c>
      <c r="R65" s="73">
        <f>+'3. Önk. Kiadások'!R81</f>
        <v>0</v>
      </c>
      <c r="S65" s="73">
        <f>+'3. Önk. Kiadások'!S81</f>
        <v>-1900000</v>
      </c>
      <c r="T65" s="502"/>
      <c r="U65" s="74"/>
    </row>
    <row r="66" spans="1:21" x14ac:dyDescent="0.25">
      <c r="A66" s="56"/>
      <c r="B66" s="56" t="str">
        <f t="shared" si="42"/>
        <v>Gondozási Központ</v>
      </c>
      <c r="C66" s="501"/>
      <c r="D66" s="73"/>
      <c r="E66" s="73"/>
      <c r="F66" s="462"/>
      <c r="G66" s="73"/>
      <c r="H66" s="501"/>
      <c r="I66" s="73"/>
      <c r="J66" s="73"/>
      <c r="K66" s="73"/>
      <c r="L66" s="73"/>
      <c r="M66" s="73"/>
      <c r="N66" s="462"/>
      <c r="O66" s="73"/>
      <c r="P66" s="501"/>
      <c r="Q66" s="73"/>
      <c r="R66" s="73"/>
      <c r="S66" s="73"/>
      <c r="T66" s="502"/>
      <c r="U66" s="74"/>
    </row>
    <row r="67" spans="1:21" x14ac:dyDescent="0.25">
      <c r="B67" s="56" t="str">
        <f t="shared" si="42"/>
        <v>Csicsergő Napköziotthonos Óvoda</v>
      </c>
      <c r="C67" s="501"/>
      <c r="D67" s="73"/>
      <c r="E67" s="73"/>
      <c r="F67" s="462"/>
      <c r="G67" s="73"/>
      <c r="H67" s="501"/>
      <c r="I67" s="73"/>
      <c r="J67" s="73"/>
      <c r="K67" s="73"/>
      <c r="L67" s="73"/>
      <c r="M67" s="73"/>
      <c r="N67" s="462"/>
      <c r="O67" s="73"/>
      <c r="P67" s="501"/>
      <c r="Q67" s="73"/>
      <c r="R67" s="73"/>
      <c r="S67" s="73"/>
      <c r="T67" s="502"/>
      <c r="U67" s="74"/>
    </row>
    <row r="68" spans="1:21" x14ac:dyDescent="0.25">
      <c r="B68" s="56" t="str">
        <f t="shared" si="42"/>
        <v>Gólyahír Bőlcsőde</v>
      </c>
      <c r="C68" s="501"/>
      <c r="D68" s="73"/>
      <c r="E68" s="73"/>
      <c r="F68" s="462"/>
      <c r="G68" s="73"/>
      <c r="H68" s="501"/>
      <c r="I68" s="73"/>
      <c r="J68" s="73"/>
      <c r="K68" s="73"/>
      <c r="L68" s="73"/>
      <c r="M68" s="73"/>
      <c r="N68" s="462"/>
      <c r="O68" s="73"/>
      <c r="P68" s="501"/>
      <c r="Q68" s="73"/>
      <c r="R68" s="73"/>
      <c r="S68" s="73"/>
      <c r="T68" s="502"/>
      <c r="U68" s="74"/>
    </row>
    <row r="69" spans="1:21" x14ac:dyDescent="0.25">
      <c r="B69" s="56" t="str">
        <f t="shared" si="42"/>
        <v>Polgármesteri Hivatal</v>
      </c>
      <c r="C69" s="501"/>
      <c r="D69" s="73"/>
      <c r="E69" s="73"/>
      <c r="F69" s="462"/>
      <c r="G69" s="73"/>
      <c r="H69" s="501"/>
      <c r="I69" s="73"/>
      <c r="J69" s="73"/>
      <c r="K69" s="73"/>
      <c r="L69" s="73"/>
      <c r="M69" s="73"/>
      <c r="N69" s="462"/>
      <c r="O69" s="73"/>
      <c r="P69" s="501"/>
      <c r="Q69" s="73"/>
      <c r="R69" s="73"/>
      <c r="S69" s="73"/>
      <c r="T69" s="502"/>
      <c r="U69" s="74"/>
    </row>
    <row r="70" spans="1:21" x14ac:dyDescent="0.25">
      <c r="B70" s="56" t="str">
        <f t="shared" si="42"/>
        <v>Wass Albert Művelődési Központ és Könyvtár</v>
      </c>
      <c r="C70" s="501"/>
      <c r="D70" s="73"/>
      <c r="E70" s="73"/>
      <c r="F70" s="462"/>
      <c r="G70" s="73"/>
      <c r="H70" s="501"/>
      <c r="I70" s="73"/>
      <c r="J70" s="73"/>
      <c r="K70" s="73"/>
      <c r="L70" s="73"/>
      <c r="M70" s="73"/>
      <c r="N70" s="462"/>
      <c r="O70" s="73"/>
      <c r="P70" s="501"/>
      <c r="Q70" s="73"/>
      <c r="R70" s="73"/>
      <c r="S70" s="73"/>
      <c r="T70" s="502"/>
      <c r="U70" s="74"/>
    </row>
    <row r="71" spans="1:21" x14ac:dyDescent="0.25">
      <c r="B71" s="56" t="str">
        <f t="shared" si="42"/>
        <v>Központi Konyha</v>
      </c>
      <c r="C71" s="501"/>
      <c r="D71" s="73"/>
      <c r="E71" s="73"/>
      <c r="F71" s="462"/>
      <c r="G71" s="73"/>
      <c r="H71" s="501"/>
      <c r="I71" s="73"/>
      <c r="J71" s="73"/>
      <c r="K71" s="73"/>
      <c r="L71" s="73"/>
      <c r="M71" s="73"/>
      <c r="N71" s="462"/>
      <c r="O71" s="73"/>
      <c r="P71" s="501"/>
      <c r="Q71" s="73"/>
      <c r="R71" s="73"/>
      <c r="S71" s="73"/>
      <c r="T71" s="502"/>
      <c r="U71" s="74"/>
    </row>
    <row r="72" spans="1:21" ht="8.1" customHeight="1" x14ac:dyDescent="0.25">
      <c r="B72" s="386" t="s">
        <v>453</v>
      </c>
      <c r="C72" s="503"/>
      <c r="D72" s="385"/>
      <c r="E72" s="385"/>
      <c r="F72" s="514"/>
      <c r="G72" s="385"/>
      <c r="H72" s="503"/>
      <c r="I72" s="385"/>
      <c r="J72" s="385"/>
      <c r="K72" s="385"/>
      <c r="L72" s="385"/>
      <c r="M72" s="385"/>
      <c r="N72" s="514"/>
      <c r="O72" s="385"/>
      <c r="P72" s="503"/>
      <c r="Q72" s="385"/>
      <c r="R72" s="385"/>
      <c r="S72" s="385"/>
      <c r="T72" s="502"/>
      <c r="U72" s="74"/>
    </row>
    <row r="73" spans="1:21" x14ac:dyDescent="0.25">
      <c r="A73" s="387" t="str">
        <f>+A64</f>
        <v>K4</v>
      </c>
      <c r="B73" s="367" t="s">
        <v>447</v>
      </c>
      <c r="C73" s="504">
        <f>SUM(C65:C72)</f>
        <v>22100000</v>
      </c>
      <c r="D73" s="368">
        <f t="shared" ref="D73:F73" si="43">SUM(D65:D72)</f>
        <v>24267500</v>
      </c>
      <c r="E73" s="368">
        <f t="shared" si="43"/>
        <v>20200000</v>
      </c>
      <c r="F73" s="515">
        <f t="shared" si="43"/>
        <v>0</v>
      </c>
      <c r="G73" s="368"/>
      <c r="H73" s="504">
        <f>SUM(H65:H72)</f>
        <v>7396231</v>
      </c>
      <c r="I73" s="368">
        <f t="shared" ref="I73:J73" si="44">SUM(I65:I72)</f>
        <v>10496866</v>
      </c>
      <c r="J73" s="368">
        <f t="shared" si="44"/>
        <v>0</v>
      </c>
      <c r="K73" s="368"/>
      <c r="L73" s="368"/>
      <c r="M73" s="368"/>
      <c r="N73" s="515"/>
      <c r="O73" s="368"/>
      <c r="P73" s="504">
        <f>SUM(P65:P72)</f>
        <v>2167500</v>
      </c>
      <c r="Q73" s="368">
        <f t="shared" ref="Q73:S73" si="45">SUM(Q65:Q72)</f>
        <v>-4067500</v>
      </c>
      <c r="R73" s="368">
        <f t="shared" si="45"/>
        <v>0</v>
      </c>
      <c r="S73" s="368">
        <f t="shared" si="45"/>
        <v>-1900000</v>
      </c>
      <c r="T73" s="502"/>
      <c r="U73" s="74"/>
    </row>
    <row r="74" spans="1:21" x14ac:dyDescent="0.25">
      <c r="C74" s="505"/>
      <c r="F74" s="460"/>
      <c r="H74" s="505"/>
      <c r="N74" s="502"/>
      <c r="P74" s="505"/>
      <c r="T74" s="502"/>
    </row>
    <row r="75" spans="1:21" x14ac:dyDescent="0.25">
      <c r="C75" s="505"/>
      <c r="F75" s="460"/>
      <c r="H75" s="505"/>
      <c r="N75" s="502"/>
      <c r="P75" s="505"/>
      <c r="T75" s="502"/>
    </row>
    <row r="76" spans="1:21" x14ac:dyDescent="0.25">
      <c r="A76" s="322" t="s">
        <v>375</v>
      </c>
      <c r="B76" s="322" t="str">
        <f>+'3. Önk. Kiadások'!B106</f>
        <v>Egyéb működési célú kiadások</v>
      </c>
      <c r="C76" s="501"/>
      <c r="D76" s="74"/>
      <c r="E76" s="74"/>
      <c r="F76" s="527"/>
      <c r="G76" s="74"/>
      <c r="H76" s="501"/>
      <c r="K76" s="74"/>
      <c r="L76" s="87"/>
      <c r="M76" s="87"/>
      <c r="N76" s="502"/>
      <c r="O76" s="74"/>
      <c r="P76" s="501"/>
      <c r="Q76" s="73"/>
      <c r="R76" s="73"/>
      <c r="S76" s="73"/>
      <c r="T76" s="502"/>
      <c r="U76" s="74"/>
    </row>
    <row r="77" spans="1:21" x14ac:dyDescent="0.25">
      <c r="B77" s="56" t="str">
        <f t="shared" ref="B77:B83" si="46">+B65</f>
        <v>Sülysáp Város Önkormányzata</v>
      </c>
      <c r="C77" s="501">
        <f>+'3. Önk. Kiadások'!C106</f>
        <v>106777000</v>
      </c>
      <c r="D77" s="73">
        <f>+'3. Önk. Kiadások'!D106</f>
        <v>114831425</v>
      </c>
      <c r="E77" s="73">
        <f>+'3. Önk. Kiadások'!E106</f>
        <v>126926504</v>
      </c>
      <c r="F77" s="462">
        <f>+'3. Önk. Kiadások'!F106</f>
        <v>0</v>
      </c>
      <c r="G77" s="74"/>
      <c r="H77" s="501">
        <f>+'3. Önk. Kiadások'!H106</f>
        <v>68417711</v>
      </c>
      <c r="I77" s="73">
        <f>+'3. Önk. Kiadások'!I106</f>
        <v>111271404</v>
      </c>
      <c r="J77" s="73">
        <f>+'3. Önk. Kiadások'!J106</f>
        <v>0</v>
      </c>
      <c r="K77" s="74"/>
      <c r="L77" s="87"/>
      <c r="M77" s="87"/>
      <c r="N77" s="502"/>
      <c r="O77" s="74"/>
      <c r="P77" s="501">
        <f>+'3. Önk. Kiadások'!P106</f>
        <v>8054425</v>
      </c>
      <c r="Q77" s="73">
        <f>+'3. Önk. Kiadások'!Q106</f>
        <v>12095079</v>
      </c>
      <c r="R77" s="73">
        <f>+'3. Önk. Kiadások'!R106</f>
        <v>0</v>
      </c>
      <c r="S77" s="73">
        <f>+'3. Önk. Kiadások'!S106</f>
        <v>20149504</v>
      </c>
      <c r="T77" s="502"/>
      <c r="U77" s="74"/>
    </row>
    <row r="78" spans="1:21" x14ac:dyDescent="0.25">
      <c r="A78" s="56"/>
      <c r="B78" s="56" t="str">
        <f t="shared" si="46"/>
        <v>Gondozási Központ</v>
      </c>
      <c r="C78" s="501"/>
      <c r="D78" s="73"/>
      <c r="E78" s="73"/>
      <c r="F78" s="462"/>
      <c r="G78" s="73"/>
      <c r="H78" s="501"/>
      <c r="I78" s="73"/>
      <c r="J78" s="73"/>
      <c r="K78" s="73"/>
      <c r="L78" s="73"/>
      <c r="M78" s="73"/>
      <c r="N78" s="462"/>
      <c r="O78" s="73"/>
      <c r="P78" s="501"/>
      <c r="Q78" s="73"/>
      <c r="R78" s="73"/>
      <c r="S78" s="73"/>
      <c r="T78" s="502"/>
      <c r="U78" s="74"/>
    </row>
    <row r="79" spans="1:21" x14ac:dyDescent="0.25">
      <c r="B79" s="56" t="str">
        <f t="shared" si="46"/>
        <v>Csicsergő Napköziotthonos Óvoda</v>
      </c>
      <c r="C79" s="501"/>
      <c r="D79" s="73"/>
      <c r="E79" s="73"/>
      <c r="F79" s="462"/>
      <c r="G79" s="73"/>
      <c r="H79" s="501"/>
      <c r="I79" s="73"/>
      <c r="J79" s="73"/>
      <c r="K79" s="73"/>
      <c r="L79" s="73"/>
      <c r="M79" s="73"/>
      <c r="N79" s="462"/>
      <c r="O79" s="73"/>
      <c r="P79" s="501"/>
      <c r="Q79" s="73"/>
      <c r="R79" s="73"/>
      <c r="S79" s="73"/>
      <c r="T79" s="502"/>
      <c r="U79" s="74"/>
    </row>
    <row r="80" spans="1:21" x14ac:dyDescent="0.25">
      <c r="B80" s="56" t="str">
        <f t="shared" si="46"/>
        <v>Gólyahír Bőlcsőde</v>
      </c>
      <c r="C80" s="501"/>
      <c r="D80" s="73"/>
      <c r="E80" s="73"/>
      <c r="F80" s="462"/>
      <c r="G80" s="73"/>
      <c r="H80" s="501"/>
      <c r="I80" s="73"/>
      <c r="J80" s="73"/>
      <c r="K80" s="73"/>
      <c r="L80" s="73"/>
      <c r="M80" s="73"/>
      <c r="N80" s="462"/>
      <c r="O80" s="73"/>
      <c r="P80" s="501"/>
      <c r="Q80" s="73"/>
      <c r="R80" s="73"/>
      <c r="S80" s="73"/>
      <c r="T80" s="502"/>
      <c r="U80" s="74"/>
    </row>
    <row r="81" spans="1:21" x14ac:dyDescent="0.25">
      <c r="B81" s="56" t="str">
        <f t="shared" si="46"/>
        <v>Polgármesteri Hivatal</v>
      </c>
      <c r="C81" s="501"/>
      <c r="D81" s="73"/>
      <c r="E81" s="73"/>
      <c r="F81" s="462"/>
      <c r="G81" s="73"/>
      <c r="H81" s="501"/>
      <c r="I81" s="73"/>
      <c r="J81" s="73"/>
      <c r="K81" s="73"/>
      <c r="L81" s="73"/>
      <c r="M81" s="73"/>
      <c r="N81" s="462"/>
      <c r="O81" s="73"/>
      <c r="P81" s="501"/>
      <c r="Q81" s="73"/>
      <c r="R81" s="73"/>
      <c r="S81" s="73"/>
      <c r="T81" s="502"/>
      <c r="U81" s="74"/>
    </row>
    <row r="82" spans="1:21" x14ac:dyDescent="0.25">
      <c r="B82" s="56" t="str">
        <f t="shared" si="46"/>
        <v>Wass Albert Művelődési Központ és Könyvtár</v>
      </c>
      <c r="C82" s="501"/>
      <c r="D82" s="73"/>
      <c r="E82" s="73"/>
      <c r="F82" s="462"/>
      <c r="G82" s="73"/>
      <c r="H82" s="501"/>
      <c r="I82" s="73"/>
      <c r="J82" s="73"/>
      <c r="K82" s="73"/>
      <c r="L82" s="73"/>
      <c r="M82" s="73"/>
      <c r="N82" s="462"/>
      <c r="O82" s="73"/>
      <c r="P82" s="501"/>
      <c r="Q82" s="73"/>
      <c r="R82" s="73"/>
      <c r="S82" s="73"/>
      <c r="T82" s="502"/>
      <c r="U82" s="74"/>
    </row>
    <row r="83" spans="1:21" x14ac:dyDescent="0.25">
      <c r="B83" s="56" t="str">
        <f t="shared" si="46"/>
        <v>Központi Konyha</v>
      </c>
      <c r="C83" s="501"/>
      <c r="D83" s="73"/>
      <c r="E83" s="73"/>
      <c r="F83" s="462"/>
      <c r="G83" s="73"/>
      <c r="H83" s="501"/>
      <c r="I83" s="73"/>
      <c r="J83" s="73"/>
      <c r="K83" s="73"/>
      <c r="L83" s="73"/>
      <c r="M83" s="73"/>
      <c r="N83" s="462"/>
      <c r="O83" s="73"/>
      <c r="P83" s="501"/>
      <c r="Q83" s="73"/>
      <c r="R83" s="73"/>
      <c r="S83" s="73"/>
      <c r="T83" s="502"/>
      <c r="U83" s="74"/>
    </row>
    <row r="84" spans="1:21" ht="8.1" customHeight="1" x14ac:dyDescent="0.25">
      <c r="B84" s="386" t="s">
        <v>453</v>
      </c>
      <c r="C84" s="503"/>
      <c r="D84" s="385"/>
      <c r="E84" s="385"/>
      <c r="F84" s="514"/>
      <c r="G84" s="385"/>
      <c r="H84" s="503"/>
      <c r="I84" s="385"/>
      <c r="J84" s="385"/>
      <c r="K84" s="385"/>
      <c r="L84" s="385"/>
      <c r="M84" s="385"/>
      <c r="N84" s="514"/>
      <c r="O84" s="385"/>
      <c r="P84" s="503"/>
      <c r="Q84" s="385"/>
      <c r="R84" s="385"/>
      <c r="S84" s="385"/>
      <c r="T84" s="502"/>
      <c r="U84" s="74"/>
    </row>
    <row r="85" spans="1:21" x14ac:dyDescent="0.25">
      <c r="A85" s="387" t="str">
        <f>+A76</f>
        <v>K5</v>
      </c>
      <c r="B85" s="367" t="s">
        <v>447</v>
      </c>
      <c r="C85" s="504">
        <f>SUM(C77:C84)</f>
        <v>106777000</v>
      </c>
      <c r="D85" s="368">
        <f t="shared" ref="D85:F85" si="47">SUM(D77:D84)</f>
        <v>114831425</v>
      </c>
      <c r="E85" s="368">
        <f t="shared" si="47"/>
        <v>126926504</v>
      </c>
      <c r="F85" s="515">
        <f t="shared" si="47"/>
        <v>0</v>
      </c>
      <c r="G85" s="368"/>
      <c r="H85" s="504">
        <f>SUM(H77:H84)</f>
        <v>68417711</v>
      </c>
      <c r="I85" s="368">
        <f t="shared" ref="I85:J85" si="48">SUM(I77:I84)</f>
        <v>111271404</v>
      </c>
      <c r="J85" s="368">
        <f t="shared" si="48"/>
        <v>0</v>
      </c>
      <c r="K85" s="368"/>
      <c r="L85" s="368"/>
      <c r="M85" s="368"/>
      <c r="N85" s="515"/>
      <c r="O85" s="368"/>
      <c r="P85" s="504">
        <f>SUM(P77:P84)</f>
        <v>8054425</v>
      </c>
      <c r="Q85" s="368">
        <f t="shared" ref="Q85:S85" si="49">SUM(Q77:Q84)</f>
        <v>12095079</v>
      </c>
      <c r="R85" s="368">
        <f t="shared" si="49"/>
        <v>0</v>
      </c>
      <c r="S85" s="368">
        <f t="shared" si="49"/>
        <v>20149504</v>
      </c>
      <c r="T85" s="502"/>
      <c r="U85" s="74"/>
    </row>
    <row r="86" spans="1:21" x14ac:dyDescent="0.25">
      <c r="C86" s="505"/>
      <c r="F86" s="460"/>
      <c r="H86" s="505"/>
      <c r="N86" s="502"/>
      <c r="P86" s="505"/>
      <c r="T86" s="502"/>
    </row>
    <row r="87" spans="1:21" x14ac:dyDescent="0.25">
      <c r="C87" s="505"/>
      <c r="F87" s="460"/>
      <c r="H87" s="505"/>
      <c r="N87" s="502"/>
      <c r="P87" s="505"/>
      <c r="T87" s="502"/>
    </row>
    <row r="88" spans="1:21" x14ac:dyDescent="0.25">
      <c r="A88" s="322" t="s">
        <v>158</v>
      </c>
      <c r="B88" s="322" t="str">
        <f>+'3. Önk. Kiadások'!B120</f>
        <v>Beruházások</v>
      </c>
      <c r="C88" s="501"/>
      <c r="D88" s="74"/>
      <c r="E88" s="74"/>
      <c r="F88" s="527"/>
      <c r="G88" s="74"/>
      <c r="H88" s="501"/>
      <c r="K88" s="74"/>
      <c r="L88" s="87"/>
      <c r="M88" s="87"/>
      <c r="N88" s="502"/>
      <c r="O88" s="74"/>
      <c r="P88" s="501"/>
      <c r="Q88" s="73"/>
      <c r="R88" s="73"/>
      <c r="S88" s="73"/>
      <c r="T88" s="502"/>
      <c r="U88" s="74"/>
    </row>
    <row r="89" spans="1:21" x14ac:dyDescent="0.25">
      <c r="B89" s="56" t="str">
        <f t="shared" ref="B89:B95" si="50">+B77</f>
        <v>Sülysáp Város Önkormányzata</v>
      </c>
      <c r="C89" s="501">
        <f>+'3. Önk. Kiadások'!C120</f>
        <v>792250000</v>
      </c>
      <c r="D89" s="73">
        <f>+'3. Önk. Kiadások'!D120</f>
        <v>793165620</v>
      </c>
      <c r="E89" s="73">
        <f>+'3. Önk. Kiadások'!E120</f>
        <v>742381620</v>
      </c>
      <c r="F89" s="462">
        <f>+'3. Önk. Kiadások'!F120</f>
        <v>0</v>
      </c>
      <c r="G89" s="74"/>
      <c r="H89" s="501">
        <f>+'3. Önk. Kiadások'!H120</f>
        <v>97143389</v>
      </c>
      <c r="I89" s="73">
        <f>+'3. Önk. Kiadások'!I120</f>
        <v>175947301</v>
      </c>
      <c r="J89" s="73">
        <f>+'3. Önk. Kiadások'!J120</f>
        <v>0</v>
      </c>
      <c r="K89" s="74"/>
      <c r="L89" s="87"/>
      <c r="M89" s="87"/>
      <c r="N89" s="502"/>
      <c r="O89" s="74"/>
      <c r="P89" s="501">
        <f>+'3. Önk. Kiadások'!P120</f>
        <v>915620</v>
      </c>
      <c r="Q89" s="73">
        <f>+'3. Önk. Kiadások'!Q120</f>
        <v>-50784000</v>
      </c>
      <c r="R89" s="73">
        <f>+'3. Önk. Kiadások'!R120</f>
        <v>0</v>
      </c>
      <c r="S89" s="73">
        <f>+'3. Önk. Kiadások'!S120</f>
        <v>-49868380</v>
      </c>
      <c r="T89" s="502"/>
      <c r="U89" s="74"/>
    </row>
    <row r="90" spans="1:21" x14ac:dyDescent="0.25">
      <c r="A90" s="56"/>
      <c r="B90" s="56" t="str">
        <f t="shared" si="50"/>
        <v>Gondozási Központ</v>
      </c>
      <c r="C90" s="501">
        <f>+'4. Dr Gáspár HSZK'!C83</f>
        <v>120000</v>
      </c>
      <c r="D90" s="73">
        <f>+'4. Dr Gáspár HSZK'!D83</f>
        <v>120000</v>
      </c>
      <c r="E90" s="73">
        <f>+'4. Dr Gáspár HSZK'!E83</f>
        <v>120000</v>
      </c>
      <c r="F90" s="462">
        <f>+'4. Dr Gáspár HSZK'!F83</f>
        <v>0</v>
      </c>
      <c r="G90" s="73"/>
      <c r="H90" s="501">
        <f>+'4. Dr Gáspár HSZK'!H83</f>
        <v>0</v>
      </c>
      <c r="I90" s="73">
        <f>+'4. Dr Gáspár HSZK'!I83</f>
        <v>0</v>
      </c>
      <c r="J90" s="73">
        <f>+'4. Dr Gáspár HSZK'!J83</f>
        <v>0</v>
      </c>
      <c r="K90" s="73"/>
      <c r="L90" s="73"/>
      <c r="M90" s="73"/>
      <c r="N90" s="462"/>
      <c r="O90" s="73"/>
      <c r="P90" s="501">
        <f>+'4. Dr Gáspár HSZK'!P83</f>
        <v>0</v>
      </c>
      <c r="Q90" s="73">
        <f>+'4. Dr Gáspár HSZK'!Q83</f>
        <v>0</v>
      </c>
      <c r="R90" s="73">
        <f>+'4. Dr Gáspár HSZK'!R83</f>
        <v>0</v>
      </c>
      <c r="S90" s="73">
        <f>+'4. Dr Gáspár HSZK'!S83</f>
        <v>0</v>
      </c>
      <c r="T90" s="502"/>
      <c r="U90" s="74"/>
    </row>
    <row r="91" spans="1:21" x14ac:dyDescent="0.25">
      <c r="B91" s="56" t="str">
        <f t="shared" si="50"/>
        <v>Csicsergő Napköziotthonos Óvoda</v>
      </c>
      <c r="C91" s="501">
        <f>+'5. Csicsergő'!C84</f>
        <v>1650000</v>
      </c>
      <c r="D91" s="73">
        <f>+'5. Csicsergő'!D84</f>
        <v>1650000</v>
      </c>
      <c r="E91" s="73">
        <f>+'5. Csicsergő'!E84</f>
        <v>1650000</v>
      </c>
      <c r="F91" s="462">
        <f>+'5. Csicsergő'!F84</f>
        <v>0</v>
      </c>
      <c r="G91" s="73"/>
      <c r="H91" s="501">
        <f>+'5. Csicsergő'!H84</f>
        <v>1297203</v>
      </c>
      <c r="I91" s="73">
        <f>+'5. Csicsergő'!I84</f>
        <v>1398983</v>
      </c>
      <c r="J91" s="73">
        <f>+'5. Csicsergő'!J84</f>
        <v>0</v>
      </c>
      <c r="K91" s="73"/>
      <c r="L91" s="73"/>
      <c r="M91" s="73"/>
      <c r="N91" s="462"/>
      <c r="O91" s="73"/>
      <c r="P91" s="501">
        <f>+'5. Csicsergő'!P84</f>
        <v>0</v>
      </c>
      <c r="Q91" s="73">
        <f>+'5. Csicsergő'!Q84</f>
        <v>0</v>
      </c>
      <c r="R91" s="73">
        <f>+'5. Csicsergő'!R84</f>
        <v>0</v>
      </c>
      <c r="S91" s="73">
        <f>+'5. Csicsergő'!S84</f>
        <v>0</v>
      </c>
      <c r="T91" s="502"/>
      <c r="U91" s="74"/>
    </row>
    <row r="92" spans="1:21" x14ac:dyDescent="0.25">
      <c r="B92" s="56" t="str">
        <f t="shared" si="50"/>
        <v>Gólyahír Bőlcsőde</v>
      </c>
      <c r="C92" s="501">
        <f>+'6. Gólyahír'!C83</f>
        <v>300000</v>
      </c>
      <c r="D92" s="73">
        <f>+'6. Gólyahír'!D83</f>
        <v>780000</v>
      </c>
      <c r="E92" s="73">
        <f>+'6. Gólyahír'!E83</f>
        <v>780000</v>
      </c>
      <c r="F92" s="462">
        <f>+'6. Gólyahír'!F83</f>
        <v>0</v>
      </c>
      <c r="G92" s="73"/>
      <c r="H92" s="501">
        <f>+'6. Gólyahír'!H83</f>
        <v>757830</v>
      </c>
      <c r="I92" s="73">
        <f>+'6. Gólyahír'!I83</f>
        <v>757830</v>
      </c>
      <c r="J92" s="73">
        <f>+'6. Gólyahír'!J83</f>
        <v>0</v>
      </c>
      <c r="K92" s="73"/>
      <c r="L92" s="73"/>
      <c r="M92" s="73"/>
      <c r="N92" s="462"/>
      <c r="O92" s="73"/>
      <c r="P92" s="501">
        <f>+'6. Gólyahír'!P83</f>
        <v>480000</v>
      </c>
      <c r="Q92" s="73">
        <f>+'6. Gólyahír'!Q83</f>
        <v>0</v>
      </c>
      <c r="R92" s="73">
        <f>+'6. Gólyahír'!R83</f>
        <v>0</v>
      </c>
      <c r="S92" s="73">
        <f>+'6. Gólyahír'!S83</f>
        <v>480000</v>
      </c>
      <c r="T92" s="502"/>
      <c r="U92" s="74"/>
    </row>
    <row r="93" spans="1:21" x14ac:dyDescent="0.25">
      <c r="B93" s="328" t="str">
        <f t="shared" si="50"/>
        <v>Polgármesteri Hivatal</v>
      </c>
      <c r="C93" s="501">
        <f>+'7. Polg.Hiv.'!C83</f>
        <v>1730000</v>
      </c>
      <c r="D93" s="73">
        <f>+'7. Polg.Hiv.'!D83</f>
        <v>1730000</v>
      </c>
      <c r="E93" s="73">
        <f>+'7. Polg.Hiv.'!E83</f>
        <v>1730000</v>
      </c>
      <c r="F93" s="462">
        <f>+'7. Polg.Hiv.'!F83</f>
        <v>0</v>
      </c>
      <c r="G93" s="73"/>
      <c r="H93" s="501">
        <f>+'7. Polg.Hiv.'!H83</f>
        <v>1486434</v>
      </c>
      <c r="I93" s="73">
        <f>+'7. Polg.Hiv.'!I83</f>
        <v>1509335</v>
      </c>
      <c r="J93" s="73">
        <f>+'7. Polg.Hiv.'!J83</f>
        <v>0</v>
      </c>
      <c r="K93" s="73"/>
      <c r="L93" s="73"/>
      <c r="M93" s="73"/>
      <c r="N93" s="462"/>
      <c r="O93" s="73"/>
      <c r="P93" s="501">
        <f>+'7. Polg.Hiv.'!P83</f>
        <v>0</v>
      </c>
      <c r="Q93" s="73">
        <f>+'7. Polg.Hiv.'!Q83</f>
        <v>0</v>
      </c>
      <c r="R93" s="73">
        <f>+'7. Polg.Hiv.'!R83</f>
        <v>0</v>
      </c>
      <c r="S93" s="73">
        <f>+'7. Polg.Hiv.'!S83</f>
        <v>0</v>
      </c>
      <c r="T93" s="502"/>
      <c r="U93" s="74"/>
    </row>
    <row r="94" spans="1:21" x14ac:dyDescent="0.25">
      <c r="B94" s="56" t="str">
        <f t="shared" si="50"/>
        <v>Wass Albert Művelődési Központ és Könyvtár</v>
      </c>
      <c r="C94" s="501">
        <f>+'8. WAMKK'!C83</f>
        <v>200000</v>
      </c>
      <c r="D94" s="73">
        <f>+'8. WAMKK'!D83</f>
        <v>272400</v>
      </c>
      <c r="E94" s="73">
        <f>+'8. WAMKK'!E83</f>
        <v>272400</v>
      </c>
      <c r="F94" s="462">
        <f>+'8. WAMKK'!F83</f>
        <v>0</v>
      </c>
      <c r="G94" s="73"/>
      <c r="H94" s="501">
        <f>+'8. WAMKK'!H83</f>
        <v>225840</v>
      </c>
      <c r="I94" s="73">
        <f>+'8. WAMKK'!I83</f>
        <v>225840</v>
      </c>
      <c r="J94" s="73">
        <f>+'8. WAMKK'!J83</f>
        <v>0</v>
      </c>
      <c r="K94" s="73"/>
      <c r="L94" s="73"/>
      <c r="M94" s="73"/>
      <c r="N94" s="462"/>
      <c r="O94" s="73"/>
      <c r="P94" s="501">
        <f>+'8. WAMKK'!P83</f>
        <v>72400</v>
      </c>
      <c r="Q94" s="73">
        <f>+'8. WAMKK'!Q83</f>
        <v>0</v>
      </c>
      <c r="R94" s="73">
        <f>+'8. WAMKK'!R83</f>
        <v>0</v>
      </c>
      <c r="S94" s="73">
        <f>+'8. WAMKK'!S83</f>
        <v>72400</v>
      </c>
      <c r="T94" s="502"/>
      <c r="U94" s="74"/>
    </row>
    <row r="95" spans="1:21" x14ac:dyDescent="0.25">
      <c r="B95" s="56" t="str">
        <f t="shared" si="50"/>
        <v>Központi Konyha</v>
      </c>
      <c r="C95" s="501">
        <f>+'9. Közp. Konyha'!C83</f>
        <v>0</v>
      </c>
      <c r="D95" s="73">
        <f>+'9. Közp. Konyha'!D83</f>
        <v>0</v>
      </c>
      <c r="E95" s="73">
        <f>+'9. Közp. Konyha'!E83</f>
        <v>0</v>
      </c>
      <c r="F95" s="462">
        <f>+'9. Közp. Konyha'!F83</f>
        <v>0</v>
      </c>
      <c r="G95" s="73"/>
      <c r="H95" s="501">
        <f>+'9. Közp. Konyha'!H83</f>
        <v>0</v>
      </c>
      <c r="I95" s="73">
        <f>+'9. Közp. Konyha'!I83</f>
        <v>0</v>
      </c>
      <c r="J95" s="73">
        <f>+'9. Közp. Konyha'!J83</f>
        <v>0</v>
      </c>
      <c r="K95" s="73"/>
      <c r="L95" s="73"/>
      <c r="M95" s="73"/>
      <c r="N95" s="462"/>
      <c r="O95" s="73"/>
      <c r="P95" s="501">
        <f>+'9. Közp. Konyha'!P83</f>
        <v>0</v>
      </c>
      <c r="Q95" s="73">
        <f>+'9. Közp. Konyha'!Q83</f>
        <v>0</v>
      </c>
      <c r="R95" s="73">
        <f>+'9. Közp. Konyha'!R83</f>
        <v>0</v>
      </c>
      <c r="S95" s="73">
        <f>+'9. Közp. Konyha'!S83</f>
        <v>0</v>
      </c>
      <c r="T95" s="502"/>
      <c r="U95" s="74"/>
    </row>
    <row r="96" spans="1:21" ht="8.1" customHeight="1" x14ac:dyDescent="0.25">
      <c r="B96" s="386" t="s">
        <v>453</v>
      </c>
      <c r="C96" s="503"/>
      <c r="D96" s="385"/>
      <c r="E96" s="385"/>
      <c r="F96" s="514"/>
      <c r="G96" s="385"/>
      <c r="H96" s="503"/>
      <c r="I96" s="385"/>
      <c r="J96" s="385"/>
      <c r="K96" s="385"/>
      <c r="L96" s="385"/>
      <c r="M96" s="385"/>
      <c r="N96" s="514"/>
      <c r="O96" s="385"/>
      <c r="P96" s="503"/>
      <c r="Q96" s="385"/>
      <c r="R96" s="385"/>
      <c r="S96" s="385"/>
      <c r="T96" s="502"/>
      <c r="U96" s="74"/>
    </row>
    <row r="97" spans="1:21" x14ac:dyDescent="0.25">
      <c r="A97" s="387" t="str">
        <f>+A88</f>
        <v>K6</v>
      </c>
      <c r="B97" s="367" t="s">
        <v>447</v>
      </c>
      <c r="C97" s="504">
        <f>SUM(C89:C96)</f>
        <v>796250000</v>
      </c>
      <c r="D97" s="368">
        <f t="shared" ref="D97:F97" si="51">SUM(D89:D96)</f>
        <v>797718020</v>
      </c>
      <c r="E97" s="368">
        <f t="shared" si="51"/>
        <v>746934020</v>
      </c>
      <c r="F97" s="515">
        <f t="shared" si="51"/>
        <v>0</v>
      </c>
      <c r="G97" s="368"/>
      <c r="H97" s="504">
        <f>SUM(H89:H96)</f>
        <v>100910696</v>
      </c>
      <c r="I97" s="368">
        <f t="shared" ref="I97:J97" si="52">SUM(I89:I96)</f>
        <v>179839289</v>
      </c>
      <c r="J97" s="368">
        <f t="shared" si="52"/>
        <v>0</v>
      </c>
      <c r="K97" s="368"/>
      <c r="L97" s="368"/>
      <c r="M97" s="368"/>
      <c r="N97" s="515"/>
      <c r="O97" s="368"/>
      <c r="P97" s="504">
        <f>SUM(P89:P96)</f>
        <v>1468020</v>
      </c>
      <c r="Q97" s="368">
        <f t="shared" ref="Q97:S97" si="53">SUM(Q89:Q96)</f>
        <v>-50784000</v>
      </c>
      <c r="R97" s="368">
        <f t="shared" si="53"/>
        <v>0</v>
      </c>
      <c r="S97" s="368">
        <f t="shared" si="53"/>
        <v>-49315980</v>
      </c>
      <c r="T97" s="502"/>
      <c r="U97" s="74"/>
    </row>
    <row r="98" spans="1:21" x14ac:dyDescent="0.25">
      <c r="C98" s="505"/>
      <c r="F98" s="460"/>
      <c r="H98" s="505"/>
      <c r="N98" s="502"/>
      <c r="P98" s="505"/>
      <c r="T98" s="502"/>
    </row>
    <row r="99" spans="1:21" x14ac:dyDescent="0.25">
      <c r="C99" s="505"/>
      <c r="F99" s="460"/>
      <c r="H99" s="505"/>
      <c r="N99" s="502"/>
      <c r="P99" s="505"/>
      <c r="T99" s="502"/>
    </row>
    <row r="100" spans="1:21" x14ac:dyDescent="0.25">
      <c r="A100" s="322" t="s">
        <v>173</v>
      </c>
      <c r="B100" s="322" t="str">
        <f>+'3. Önk. Kiadások'!B129</f>
        <v>Felújítások</v>
      </c>
      <c r="C100" s="501"/>
      <c r="D100" s="74"/>
      <c r="E100" s="74"/>
      <c r="F100" s="527"/>
      <c r="G100" s="74"/>
      <c r="H100" s="501"/>
      <c r="K100" s="74"/>
      <c r="L100" s="87"/>
      <c r="M100" s="87"/>
      <c r="N100" s="502"/>
      <c r="O100" s="74"/>
      <c r="P100" s="501"/>
      <c r="Q100" s="73"/>
      <c r="R100" s="73"/>
      <c r="S100" s="73"/>
      <c r="T100" s="502"/>
      <c r="U100" s="74"/>
    </row>
    <row r="101" spans="1:21" x14ac:dyDescent="0.25">
      <c r="B101" s="56" t="str">
        <f t="shared" ref="B101:B107" si="54">+B89</f>
        <v>Sülysáp Város Önkormányzata</v>
      </c>
      <c r="C101" s="501">
        <f>+'3. Önk. Kiadások'!C129</f>
        <v>198800000</v>
      </c>
      <c r="D101" s="73">
        <f>+'3. Önk. Kiadások'!D129</f>
        <v>198800000</v>
      </c>
      <c r="E101" s="73">
        <f>+'3. Önk. Kiadások'!E129</f>
        <v>197263000</v>
      </c>
      <c r="F101" s="462">
        <f>+'3. Önk. Kiadások'!F129</f>
        <v>0</v>
      </c>
      <c r="G101" s="74"/>
      <c r="H101" s="501">
        <f>+'3. Önk. Kiadások'!H129</f>
        <v>15737344</v>
      </c>
      <c r="I101" s="73">
        <f>+'3. Önk. Kiadások'!I129</f>
        <v>68275190</v>
      </c>
      <c r="J101" s="73">
        <f>+'3. Önk. Kiadások'!J129</f>
        <v>0</v>
      </c>
      <c r="K101" s="74"/>
      <c r="L101" s="87"/>
      <c r="M101" s="87"/>
      <c r="N101" s="502"/>
      <c r="O101" s="74"/>
      <c r="P101" s="501">
        <f>+'3. Önk. Kiadások'!P129</f>
        <v>0</v>
      </c>
      <c r="Q101" s="73">
        <f>+'3. Önk. Kiadások'!Q129</f>
        <v>-1537000</v>
      </c>
      <c r="R101" s="73">
        <f>+'3. Önk. Kiadások'!R129</f>
        <v>0</v>
      </c>
      <c r="S101" s="73">
        <f>+'3. Önk. Kiadások'!S129</f>
        <v>-1537000</v>
      </c>
      <c r="T101" s="502"/>
      <c r="U101" s="74"/>
    </row>
    <row r="102" spans="1:21" x14ac:dyDescent="0.25">
      <c r="A102" s="56"/>
      <c r="B102" s="56" t="str">
        <f t="shared" si="54"/>
        <v>Gondozási Központ</v>
      </c>
      <c r="C102" s="501">
        <f>+'4. Dr Gáspár HSZK'!C86</f>
        <v>0</v>
      </c>
      <c r="D102" s="73">
        <f>+'4. Dr Gáspár HSZK'!D86</f>
        <v>0</v>
      </c>
      <c r="E102" s="73">
        <f>+'4. Dr Gáspár HSZK'!E86</f>
        <v>0</v>
      </c>
      <c r="F102" s="462">
        <f>+'4. Dr Gáspár HSZK'!F86</f>
        <v>0</v>
      </c>
      <c r="G102" s="73"/>
      <c r="H102" s="501">
        <f>+'4. Dr Gáspár HSZK'!H86</f>
        <v>0</v>
      </c>
      <c r="I102" s="73">
        <f>+'4. Dr Gáspár HSZK'!I86</f>
        <v>0</v>
      </c>
      <c r="J102" s="73">
        <f>+'4. Dr Gáspár HSZK'!J86</f>
        <v>0</v>
      </c>
      <c r="K102" s="73"/>
      <c r="L102" s="73"/>
      <c r="M102" s="73"/>
      <c r="N102" s="462"/>
      <c r="O102" s="73"/>
      <c r="P102" s="501">
        <f>+'4. Dr Gáspár HSZK'!P86</f>
        <v>0</v>
      </c>
      <c r="Q102" s="73">
        <f>+'4. Dr Gáspár HSZK'!Q86</f>
        <v>0</v>
      </c>
      <c r="R102" s="73">
        <f>+'4. Dr Gáspár HSZK'!R86</f>
        <v>0</v>
      </c>
      <c r="S102" s="73">
        <f>+'4. Dr Gáspár HSZK'!S86</f>
        <v>0</v>
      </c>
      <c r="T102" s="502"/>
      <c r="U102" s="74"/>
    </row>
    <row r="103" spans="1:21" x14ac:dyDescent="0.25">
      <c r="B103" s="56" t="str">
        <f t="shared" si="54"/>
        <v>Csicsergő Napköziotthonos Óvoda</v>
      </c>
      <c r="C103" s="501">
        <f>+'5. Csicsergő'!C87</f>
        <v>0</v>
      </c>
      <c r="D103" s="73">
        <f>+'5. Csicsergő'!D87</f>
        <v>0</v>
      </c>
      <c r="E103" s="73">
        <f>+'5. Csicsergő'!E87</f>
        <v>0</v>
      </c>
      <c r="F103" s="462">
        <f>+'5. Csicsergő'!F87</f>
        <v>0</v>
      </c>
      <c r="G103" s="73"/>
      <c r="H103" s="501">
        <f>+'5. Csicsergő'!H87</f>
        <v>0</v>
      </c>
      <c r="I103" s="73">
        <f>+'5. Csicsergő'!I87</f>
        <v>0</v>
      </c>
      <c r="J103" s="73">
        <f>+'5. Csicsergő'!J87</f>
        <v>0</v>
      </c>
      <c r="K103" s="73"/>
      <c r="L103" s="73"/>
      <c r="M103" s="73"/>
      <c r="N103" s="462"/>
      <c r="O103" s="73"/>
      <c r="P103" s="501">
        <f>+'5. Csicsergő'!P87</f>
        <v>0</v>
      </c>
      <c r="Q103" s="73">
        <f>+'5. Csicsergő'!Q87</f>
        <v>0</v>
      </c>
      <c r="R103" s="73">
        <f>+'5. Csicsergő'!R87</f>
        <v>0</v>
      </c>
      <c r="S103" s="73">
        <f>+'5. Csicsergő'!S87</f>
        <v>0</v>
      </c>
      <c r="T103" s="502"/>
      <c r="U103" s="74"/>
    </row>
    <row r="104" spans="1:21" x14ac:dyDescent="0.25">
      <c r="B104" s="56" t="str">
        <f t="shared" si="54"/>
        <v>Gólyahír Bőlcsőde</v>
      </c>
      <c r="C104" s="501">
        <f>+'6. Gólyahír'!C86</f>
        <v>0</v>
      </c>
      <c r="D104" s="73">
        <f>+'6. Gólyahír'!D86</f>
        <v>0</v>
      </c>
      <c r="E104" s="73">
        <f>+'6. Gólyahír'!E86</f>
        <v>0</v>
      </c>
      <c r="F104" s="462">
        <f>+'6. Gólyahír'!F86</f>
        <v>0</v>
      </c>
      <c r="G104" s="73"/>
      <c r="H104" s="501">
        <f>+'6. Gólyahír'!H86</f>
        <v>0</v>
      </c>
      <c r="I104" s="73">
        <f>+'6. Gólyahír'!I86</f>
        <v>0</v>
      </c>
      <c r="J104" s="73">
        <f>+'6. Gólyahír'!J86</f>
        <v>0</v>
      </c>
      <c r="K104" s="73"/>
      <c r="L104" s="73"/>
      <c r="M104" s="73"/>
      <c r="N104" s="462"/>
      <c r="O104" s="73"/>
      <c r="P104" s="501">
        <f>+'6. Gólyahír'!P86</f>
        <v>0</v>
      </c>
      <c r="Q104" s="73">
        <f>+'6. Gólyahír'!Q86</f>
        <v>0</v>
      </c>
      <c r="R104" s="73">
        <f>+'6. Gólyahír'!R86</f>
        <v>0</v>
      </c>
      <c r="S104" s="73">
        <f>+'6. Gólyahír'!S86</f>
        <v>0</v>
      </c>
      <c r="T104" s="502"/>
      <c r="U104" s="74"/>
    </row>
    <row r="105" spans="1:21" x14ac:dyDescent="0.25">
      <c r="B105" s="56" t="str">
        <f t="shared" si="54"/>
        <v>Polgármesteri Hivatal</v>
      </c>
      <c r="C105" s="501">
        <f>+'7. Polg.Hiv.'!C86</f>
        <v>0</v>
      </c>
      <c r="D105" s="73">
        <f>+'7. Polg.Hiv.'!D86</f>
        <v>0</v>
      </c>
      <c r="E105" s="73">
        <f>+'7. Polg.Hiv.'!E86</f>
        <v>0</v>
      </c>
      <c r="F105" s="462">
        <f>+'7. Polg.Hiv.'!F86</f>
        <v>0</v>
      </c>
      <c r="G105" s="73"/>
      <c r="H105" s="501">
        <f>+'7. Polg.Hiv.'!H86</f>
        <v>0</v>
      </c>
      <c r="I105" s="73">
        <f>+'7. Polg.Hiv.'!I86</f>
        <v>0</v>
      </c>
      <c r="J105" s="73">
        <f>+'7. Polg.Hiv.'!J86</f>
        <v>0</v>
      </c>
      <c r="K105" s="73"/>
      <c r="L105" s="73"/>
      <c r="M105" s="73"/>
      <c r="N105" s="462"/>
      <c r="O105" s="73"/>
      <c r="P105" s="501">
        <f>+'7. Polg.Hiv.'!P86</f>
        <v>0</v>
      </c>
      <c r="Q105" s="73">
        <f>+'7. Polg.Hiv.'!Q86</f>
        <v>0</v>
      </c>
      <c r="R105" s="73">
        <f>+'7. Polg.Hiv.'!R86</f>
        <v>0</v>
      </c>
      <c r="S105" s="73">
        <f>+'7. Polg.Hiv.'!S86</f>
        <v>0</v>
      </c>
      <c r="T105" s="502"/>
      <c r="U105" s="74"/>
    </row>
    <row r="106" spans="1:21" x14ac:dyDescent="0.25">
      <c r="B106" s="56" t="str">
        <f t="shared" si="54"/>
        <v>Wass Albert Művelődési Központ és Könyvtár</v>
      </c>
      <c r="C106" s="501">
        <f>+'8. WAMKK'!C86</f>
        <v>0</v>
      </c>
      <c r="D106" s="73">
        <f>+'8. WAMKK'!D86</f>
        <v>0</v>
      </c>
      <c r="E106" s="73">
        <f>+'8. WAMKK'!E86</f>
        <v>0</v>
      </c>
      <c r="F106" s="462">
        <f>+'8. WAMKK'!F86</f>
        <v>0</v>
      </c>
      <c r="G106" s="73"/>
      <c r="H106" s="501">
        <f>+'8. WAMKK'!H86</f>
        <v>0</v>
      </c>
      <c r="I106" s="73">
        <f>+'8. WAMKK'!I86</f>
        <v>0</v>
      </c>
      <c r="J106" s="73">
        <f>+'8. WAMKK'!J86</f>
        <v>0</v>
      </c>
      <c r="K106" s="73"/>
      <c r="L106" s="73"/>
      <c r="M106" s="73"/>
      <c r="N106" s="462"/>
      <c r="O106" s="73"/>
      <c r="P106" s="501">
        <f>+'8. WAMKK'!P86</f>
        <v>0</v>
      </c>
      <c r="Q106" s="73">
        <f>+'8. WAMKK'!Q86</f>
        <v>0</v>
      </c>
      <c r="R106" s="73">
        <f>+'8. WAMKK'!R86</f>
        <v>0</v>
      </c>
      <c r="S106" s="73">
        <f>+'8. WAMKK'!S86</f>
        <v>0</v>
      </c>
      <c r="T106" s="502"/>
      <c r="U106" s="74"/>
    </row>
    <row r="107" spans="1:21" x14ac:dyDescent="0.25">
      <c r="B107" s="56" t="str">
        <f t="shared" si="54"/>
        <v>Központi Konyha</v>
      </c>
      <c r="C107" s="501">
        <f>+'9. Közp. Konyha'!C86</f>
        <v>0</v>
      </c>
      <c r="D107" s="73">
        <f>+'9. Közp. Konyha'!D86</f>
        <v>0</v>
      </c>
      <c r="E107" s="73">
        <f>+'9. Közp. Konyha'!E86</f>
        <v>0</v>
      </c>
      <c r="F107" s="462">
        <f>+'9. Közp. Konyha'!F86</f>
        <v>0</v>
      </c>
      <c r="G107" s="73"/>
      <c r="H107" s="501">
        <f>+'9. Közp. Konyha'!H86</f>
        <v>0</v>
      </c>
      <c r="I107" s="73">
        <f>+'9. Közp. Konyha'!I86</f>
        <v>0</v>
      </c>
      <c r="J107" s="73">
        <f>+'9. Közp. Konyha'!J86</f>
        <v>0</v>
      </c>
      <c r="K107" s="73"/>
      <c r="L107" s="73"/>
      <c r="M107" s="73"/>
      <c r="N107" s="462"/>
      <c r="O107" s="73"/>
      <c r="P107" s="501">
        <f>+'9. Közp. Konyha'!P86</f>
        <v>0</v>
      </c>
      <c r="Q107" s="73">
        <f>+'9. Közp. Konyha'!Q86</f>
        <v>0</v>
      </c>
      <c r="R107" s="73">
        <f>+'9. Közp. Konyha'!R86</f>
        <v>0</v>
      </c>
      <c r="S107" s="73">
        <f>+'9. Közp. Konyha'!S86</f>
        <v>0</v>
      </c>
      <c r="T107" s="502"/>
      <c r="U107" s="74"/>
    </row>
    <row r="108" spans="1:21" ht="8.1" customHeight="1" x14ac:dyDescent="0.25">
      <c r="B108" s="386" t="s">
        <v>453</v>
      </c>
      <c r="C108" s="503"/>
      <c r="D108" s="385"/>
      <c r="E108" s="385"/>
      <c r="F108" s="514"/>
      <c r="G108" s="385"/>
      <c r="H108" s="503"/>
      <c r="I108" s="385"/>
      <c r="J108" s="385"/>
      <c r="K108" s="385"/>
      <c r="L108" s="385"/>
      <c r="M108" s="385"/>
      <c r="N108" s="514"/>
      <c r="O108" s="385"/>
      <c r="P108" s="503"/>
      <c r="Q108" s="385"/>
      <c r="R108" s="385"/>
      <c r="S108" s="385"/>
      <c r="T108" s="502"/>
      <c r="U108" s="74"/>
    </row>
    <row r="109" spans="1:21" x14ac:dyDescent="0.25">
      <c r="A109" s="387" t="str">
        <f>+A100</f>
        <v>K7</v>
      </c>
      <c r="B109" s="367" t="s">
        <v>447</v>
      </c>
      <c r="C109" s="504">
        <f>SUM(C101:C108)</f>
        <v>198800000</v>
      </c>
      <c r="D109" s="368">
        <f t="shared" ref="D109:F109" si="55">SUM(D101:D108)</f>
        <v>198800000</v>
      </c>
      <c r="E109" s="368">
        <f t="shared" si="55"/>
        <v>197263000</v>
      </c>
      <c r="F109" s="515">
        <f t="shared" si="55"/>
        <v>0</v>
      </c>
      <c r="G109" s="368"/>
      <c r="H109" s="504">
        <f>SUM(H101:H108)</f>
        <v>15737344</v>
      </c>
      <c r="I109" s="368">
        <f t="shared" ref="I109:J109" si="56">SUM(I101:I108)</f>
        <v>68275190</v>
      </c>
      <c r="J109" s="368">
        <f t="shared" si="56"/>
        <v>0</v>
      </c>
      <c r="K109" s="368"/>
      <c r="L109" s="368"/>
      <c r="M109" s="368"/>
      <c r="N109" s="515"/>
      <c r="O109" s="368"/>
      <c r="P109" s="504">
        <f>SUM(P101:P108)</f>
        <v>0</v>
      </c>
      <c r="Q109" s="368">
        <f t="shared" ref="Q109:S109" si="57">SUM(Q101:Q108)</f>
        <v>-1537000</v>
      </c>
      <c r="R109" s="368">
        <f t="shared" si="57"/>
        <v>0</v>
      </c>
      <c r="S109" s="368">
        <f t="shared" si="57"/>
        <v>-1537000</v>
      </c>
      <c r="T109" s="502"/>
      <c r="U109" s="74"/>
    </row>
    <row r="110" spans="1:21" x14ac:dyDescent="0.25">
      <c r="C110" s="505"/>
      <c r="F110" s="460"/>
      <c r="H110" s="505"/>
      <c r="N110" s="502"/>
      <c r="P110" s="505"/>
      <c r="T110" s="502"/>
    </row>
    <row r="111" spans="1:21" x14ac:dyDescent="0.25">
      <c r="C111" s="505"/>
      <c r="F111" s="460"/>
      <c r="H111" s="505"/>
      <c r="N111" s="502"/>
      <c r="P111" s="505"/>
      <c r="T111" s="502"/>
    </row>
    <row r="112" spans="1:21" x14ac:dyDescent="0.25">
      <c r="A112" s="322" t="s">
        <v>183</v>
      </c>
      <c r="B112" s="322" t="str">
        <f>+'3. Önk. Kiadások'!B135</f>
        <v>Egyéb felhalmozási célú kiadások</v>
      </c>
      <c r="C112" s="501"/>
      <c r="D112" s="74"/>
      <c r="E112" s="74"/>
      <c r="F112" s="527"/>
      <c r="G112" s="74"/>
      <c r="H112" s="501"/>
      <c r="K112" s="74"/>
      <c r="L112" s="87"/>
      <c r="M112" s="87"/>
      <c r="N112" s="502"/>
      <c r="O112" s="74"/>
      <c r="P112" s="501"/>
      <c r="Q112" s="73"/>
      <c r="R112" s="73"/>
      <c r="S112" s="73"/>
      <c r="T112" s="502"/>
      <c r="U112" s="74"/>
    </row>
    <row r="113" spans="1:21" x14ac:dyDescent="0.25">
      <c r="B113" s="56" t="str">
        <f t="shared" ref="B113:B119" si="58">+B101</f>
        <v>Sülysáp Város Önkormányzata</v>
      </c>
      <c r="C113" s="501">
        <f>+'3. Önk. Kiadások'!C135</f>
        <v>0</v>
      </c>
      <c r="D113" s="73">
        <f>+'3. Önk. Kiadások'!D135</f>
        <v>0</v>
      </c>
      <c r="E113" s="73">
        <f>+'3. Önk. Kiadások'!E135</f>
        <v>0</v>
      </c>
      <c r="F113" s="462">
        <f>+'3. Önk. Kiadások'!F135</f>
        <v>0</v>
      </c>
      <c r="G113" s="74"/>
      <c r="H113" s="501">
        <f>+'3. Önk. Kiadások'!H135</f>
        <v>0</v>
      </c>
      <c r="I113" s="73">
        <f>+'3. Önk. Kiadások'!I135</f>
        <v>0</v>
      </c>
      <c r="J113" s="73">
        <f>+'3. Önk. Kiadások'!J135</f>
        <v>0</v>
      </c>
      <c r="K113" s="74"/>
      <c r="L113" s="87"/>
      <c r="M113" s="87"/>
      <c r="N113" s="502"/>
      <c r="O113" s="74"/>
      <c r="P113" s="501">
        <f>+'3. Önk. Kiadások'!P135</f>
        <v>0</v>
      </c>
      <c r="Q113" s="73">
        <f>+'3. Önk. Kiadások'!Q135</f>
        <v>0</v>
      </c>
      <c r="R113" s="73">
        <f>+'3. Önk. Kiadások'!R135</f>
        <v>0</v>
      </c>
      <c r="S113" s="73">
        <f>+'3. Önk. Kiadások'!S135</f>
        <v>0</v>
      </c>
      <c r="T113" s="502"/>
      <c r="U113" s="74"/>
    </row>
    <row r="114" spans="1:21" x14ac:dyDescent="0.25">
      <c r="A114" s="56"/>
      <c r="B114" s="56" t="str">
        <f t="shared" si="58"/>
        <v>Gondozási Központ</v>
      </c>
      <c r="C114" s="501"/>
      <c r="D114" s="73"/>
      <c r="E114" s="73"/>
      <c r="F114" s="462"/>
      <c r="G114" s="73"/>
      <c r="H114" s="501"/>
      <c r="I114" s="73"/>
      <c r="J114" s="73"/>
      <c r="K114" s="73"/>
      <c r="L114" s="73"/>
      <c r="M114" s="73"/>
      <c r="N114" s="462"/>
      <c r="O114" s="73"/>
      <c r="P114" s="501"/>
      <c r="Q114" s="73"/>
      <c r="R114" s="73"/>
      <c r="S114" s="73"/>
      <c r="T114" s="502"/>
      <c r="U114" s="74"/>
    </row>
    <row r="115" spans="1:21" x14ac:dyDescent="0.25">
      <c r="B115" s="56" t="str">
        <f t="shared" si="58"/>
        <v>Csicsergő Napköziotthonos Óvoda</v>
      </c>
      <c r="C115" s="501"/>
      <c r="D115" s="73"/>
      <c r="E115" s="73"/>
      <c r="F115" s="462"/>
      <c r="G115" s="73"/>
      <c r="H115" s="501"/>
      <c r="I115" s="73"/>
      <c r="J115" s="73"/>
      <c r="K115" s="73"/>
      <c r="L115" s="73"/>
      <c r="M115" s="73"/>
      <c r="N115" s="462"/>
      <c r="O115" s="73"/>
      <c r="P115" s="501"/>
      <c r="Q115" s="73"/>
      <c r="R115" s="73"/>
      <c r="S115" s="73"/>
      <c r="T115" s="502"/>
      <c r="U115" s="74"/>
    </row>
    <row r="116" spans="1:21" x14ac:dyDescent="0.25">
      <c r="B116" s="56" t="str">
        <f t="shared" si="58"/>
        <v>Gólyahír Bőlcsőde</v>
      </c>
      <c r="C116" s="501"/>
      <c r="D116" s="73"/>
      <c r="E116" s="73"/>
      <c r="F116" s="462"/>
      <c r="G116" s="73"/>
      <c r="H116" s="501"/>
      <c r="I116" s="73"/>
      <c r="J116" s="73"/>
      <c r="K116" s="73"/>
      <c r="L116" s="73"/>
      <c r="M116" s="73"/>
      <c r="N116" s="462"/>
      <c r="O116" s="73"/>
      <c r="P116" s="501"/>
      <c r="Q116" s="73"/>
      <c r="R116" s="73"/>
      <c r="S116" s="73"/>
      <c r="T116" s="502"/>
      <c r="U116" s="74"/>
    </row>
    <row r="117" spans="1:21" x14ac:dyDescent="0.25">
      <c r="B117" s="56" t="str">
        <f t="shared" si="58"/>
        <v>Polgármesteri Hivatal</v>
      </c>
      <c r="C117" s="501"/>
      <c r="D117" s="73"/>
      <c r="E117" s="73"/>
      <c r="F117" s="462"/>
      <c r="G117" s="73"/>
      <c r="H117" s="501"/>
      <c r="I117" s="73"/>
      <c r="J117" s="73"/>
      <c r="K117" s="73"/>
      <c r="L117" s="73"/>
      <c r="M117" s="73"/>
      <c r="N117" s="462"/>
      <c r="O117" s="73"/>
      <c r="P117" s="501"/>
      <c r="Q117" s="73"/>
      <c r="R117" s="73"/>
      <c r="S117" s="73"/>
      <c r="T117" s="502"/>
      <c r="U117" s="74"/>
    </row>
    <row r="118" spans="1:21" x14ac:dyDescent="0.25">
      <c r="B118" s="56" t="str">
        <f t="shared" si="58"/>
        <v>Wass Albert Művelődési Központ és Könyvtár</v>
      </c>
      <c r="C118" s="501"/>
      <c r="D118" s="73"/>
      <c r="E118" s="73"/>
      <c r="F118" s="462"/>
      <c r="G118" s="73"/>
      <c r="H118" s="501"/>
      <c r="I118" s="73"/>
      <c r="J118" s="73"/>
      <c r="K118" s="73"/>
      <c r="L118" s="73"/>
      <c r="M118" s="73"/>
      <c r="N118" s="462"/>
      <c r="O118" s="73"/>
      <c r="P118" s="501"/>
      <c r="Q118" s="73"/>
      <c r="R118" s="73"/>
      <c r="S118" s="73"/>
      <c r="T118" s="502"/>
      <c r="U118" s="74"/>
    </row>
    <row r="119" spans="1:21" x14ac:dyDescent="0.25">
      <c r="B119" s="56" t="str">
        <f t="shared" si="58"/>
        <v>Központi Konyha</v>
      </c>
      <c r="C119" s="501"/>
      <c r="D119" s="73"/>
      <c r="E119" s="73"/>
      <c r="F119" s="462"/>
      <c r="G119" s="73"/>
      <c r="H119" s="501"/>
      <c r="I119" s="73"/>
      <c r="J119" s="73"/>
      <c r="K119" s="73"/>
      <c r="L119" s="73"/>
      <c r="M119" s="73"/>
      <c r="N119" s="462"/>
      <c r="O119" s="73"/>
      <c r="P119" s="501"/>
      <c r="Q119" s="73"/>
      <c r="R119" s="73"/>
      <c r="S119" s="73"/>
      <c r="T119" s="502"/>
      <c r="U119" s="74"/>
    </row>
    <row r="120" spans="1:21" ht="8.1" customHeight="1" x14ac:dyDescent="0.25">
      <c r="B120" s="386" t="s">
        <v>453</v>
      </c>
      <c r="C120" s="503"/>
      <c r="D120" s="385"/>
      <c r="E120" s="385"/>
      <c r="F120" s="514"/>
      <c r="G120" s="385"/>
      <c r="H120" s="503"/>
      <c r="I120" s="385"/>
      <c r="J120" s="385"/>
      <c r="K120" s="385"/>
      <c r="L120" s="385"/>
      <c r="M120" s="385"/>
      <c r="N120" s="514"/>
      <c r="O120" s="385"/>
      <c r="P120" s="503"/>
      <c r="Q120" s="385"/>
      <c r="R120" s="385"/>
      <c r="S120" s="385"/>
      <c r="T120" s="502"/>
      <c r="U120" s="74"/>
    </row>
    <row r="121" spans="1:21" x14ac:dyDescent="0.25">
      <c r="A121" s="387" t="str">
        <f>+A112</f>
        <v>K8</v>
      </c>
      <c r="B121" s="367" t="s">
        <v>447</v>
      </c>
      <c r="C121" s="504">
        <f>SUM(C113:C120)</f>
        <v>0</v>
      </c>
      <c r="D121" s="368">
        <f t="shared" ref="D121:F121" si="59">SUM(D113:D120)</f>
        <v>0</v>
      </c>
      <c r="E121" s="368">
        <f t="shared" si="59"/>
        <v>0</v>
      </c>
      <c r="F121" s="515">
        <f t="shared" si="59"/>
        <v>0</v>
      </c>
      <c r="G121" s="368"/>
      <c r="H121" s="504">
        <f>SUM(H113:H120)</f>
        <v>0</v>
      </c>
      <c r="I121" s="368">
        <f t="shared" ref="I121:J121" si="60">SUM(I113:I120)</f>
        <v>0</v>
      </c>
      <c r="J121" s="368">
        <f t="shared" si="60"/>
        <v>0</v>
      </c>
      <c r="K121" s="368"/>
      <c r="L121" s="368"/>
      <c r="M121" s="368"/>
      <c r="N121" s="515"/>
      <c r="O121" s="368"/>
      <c r="P121" s="504">
        <f>SUM(P113:P120)</f>
        <v>0</v>
      </c>
      <c r="Q121" s="368">
        <f t="shared" ref="Q121:S121" si="61">SUM(Q113:Q120)</f>
        <v>0</v>
      </c>
      <c r="R121" s="368">
        <f t="shared" si="61"/>
        <v>0</v>
      </c>
      <c r="S121" s="368">
        <f t="shared" si="61"/>
        <v>0</v>
      </c>
      <c r="T121" s="502"/>
      <c r="U121" s="74"/>
    </row>
    <row r="122" spans="1:21" x14ac:dyDescent="0.25">
      <c r="C122" s="505"/>
      <c r="F122" s="460"/>
      <c r="H122" s="505"/>
      <c r="N122" s="502"/>
      <c r="P122" s="505"/>
      <c r="T122" s="502"/>
    </row>
    <row r="123" spans="1:21" x14ac:dyDescent="0.25">
      <c r="C123" s="505"/>
      <c r="F123" s="460"/>
      <c r="H123" s="505"/>
      <c r="N123" s="502"/>
      <c r="P123" s="505"/>
      <c r="T123" s="502"/>
    </row>
    <row r="124" spans="1:21" x14ac:dyDescent="0.25">
      <c r="A124" s="322" t="s">
        <v>201</v>
      </c>
      <c r="B124" s="322" t="str">
        <f>+'3. Önk. Kiadások'!B145</f>
        <v>Finanszírozási kiadások</v>
      </c>
      <c r="C124" s="501"/>
      <c r="D124" s="74"/>
      <c r="E124" s="74"/>
      <c r="F124" s="527"/>
      <c r="G124" s="74"/>
      <c r="H124" s="501"/>
      <c r="K124" s="74"/>
      <c r="L124" s="87"/>
      <c r="M124" s="87"/>
      <c r="N124" s="502"/>
      <c r="O124" s="74"/>
      <c r="P124" s="501"/>
      <c r="Q124" s="73"/>
      <c r="R124" s="73"/>
      <c r="S124" s="73"/>
      <c r="T124" s="502"/>
      <c r="U124" s="74"/>
    </row>
    <row r="125" spans="1:21" x14ac:dyDescent="0.25">
      <c r="B125" s="56" t="str">
        <f t="shared" ref="B125:B131" si="62">+B113</f>
        <v>Sülysáp Város Önkormányzata</v>
      </c>
      <c r="C125" s="501">
        <f>+'3. Önk. Kiadások'!C145</f>
        <v>535243607.02999997</v>
      </c>
      <c r="D125" s="73">
        <f>+'3. Önk. Kiadások'!D145</f>
        <v>544090785</v>
      </c>
      <c r="E125" s="73">
        <f>+'3. Önk. Kiadások'!E145</f>
        <v>547364785</v>
      </c>
      <c r="F125" s="462">
        <f>+'3. Önk. Kiadások'!F145</f>
        <v>0</v>
      </c>
      <c r="G125" s="74"/>
      <c r="H125" s="501">
        <f>+'3. Önk. Kiadások'!H145</f>
        <v>277698930</v>
      </c>
      <c r="I125" s="73">
        <f>+'3. Önk. Kiadások'!I145</f>
        <v>402220672</v>
      </c>
      <c r="J125" s="73">
        <f>+'3. Önk. Kiadások'!J145</f>
        <v>0</v>
      </c>
      <c r="K125" s="74"/>
      <c r="L125" s="87"/>
      <c r="M125" s="87"/>
      <c r="N125" s="502"/>
      <c r="O125" s="74"/>
      <c r="P125" s="501">
        <f>+'3. Önk. Kiadások'!P145</f>
        <v>8847177.9700000286</v>
      </c>
      <c r="Q125" s="73">
        <f>+'3. Önk. Kiadások'!Q145</f>
        <v>3274000</v>
      </c>
      <c r="R125" s="73">
        <f>+'3. Önk. Kiadások'!R145</f>
        <v>0</v>
      </c>
      <c r="S125" s="73">
        <f>+'3. Önk. Kiadások'!S145</f>
        <v>12121177.970000029</v>
      </c>
      <c r="T125" s="502"/>
      <c r="U125" s="74"/>
    </row>
    <row r="126" spans="1:21" x14ac:dyDescent="0.25">
      <c r="A126" s="56"/>
      <c r="B126" s="56" t="str">
        <f t="shared" si="62"/>
        <v>Gondozási Központ</v>
      </c>
      <c r="C126" s="501"/>
      <c r="D126" s="73"/>
      <c r="E126" s="73"/>
      <c r="F126" s="462"/>
      <c r="G126" s="73"/>
      <c r="H126" s="501"/>
      <c r="I126" s="73"/>
      <c r="J126" s="73"/>
      <c r="K126" s="73"/>
      <c r="L126" s="73"/>
      <c r="M126" s="73"/>
      <c r="N126" s="462"/>
      <c r="O126" s="73"/>
      <c r="P126" s="501"/>
      <c r="Q126" s="73"/>
      <c r="R126" s="73"/>
      <c r="S126" s="73"/>
      <c r="T126" s="502"/>
      <c r="U126" s="74"/>
    </row>
    <row r="127" spans="1:21" x14ac:dyDescent="0.25">
      <c r="B127" s="56" t="str">
        <f t="shared" si="62"/>
        <v>Csicsergő Napköziotthonos Óvoda</v>
      </c>
      <c r="C127" s="501"/>
      <c r="D127" s="73"/>
      <c r="E127" s="73"/>
      <c r="F127" s="462"/>
      <c r="G127" s="73"/>
      <c r="H127" s="501"/>
      <c r="I127" s="73"/>
      <c r="J127" s="73"/>
      <c r="K127" s="73"/>
      <c r="L127" s="73"/>
      <c r="M127" s="73"/>
      <c r="N127" s="462"/>
      <c r="O127" s="73"/>
      <c r="P127" s="501"/>
      <c r="Q127" s="73"/>
      <c r="R127" s="73"/>
      <c r="S127" s="73"/>
      <c r="T127" s="502"/>
      <c r="U127" s="74"/>
    </row>
    <row r="128" spans="1:21" x14ac:dyDescent="0.25">
      <c r="B128" s="56" t="str">
        <f t="shared" si="62"/>
        <v>Gólyahír Bőlcsőde</v>
      </c>
      <c r="C128" s="501"/>
      <c r="D128" s="73"/>
      <c r="E128" s="73"/>
      <c r="F128" s="462"/>
      <c r="G128" s="73"/>
      <c r="H128" s="501"/>
      <c r="I128" s="73"/>
      <c r="J128" s="73"/>
      <c r="K128" s="73"/>
      <c r="L128" s="73"/>
      <c r="M128" s="73"/>
      <c r="N128" s="462"/>
      <c r="O128" s="73"/>
      <c r="P128" s="501"/>
      <c r="Q128" s="73"/>
      <c r="R128" s="73"/>
      <c r="S128" s="73"/>
      <c r="T128" s="502"/>
      <c r="U128" s="74"/>
    </row>
    <row r="129" spans="1:21" x14ac:dyDescent="0.25">
      <c r="B129" s="56" t="str">
        <f t="shared" si="62"/>
        <v>Polgármesteri Hivatal</v>
      </c>
      <c r="C129" s="501"/>
      <c r="D129" s="73"/>
      <c r="E129" s="73"/>
      <c r="F129" s="462"/>
      <c r="G129" s="73"/>
      <c r="H129" s="501"/>
      <c r="I129" s="73"/>
      <c r="J129" s="73"/>
      <c r="K129" s="73"/>
      <c r="L129" s="73"/>
      <c r="M129" s="73"/>
      <c r="N129" s="462"/>
      <c r="O129" s="73"/>
      <c r="P129" s="501"/>
      <c r="Q129" s="73"/>
      <c r="R129" s="73"/>
      <c r="S129" s="73"/>
      <c r="T129" s="502"/>
      <c r="U129" s="74"/>
    </row>
    <row r="130" spans="1:21" x14ac:dyDescent="0.25">
      <c r="B130" s="56" t="str">
        <f t="shared" si="62"/>
        <v>Wass Albert Művelődési Központ és Könyvtár</v>
      </c>
      <c r="C130" s="501"/>
      <c r="D130" s="73"/>
      <c r="E130" s="73"/>
      <c r="F130" s="462"/>
      <c r="G130" s="73"/>
      <c r="H130" s="501"/>
      <c r="I130" s="73"/>
      <c r="J130" s="73"/>
      <c r="K130" s="73"/>
      <c r="L130" s="73"/>
      <c r="M130" s="73"/>
      <c r="N130" s="462"/>
      <c r="O130" s="73"/>
      <c r="P130" s="501"/>
      <c r="Q130" s="73"/>
      <c r="R130" s="73"/>
      <c r="S130" s="73"/>
      <c r="T130" s="502"/>
      <c r="U130" s="74"/>
    </row>
    <row r="131" spans="1:21" x14ac:dyDescent="0.25">
      <c r="B131" s="56" t="str">
        <f t="shared" si="62"/>
        <v>Központi Konyha</v>
      </c>
      <c r="C131" s="501"/>
      <c r="D131" s="73"/>
      <c r="E131" s="73"/>
      <c r="F131" s="462"/>
      <c r="G131" s="73"/>
      <c r="H131" s="501"/>
      <c r="I131" s="73"/>
      <c r="J131" s="73"/>
      <c r="K131" s="73"/>
      <c r="L131" s="73"/>
      <c r="M131" s="73"/>
      <c r="N131" s="462"/>
      <c r="O131" s="73"/>
      <c r="P131" s="501"/>
      <c r="Q131" s="73"/>
      <c r="R131" s="73"/>
      <c r="S131" s="73"/>
      <c r="T131" s="502"/>
      <c r="U131" s="74"/>
    </row>
    <row r="132" spans="1:21" ht="8.1" customHeight="1" x14ac:dyDescent="0.25">
      <c r="B132" s="386" t="s">
        <v>453</v>
      </c>
      <c r="C132" s="503"/>
      <c r="D132" s="385"/>
      <c r="E132" s="385"/>
      <c r="F132" s="514"/>
      <c r="G132" s="385"/>
      <c r="H132" s="503"/>
      <c r="I132" s="385"/>
      <c r="J132" s="385"/>
      <c r="K132" s="385"/>
      <c r="L132" s="385"/>
      <c r="M132" s="385"/>
      <c r="N132" s="514"/>
      <c r="O132" s="385"/>
      <c r="P132" s="503"/>
      <c r="Q132" s="385"/>
      <c r="R132" s="385"/>
      <c r="S132" s="385"/>
      <c r="T132" s="502"/>
      <c r="U132" s="74"/>
    </row>
    <row r="133" spans="1:21" x14ac:dyDescent="0.25">
      <c r="A133" s="387" t="str">
        <f>+A124</f>
        <v>K9</v>
      </c>
      <c r="B133" s="367" t="s">
        <v>447</v>
      </c>
      <c r="C133" s="504">
        <f>SUM(C125:C132)</f>
        <v>535243607.02999997</v>
      </c>
      <c r="D133" s="368">
        <f t="shared" ref="D133:F133" si="63">SUM(D125:D132)</f>
        <v>544090785</v>
      </c>
      <c r="E133" s="368">
        <f t="shared" si="63"/>
        <v>547364785</v>
      </c>
      <c r="F133" s="515">
        <f t="shared" si="63"/>
        <v>0</v>
      </c>
      <c r="G133" s="368"/>
      <c r="H133" s="504">
        <f>SUM(H125:H132)</f>
        <v>277698930</v>
      </c>
      <c r="I133" s="368">
        <f t="shared" ref="I133:J133" si="64">SUM(I125:I132)</f>
        <v>402220672</v>
      </c>
      <c r="J133" s="368">
        <f t="shared" si="64"/>
        <v>0</v>
      </c>
      <c r="K133" s="368"/>
      <c r="L133" s="368"/>
      <c r="M133" s="368"/>
      <c r="N133" s="515"/>
      <c r="O133" s="368"/>
      <c r="P133" s="504">
        <f>SUM(P125:P132)</f>
        <v>8847177.9700000286</v>
      </c>
      <c r="Q133" s="368">
        <f t="shared" ref="Q133:S133" si="65">SUM(Q125:Q132)</f>
        <v>3274000</v>
      </c>
      <c r="R133" s="368">
        <f t="shared" si="65"/>
        <v>0</v>
      </c>
      <c r="S133" s="368">
        <f t="shared" si="65"/>
        <v>12121177.970000029</v>
      </c>
      <c r="T133" s="502"/>
      <c r="U133" s="74"/>
    </row>
    <row r="134" spans="1:21" x14ac:dyDescent="0.25">
      <c r="C134" s="505"/>
      <c r="F134" s="460"/>
      <c r="H134" s="505"/>
      <c r="N134" s="502"/>
      <c r="P134" s="505"/>
      <c r="T134" s="502"/>
    </row>
    <row r="135" spans="1:21" x14ac:dyDescent="0.25">
      <c r="C135" s="505"/>
      <c r="F135" s="460"/>
      <c r="H135" s="505"/>
      <c r="N135" s="502"/>
      <c r="P135" s="505"/>
      <c r="T135" s="502"/>
    </row>
    <row r="136" spans="1:21" x14ac:dyDescent="0.25">
      <c r="A136" s="322" t="s">
        <v>359</v>
      </c>
      <c r="B136" s="322" t="str">
        <f>+'4. Dr Gáspár HSZK'!B100</f>
        <v>Központi, irányító szervi támogatás</v>
      </c>
      <c r="C136" s="528" t="s">
        <v>449</v>
      </c>
      <c r="D136" s="74"/>
      <c r="E136" s="74"/>
      <c r="F136" s="527"/>
      <c r="G136" s="74"/>
      <c r="H136" s="501"/>
      <c r="K136" s="74"/>
      <c r="L136" s="87"/>
      <c r="M136" s="87"/>
      <c r="N136" s="502"/>
      <c r="O136" s="74"/>
      <c r="P136" s="501"/>
      <c r="Q136" s="73"/>
      <c r="R136" s="73"/>
      <c r="S136" s="73"/>
      <c r="T136" s="502"/>
      <c r="U136" s="74"/>
    </row>
    <row r="137" spans="1:21" x14ac:dyDescent="0.25">
      <c r="B137" s="56" t="str">
        <f t="shared" ref="B137:B143" si="66">+B125</f>
        <v>Sülysáp Város Önkormányzata</v>
      </c>
      <c r="C137" s="501"/>
      <c r="D137" s="73"/>
      <c r="E137" s="73"/>
      <c r="F137" s="462"/>
      <c r="G137" s="74"/>
      <c r="H137" s="501"/>
      <c r="I137" s="73"/>
      <c r="J137" s="73"/>
      <c r="K137" s="74"/>
      <c r="L137" s="87"/>
      <c r="M137" s="87"/>
      <c r="N137" s="502"/>
      <c r="O137" s="74"/>
      <c r="P137" s="501"/>
      <c r="Q137" s="73"/>
      <c r="R137" s="73"/>
      <c r="S137" s="73"/>
      <c r="T137" s="502"/>
      <c r="U137" s="74"/>
    </row>
    <row r="138" spans="1:21" x14ac:dyDescent="0.25">
      <c r="A138" s="56"/>
      <c r="B138" s="56" t="str">
        <f t="shared" si="66"/>
        <v>Gondozási Központ</v>
      </c>
      <c r="C138" s="501">
        <f>+'4. Dr Gáspár HSZK'!C100</f>
        <v>33628310.030000001</v>
      </c>
      <c r="D138" s="73">
        <f>+'4. Dr Gáspár HSZK'!D100</f>
        <v>32959488</v>
      </c>
      <c r="E138" s="73">
        <f>+'4. Dr Gáspár HSZK'!E100</f>
        <v>32959488</v>
      </c>
      <c r="F138" s="462">
        <f>+'4. Dr Gáspár HSZK'!F100</f>
        <v>0</v>
      </c>
      <c r="G138" s="73"/>
      <c r="H138" s="501">
        <f>+'4. Dr Gáspár HSZK'!H100</f>
        <v>15328283</v>
      </c>
      <c r="I138" s="73">
        <f>+'4. Dr Gáspár HSZK'!I100</f>
        <v>23495274</v>
      </c>
      <c r="J138" s="73">
        <f>+'4. Dr Gáspár HSZK'!J100</f>
        <v>0</v>
      </c>
      <c r="K138" s="73"/>
      <c r="L138" s="73"/>
      <c r="M138" s="73"/>
      <c r="N138" s="462"/>
      <c r="O138" s="73"/>
      <c r="P138" s="501">
        <f>+'4. Dr Gáspár HSZK'!P100</f>
        <v>-668822.03000000119</v>
      </c>
      <c r="Q138" s="73">
        <f>+'4. Dr Gáspár HSZK'!Q100</f>
        <v>0</v>
      </c>
      <c r="R138" s="73">
        <f>+'4. Dr Gáspár HSZK'!R100</f>
        <v>0</v>
      </c>
      <c r="S138" s="73">
        <f>+'4. Dr Gáspár HSZK'!S100</f>
        <v>-668822.03000000119</v>
      </c>
      <c r="T138" s="502"/>
      <c r="U138" s="74"/>
    </row>
    <row r="139" spans="1:21" x14ac:dyDescent="0.25">
      <c r="B139" s="56" t="str">
        <f t="shared" si="66"/>
        <v>Csicsergő Napköziotthonos Óvoda</v>
      </c>
      <c r="C139" s="501">
        <f>+'5. Csicsergő'!C100</f>
        <v>191656859</v>
      </c>
      <c r="D139" s="73">
        <f>+'5. Csicsergő'!D100</f>
        <v>191656859</v>
      </c>
      <c r="E139" s="73">
        <f>+'5. Csicsergő'!E100</f>
        <v>191656859</v>
      </c>
      <c r="F139" s="462">
        <f>+'5. Csicsergő'!F100</f>
        <v>0</v>
      </c>
      <c r="G139" s="73"/>
      <c r="H139" s="501">
        <f>+'5. Csicsergő'!H100</f>
        <v>92579361</v>
      </c>
      <c r="I139" s="73">
        <f>+'5. Csicsergő'!I100</f>
        <v>138740413</v>
      </c>
      <c r="J139" s="73">
        <f>+'5. Csicsergő'!J100</f>
        <v>0</v>
      </c>
      <c r="K139" s="73"/>
      <c r="L139" s="73"/>
      <c r="M139" s="73"/>
      <c r="N139" s="462"/>
      <c r="O139" s="73"/>
      <c r="P139" s="501">
        <f>+'5. Csicsergő'!P100</f>
        <v>0</v>
      </c>
      <c r="Q139" s="73">
        <f>+'5. Csicsergő'!Q100</f>
        <v>0</v>
      </c>
      <c r="R139" s="73">
        <f>+'5. Csicsergő'!R100</f>
        <v>0</v>
      </c>
      <c r="S139" s="73">
        <f>+'5. Csicsergő'!S100</f>
        <v>0</v>
      </c>
      <c r="T139" s="502"/>
      <c r="U139" s="74"/>
    </row>
    <row r="140" spans="1:21" x14ac:dyDescent="0.25">
      <c r="B140" s="56" t="str">
        <f t="shared" si="66"/>
        <v>Gólyahír Bőlcsőde</v>
      </c>
      <c r="C140" s="501">
        <f>+'6. Gólyahír'!C100</f>
        <v>59311639</v>
      </c>
      <c r="D140" s="73">
        <f>+'6. Gólyahír'!D100</f>
        <v>59311639</v>
      </c>
      <c r="E140" s="73">
        <f>+'6. Gólyahír'!E100</f>
        <v>59311639</v>
      </c>
      <c r="F140" s="462">
        <f>+'6. Gólyahír'!F100</f>
        <v>0</v>
      </c>
      <c r="G140" s="73"/>
      <c r="H140" s="501">
        <f>+'6. Gólyahír'!H100</f>
        <v>33204714</v>
      </c>
      <c r="I140" s="73">
        <f>+'6. Gólyahír'!I100</f>
        <v>45691064</v>
      </c>
      <c r="J140" s="73">
        <f>+'6. Gólyahír'!J100</f>
        <v>0</v>
      </c>
      <c r="K140" s="73"/>
      <c r="L140" s="73"/>
      <c r="M140" s="73"/>
      <c r="N140" s="462"/>
      <c r="O140" s="73"/>
      <c r="P140" s="501">
        <f>+'6. Gólyahír'!P100</f>
        <v>0</v>
      </c>
      <c r="Q140" s="73">
        <f>+'6. Gólyahír'!Q100</f>
        <v>0</v>
      </c>
      <c r="R140" s="73">
        <f>+'6. Gólyahír'!R100</f>
        <v>0</v>
      </c>
      <c r="S140" s="73">
        <f>+'6. Gólyahír'!S100</f>
        <v>0</v>
      </c>
      <c r="T140" s="502"/>
      <c r="U140" s="74"/>
    </row>
    <row r="141" spans="1:21" x14ac:dyDescent="0.25">
      <c r="B141" s="56" t="str">
        <f t="shared" si="66"/>
        <v>Polgármesteri Hivatal</v>
      </c>
      <c r="C141" s="501">
        <f>+'7. Polg.Hiv.'!C100</f>
        <v>132994717</v>
      </c>
      <c r="D141" s="73">
        <f>+'7. Polg.Hiv.'!D100</f>
        <v>142510717</v>
      </c>
      <c r="E141" s="73">
        <f>+'7. Polg.Hiv.'!E100</f>
        <v>142510717</v>
      </c>
      <c r="F141" s="462">
        <f>+'7. Polg.Hiv.'!F100</f>
        <v>0</v>
      </c>
      <c r="G141" s="73"/>
      <c r="H141" s="501">
        <f>+'7. Polg.Hiv.'!H100</f>
        <v>68609214</v>
      </c>
      <c r="I141" s="73">
        <f>+'7. Polg.Hiv.'!I100</f>
        <v>99619603</v>
      </c>
      <c r="J141" s="73">
        <f>+'7. Polg.Hiv.'!J100</f>
        <v>0</v>
      </c>
      <c r="K141" s="73"/>
      <c r="L141" s="73"/>
      <c r="M141" s="73"/>
      <c r="N141" s="462"/>
      <c r="O141" s="73"/>
      <c r="P141" s="501">
        <f>+'7. Polg.Hiv.'!P100</f>
        <v>9516000</v>
      </c>
      <c r="Q141" s="73">
        <f>+'7. Polg.Hiv.'!Q100</f>
        <v>0</v>
      </c>
      <c r="R141" s="73">
        <f>+'7. Polg.Hiv.'!R100</f>
        <v>0</v>
      </c>
      <c r="S141" s="73">
        <f>+'7. Polg.Hiv.'!S100</f>
        <v>9516000</v>
      </c>
      <c r="T141" s="502"/>
      <c r="U141" s="74"/>
    </row>
    <row r="142" spans="1:21" x14ac:dyDescent="0.25">
      <c r="B142" s="56" t="str">
        <f t="shared" si="66"/>
        <v>Wass Albert Művelődési Központ és Könyvtár</v>
      </c>
      <c r="C142" s="501">
        <f>+'8. WAMKK'!C100</f>
        <v>28334588</v>
      </c>
      <c r="D142" s="73">
        <f>+'8. WAMKK'!D100</f>
        <v>28334588</v>
      </c>
      <c r="E142" s="73">
        <f>+'8. WAMKK'!E100</f>
        <v>31608588</v>
      </c>
      <c r="F142" s="462">
        <f>+'8. WAMKK'!F100</f>
        <v>0</v>
      </c>
      <c r="G142" s="73"/>
      <c r="H142" s="501">
        <f>+'8. WAMKK'!H100</f>
        <v>11496302</v>
      </c>
      <c r="I142" s="73">
        <f>+'8. WAMKK'!I100</f>
        <v>24377110</v>
      </c>
      <c r="J142" s="73">
        <f>+'8. WAMKK'!J100</f>
        <v>0</v>
      </c>
      <c r="K142" s="73"/>
      <c r="L142" s="73"/>
      <c r="M142" s="73"/>
      <c r="N142" s="462"/>
      <c r="O142" s="73"/>
      <c r="P142" s="501">
        <f>+'8. WAMKK'!P100</f>
        <v>0</v>
      </c>
      <c r="Q142" s="73">
        <f>+'8. WAMKK'!Q100</f>
        <v>3274000</v>
      </c>
      <c r="R142" s="73">
        <f>+'8. WAMKK'!R100</f>
        <v>0</v>
      </c>
      <c r="S142" s="73">
        <f>+'8. WAMKK'!S100</f>
        <v>3274000</v>
      </c>
      <c r="T142" s="502"/>
      <c r="U142" s="74"/>
    </row>
    <row r="143" spans="1:21" x14ac:dyDescent="0.25">
      <c r="B143" s="56" t="str">
        <f t="shared" si="66"/>
        <v>Központi Konyha</v>
      </c>
      <c r="C143" s="501">
        <f>+'9. Közp. Konyha'!C100</f>
        <v>71398746</v>
      </c>
      <c r="D143" s="73">
        <f>+'9. Közp. Konyha'!D100</f>
        <v>71398746</v>
      </c>
      <c r="E143" s="73">
        <f>+'9. Közp. Konyha'!E100</f>
        <v>71398746</v>
      </c>
      <c r="F143" s="462">
        <f>+'9. Közp. Konyha'!F100</f>
        <v>0</v>
      </c>
      <c r="G143" s="73"/>
      <c r="H143" s="501">
        <f>+'9. Közp. Konyha'!H100</f>
        <v>38562308</v>
      </c>
      <c r="I143" s="73">
        <f>+'9. Közp. Konyha'!I100</f>
        <v>52378460</v>
      </c>
      <c r="J143" s="73">
        <f>+'9. Közp. Konyha'!J100</f>
        <v>0</v>
      </c>
      <c r="K143" s="73"/>
      <c r="L143" s="73"/>
      <c r="M143" s="73"/>
      <c r="N143" s="462"/>
      <c r="O143" s="73"/>
      <c r="P143" s="501">
        <f>+'9. Közp. Konyha'!P100</f>
        <v>0</v>
      </c>
      <c r="Q143" s="73">
        <f>+'9. Közp. Konyha'!Q100</f>
        <v>0</v>
      </c>
      <c r="R143" s="73">
        <f>+'9. Közp. Konyha'!R100</f>
        <v>0</v>
      </c>
      <c r="S143" s="73">
        <f>+'9. Közp. Konyha'!S100</f>
        <v>0</v>
      </c>
      <c r="T143" s="502"/>
      <c r="U143" s="74"/>
    </row>
    <row r="144" spans="1:21" ht="8.1" customHeight="1" x14ac:dyDescent="0.25">
      <c r="B144" s="386" t="s">
        <v>453</v>
      </c>
      <c r="C144" s="503"/>
      <c r="D144" s="385"/>
      <c r="E144" s="385"/>
      <c r="F144" s="514"/>
      <c r="G144" s="385"/>
      <c r="H144" s="503"/>
      <c r="I144" s="385"/>
      <c r="J144" s="385"/>
      <c r="K144" s="385"/>
      <c r="L144" s="385"/>
      <c r="M144" s="385"/>
      <c r="N144" s="514"/>
      <c r="O144" s="385"/>
      <c r="P144" s="503"/>
      <c r="Q144" s="385"/>
      <c r="R144" s="385"/>
      <c r="S144" s="385"/>
      <c r="T144" s="502"/>
      <c r="U144" s="74"/>
    </row>
    <row r="145" spans="1:21" x14ac:dyDescent="0.25">
      <c r="A145" s="387" t="str">
        <f>+A136</f>
        <v>B816</v>
      </c>
      <c r="B145" s="367" t="s">
        <v>447</v>
      </c>
      <c r="C145" s="504">
        <f>SUM(C137:C144)</f>
        <v>517324859.02999997</v>
      </c>
      <c r="D145" s="368">
        <f t="shared" ref="D145:F145" si="67">SUM(D137:D144)</f>
        <v>526172037</v>
      </c>
      <c r="E145" s="368">
        <f t="shared" si="67"/>
        <v>529446037</v>
      </c>
      <c r="F145" s="515">
        <f t="shared" si="67"/>
        <v>0</v>
      </c>
      <c r="G145" s="368"/>
      <c r="H145" s="504">
        <f>SUM(H137:H144)</f>
        <v>259780182</v>
      </c>
      <c r="I145" s="368">
        <f t="shared" ref="I145:J145" si="68">SUM(I137:I144)</f>
        <v>384301924</v>
      </c>
      <c r="J145" s="368">
        <f t="shared" si="68"/>
        <v>0</v>
      </c>
      <c r="K145" s="368"/>
      <c r="L145" s="368"/>
      <c r="M145" s="368"/>
      <c r="N145" s="515"/>
      <c r="O145" s="368"/>
      <c r="P145" s="504">
        <f>SUM(P137:P144)</f>
        <v>8847177.9699999988</v>
      </c>
      <c r="Q145" s="368">
        <f t="shared" ref="Q145:S145" si="69">SUM(Q137:Q144)</f>
        <v>3274000</v>
      </c>
      <c r="R145" s="368">
        <f t="shared" si="69"/>
        <v>0</v>
      </c>
      <c r="S145" s="368">
        <f t="shared" si="69"/>
        <v>12121177.969999999</v>
      </c>
      <c r="T145" s="502"/>
      <c r="U145" s="74"/>
    </row>
    <row r="146" spans="1:21" x14ac:dyDescent="0.25">
      <c r="C146" s="506"/>
      <c r="D146" s="516"/>
      <c r="E146" s="516"/>
      <c r="F146" s="529"/>
      <c r="H146" s="506"/>
      <c r="I146" s="516"/>
      <c r="J146" s="516"/>
      <c r="K146" s="516"/>
      <c r="L146" s="507"/>
      <c r="M146" s="507"/>
      <c r="N146" s="508"/>
      <c r="P146" s="506"/>
      <c r="Q146" s="507"/>
      <c r="R146" s="507"/>
      <c r="S146" s="507"/>
      <c r="T146" s="508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zoomScaleNormal="75" zoomScaleSheetLayoutView="100" workbookViewId="0">
      <selection activeCell="J11" sqref="J11"/>
    </sheetView>
  </sheetViews>
  <sheetFormatPr defaultRowHeight="13.2" x14ac:dyDescent="0.25"/>
  <cols>
    <col min="1" max="1" width="8.5546875" style="25" customWidth="1"/>
    <col min="2" max="2" width="55.6640625" style="13" customWidth="1"/>
    <col min="3" max="6" width="15.44140625" style="13" customWidth="1"/>
    <col min="7" max="7" width="0.6640625" style="13" customWidth="1"/>
    <col min="8" max="9" width="15.44140625" style="13" customWidth="1"/>
    <col min="10" max="10" width="15.44140625" style="13" hidden="1" customWidth="1"/>
    <col min="11" max="11" width="0.6640625" style="13" customWidth="1"/>
    <col min="12" max="13" width="10.5546875" style="13" customWidth="1"/>
    <col min="14" max="14" width="10.554687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301" t="s">
        <v>428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31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88"/>
      <c r="P4" s="88"/>
      <c r="Q4" s="88"/>
      <c r="R4" s="88"/>
      <c r="S4" s="88"/>
      <c r="T4" s="88"/>
      <c r="U4" s="269"/>
      <c r="V4" s="255"/>
      <c r="W4" s="122"/>
      <c r="X4" s="122"/>
    </row>
    <row r="5" spans="1:26" ht="20.100000000000001" customHeight="1" x14ac:dyDescent="0.3">
      <c r="A5" s="251"/>
      <c r="B5" s="251" t="s">
        <v>377</v>
      </c>
      <c r="C5" s="252">
        <f>+C89</f>
        <v>135435600</v>
      </c>
      <c r="D5" s="252">
        <f t="shared" ref="D5:E5" si="0">+D89</f>
        <v>146640948</v>
      </c>
      <c r="E5" s="252">
        <f t="shared" si="0"/>
        <v>146887797</v>
      </c>
      <c r="F5" s="252">
        <f>+F89</f>
        <v>0</v>
      </c>
      <c r="G5" s="252"/>
      <c r="H5" s="252">
        <f>+H89</f>
        <v>68909669</v>
      </c>
      <c r="I5" s="252">
        <f t="shared" ref="I5:J5" si="1">+I89</f>
        <v>101383740</v>
      </c>
      <c r="J5" s="252">
        <f t="shared" si="1"/>
        <v>0</v>
      </c>
      <c r="K5" s="89"/>
      <c r="L5" s="701">
        <f t="shared" ref="L5:N6" si="2">IF(H5&gt;0,H5/C5,0)</f>
        <v>0.50880026374158638</v>
      </c>
      <c r="M5" s="701">
        <f t="shared" si="2"/>
        <v>0.69137400830223761</v>
      </c>
      <c r="N5" s="701">
        <f t="shared" si="2"/>
        <v>0</v>
      </c>
      <c r="O5" s="89"/>
      <c r="P5" s="252">
        <f>+P89</f>
        <v>11205348</v>
      </c>
      <c r="Q5" s="252">
        <f>+Q89</f>
        <v>246849</v>
      </c>
      <c r="R5" s="252">
        <f>+R89</f>
        <v>0</v>
      </c>
      <c r="S5" s="252">
        <f>+S89</f>
        <v>11452197</v>
      </c>
      <c r="T5" s="133">
        <f>IF(C5=0,0,+S5/C5)</f>
        <v>8.4558247609934162E-2</v>
      </c>
      <c r="U5" s="118"/>
      <c r="V5" s="199">
        <f t="shared" ref="V5:V7" si="3">+S5-E5+C5</f>
        <v>0</v>
      </c>
      <c r="W5" s="122"/>
      <c r="X5" s="122"/>
    </row>
    <row r="6" spans="1:26" ht="20.100000000000001" customHeight="1" x14ac:dyDescent="0.3">
      <c r="A6" s="253"/>
      <c r="B6" s="253" t="s">
        <v>376</v>
      </c>
      <c r="C6" s="254">
        <f>+C102</f>
        <v>135435600</v>
      </c>
      <c r="D6" s="254">
        <f t="shared" ref="D6:F6" si="4">+D102</f>
        <v>146640948</v>
      </c>
      <c r="E6" s="254">
        <f t="shared" si="4"/>
        <v>146887797</v>
      </c>
      <c r="F6" s="254">
        <f t="shared" si="4"/>
        <v>0</v>
      </c>
      <c r="G6" s="254"/>
      <c r="H6" s="254">
        <f>+H102</f>
        <v>72803015</v>
      </c>
      <c r="I6" s="254">
        <f t="shared" ref="I6:J6" si="5">+I102</f>
        <v>104244400</v>
      </c>
      <c r="J6" s="254">
        <f t="shared" si="5"/>
        <v>0</v>
      </c>
      <c r="K6" s="67"/>
      <c r="L6" s="701">
        <f t="shared" si="2"/>
        <v>0.53754710725983423</v>
      </c>
      <c r="M6" s="701">
        <f t="shared" si="2"/>
        <v>0.71088192910482273</v>
      </c>
      <c r="N6" s="701">
        <f t="shared" si="2"/>
        <v>0</v>
      </c>
      <c r="O6" s="67"/>
      <c r="P6" s="254">
        <f>+P102</f>
        <v>11205348</v>
      </c>
      <c r="Q6" s="254">
        <f t="shared" ref="Q6:S6" si="6">+Q102</f>
        <v>246849</v>
      </c>
      <c r="R6" s="254">
        <f t="shared" si="6"/>
        <v>0</v>
      </c>
      <c r="S6" s="254">
        <f t="shared" si="6"/>
        <v>11452197</v>
      </c>
      <c r="T6" s="31">
        <f>IF(C6=0,0,+S6/C6)</f>
        <v>8.4558247609934162E-2</v>
      </c>
      <c r="U6" s="118"/>
      <c r="V6" s="199">
        <f t="shared" si="3"/>
        <v>0</v>
      </c>
      <c r="W6" s="122"/>
      <c r="X6" s="122"/>
    </row>
    <row r="7" spans="1:26" ht="20.100000000000001" customHeight="1" x14ac:dyDescent="0.3">
      <c r="A7" s="253"/>
      <c r="B7" s="253" t="s">
        <v>411</v>
      </c>
      <c r="C7" s="254">
        <f>+C6-C5</f>
        <v>0</v>
      </c>
      <c r="D7" s="254">
        <f t="shared" ref="D7:H7" si="7">+D6-D5</f>
        <v>0</v>
      </c>
      <c r="E7" s="254">
        <f t="shared" si="7"/>
        <v>0</v>
      </c>
      <c r="F7" s="254">
        <f t="shared" si="7"/>
        <v>0</v>
      </c>
      <c r="G7" s="254"/>
      <c r="H7" s="254">
        <f t="shared" si="7"/>
        <v>3893346</v>
      </c>
      <c r="I7" s="254">
        <f>+I6-I5</f>
        <v>2860660</v>
      </c>
      <c r="J7" s="254">
        <f t="shared" ref="J7" si="8">+J6-J5</f>
        <v>0</v>
      </c>
      <c r="K7" s="67"/>
      <c r="L7" s="701"/>
      <c r="M7" s="701"/>
      <c r="N7" s="701"/>
      <c r="O7" s="67"/>
      <c r="P7" s="254">
        <f t="shared" ref="P7:S7" si="9">+P6-P5</f>
        <v>0</v>
      </c>
      <c r="Q7" s="254">
        <f t="shared" si="9"/>
        <v>0</v>
      </c>
      <c r="R7" s="254">
        <f t="shared" si="9"/>
        <v>0</v>
      </c>
      <c r="S7" s="254">
        <f t="shared" si="9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6" x14ac:dyDescent="0.25">
      <c r="A8" s="237"/>
      <c r="B8" s="238"/>
      <c r="C8" s="671"/>
      <c r="D8" s="672"/>
      <c r="E8" s="672"/>
      <c r="F8" s="672"/>
      <c r="G8" s="673"/>
      <c r="H8" s="673"/>
      <c r="I8" s="673"/>
      <c r="J8" s="673"/>
      <c r="K8" s="673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912" t="s">
        <v>410</v>
      </c>
      <c r="D9" s="920"/>
      <c r="E9" s="920"/>
      <c r="F9" s="921"/>
      <c r="G9" s="154"/>
      <c r="H9" s="912" t="s">
        <v>409</v>
      </c>
      <c r="I9" s="920"/>
      <c r="J9" s="920"/>
      <c r="K9" s="920"/>
      <c r="L9" s="920"/>
      <c r="M9" s="920"/>
      <c r="N9" s="921"/>
      <c r="O9" s="154"/>
      <c r="P9" s="912" t="s">
        <v>406</v>
      </c>
      <c r="Q9" s="920"/>
      <c r="R9" s="920"/>
      <c r="S9" s="920"/>
      <c r="T9" s="921"/>
      <c r="U9" s="200"/>
      <c r="V9" s="196"/>
      <c r="W9" s="122"/>
      <c r="X9" s="122"/>
    </row>
    <row r="10" spans="1:26" x14ac:dyDescent="0.25">
      <c r="A10" s="270"/>
      <c r="B10" s="269"/>
      <c r="C10" s="235"/>
      <c r="D10" s="88"/>
      <c r="E10" s="88"/>
      <c r="F10" s="236"/>
      <c r="G10" s="134"/>
      <c r="H10" s="909" t="s">
        <v>422</v>
      </c>
      <c r="I10" s="922"/>
      <c r="J10" s="923"/>
      <c r="K10" s="134"/>
      <c r="L10" s="909" t="s">
        <v>421</v>
      </c>
      <c r="M10" s="922"/>
      <c r="N10" s="923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61.2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575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  <c r="W11" s="122"/>
      <c r="X11" s="122"/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16"/>
      <c r="M12" s="14"/>
      <c r="N12" s="16"/>
      <c r="O12" s="68"/>
      <c r="P12" s="274"/>
      <c r="Q12" s="274"/>
      <c r="R12" s="274"/>
      <c r="S12" s="274"/>
      <c r="T12" s="68"/>
      <c r="U12" s="68"/>
      <c r="V12" s="257"/>
    </row>
    <row r="13" spans="1:26" x14ac:dyDescent="0.25">
      <c r="A13" s="5" t="s">
        <v>0</v>
      </c>
      <c r="B13" s="5" t="s">
        <v>3</v>
      </c>
      <c r="C13" s="191">
        <f>+C14+C24</f>
        <v>102325600</v>
      </c>
      <c r="D13" s="191">
        <f t="shared" ref="D13:I13" si="10">+D14+D24</f>
        <v>113400700</v>
      </c>
      <c r="E13" s="191">
        <f t="shared" si="10"/>
        <v>113400700</v>
      </c>
      <c r="F13" s="191">
        <f t="shared" si="10"/>
        <v>0</v>
      </c>
      <c r="G13" s="191"/>
      <c r="H13" s="191">
        <f t="shared" si="10"/>
        <v>51012328</v>
      </c>
      <c r="I13" s="191">
        <f t="shared" si="10"/>
        <v>76482976</v>
      </c>
      <c r="J13" s="191">
        <f t="shared" ref="J13" si="11">SUM(J14:J28)</f>
        <v>0</v>
      </c>
      <c r="K13" s="10"/>
      <c r="L13" s="650">
        <f t="shared" ref="L13" si="12">+H13/C13</f>
        <v>0.49852947844918571</v>
      </c>
      <c r="M13" s="650">
        <f>+I13/D13</f>
        <v>0.67444888788164448</v>
      </c>
      <c r="N13" s="650">
        <f t="shared" ref="N13" si="13">+J13/E13</f>
        <v>0</v>
      </c>
      <c r="O13" s="10"/>
      <c r="P13" s="298">
        <f t="shared" ref="P13:P76" si="14">+(D13-C13)*P$10</f>
        <v>11075100</v>
      </c>
      <c r="Q13" s="298">
        <f t="shared" ref="Q13:Q76" si="15">+(E13-D13)*Q$10</f>
        <v>0</v>
      </c>
      <c r="R13" s="298">
        <f t="shared" ref="R13:R76" si="16">+(F13-E13)*R$10</f>
        <v>0</v>
      </c>
      <c r="S13" s="298">
        <f t="shared" ref="S13:S14" si="17">+P13*P$10+Q13*Q$10+R13*R$10</f>
        <v>11075100</v>
      </c>
      <c r="T13" s="284">
        <f t="shared" ref="T13:T76" si="18">IF(C13=0,0,+S13/C13)</f>
        <v>0.10823391213928871</v>
      </c>
      <c r="U13" s="120"/>
      <c r="V13" s="196">
        <f t="shared" ref="V13:V15" si="19">+S13-E13+C13</f>
        <v>0</v>
      </c>
    </row>
    <row r="14" spans="1:26" x14ac:dyDescent="0.25">
      <c r="A14" s="20" t="s">
        <v>1</v>
      </c>
      <c r="B14" s="20"/>
      <c r="C14" s="377">
        <f>SUM(C15:C23)</f>
        <v>102325600</v>
      </c>
      <c r="D14" s="377">
        <f t="shared" ref="D14:I14" si="20">SUM(D15:D23)</f>
        <v>111532800</v>
      </c>
      <c r="E14" s="377">
        <f t="shared" si="20"/>
        <v>111937800</v>
      </c>
      <c r="F14" s="377">
        <f t="shared" si="20"/>
        <v>0</v>
      </c>
      <c r="G14" s="68"/>
      <c r="H14" s="377">
        <f t="shared" si="20"/>
        <v>50653515</v>
      </c>
      <c r="I14" s="377">
        <f t="shared" si="20"/>
        <v>75068027</v>
      </c>
      <c r="J14" s="68"/>
      <c r="K14" s="16"/>
      <c r="L14" s="653"/>
      <c r="M14" s="653"/>
      <c r="N14" s="653"/>
      <c r="O14" s="16"/>
      <c r="P14" s="274">
        <f t="shared" si="14"/>
        <v>9207200</v>
      </c>
      <c r="Q14" s="274">
        <f t="shared" si="15"/>
        <v>405000</v>
      </c>
      <c r="R14" s="274">
        <f t="shared" si="16"/>
        <v>0</v>
      </c>
      <c r="S14" s="274">
        <f t="shared" si="17"/>
        <v>9612200</v>
      </c>
      <c r="T14" s="283">
        <f t="shared" si="18"/>
        <v>9.3937392011383264E-2</v>
      </c>
      <c r="U14" s="120"/>
      <c r="V14" s="196">
        <f t="shared" si="19"/>
        <v>0</v>
      </c>
    </row>
    <row r="15" spans="1:26" x14ac:dyDescent="0.25">
      <c r="A15" s="20" t="s">
        <v>2</v>
      </c>
      <c r="B15" s="485" t="s">
        <v>362</v>
      </c>
      <c r="C15" s="576">
        <f>96435600-1100000</f>
        <v>95335600</v>
      </c>
      <c r="D15" s="68">
        <v>104182800</v>
      </c>
      <c r="E15" s="68">
        <v>104014800</v>
      </c>
      <c r="F15" s="68"/>
      <c r="G15" s="68"/>
      <c r="H15" s="68">
        <v>45963468</v>
      </c>
      <c r="I15" s="68">
        <v>69376810</v>
      </c>
      <c r="J15" s="68"/>
      <c r="K15" s="16"/>
      <c r="L15" s="653">
        <f t="shared" ref="L15:L27" si="21">IF(H15&gt;0,H15/C15,0)</f>
        <v>0.48212281666030316</v>
      </c>
      <c r="M15" s="653">
        <f t="shared" ref="M15:M27" si="22">IF(I15&gt;0,I15/D15,0)</f>
        <v>0.66591423920263226</v>
      </c>
      <c r="N15" s="653">
        <f t="shared" ref="N15:N27" si="23">IF(J15&gt;0,J15/E15,0)</f>
        <v>0</v>
      </c>
      <c r="O15" s="16"/>
      <c r="P15" s="81">
        <f t="shared" si="14"/>
        <v>8847200</v>
      </c>
      <c r="Q15" s="81">
        <f t="shared" si="15"/>
        <v>-168000</v>
      </c>
      <c r="R15" s="81">
        <f t="shared" si="16"/>
        <v>0</v>
      </c>
      <c r="S15" s="81">
        <f>+P15*P$10+Q15*Q$10+R15*R$10</f>
        <v>8679200</v>
      </c>
      <c r="T15" s="283">
        <f t="shared" si="18"/>
        <v>9.103839489131027E-2</v>
      </c>
      <c r="U15" s="120"/>
      <c r="V15" s="196">
        <f t="shared" si="19"/>
        <v>0</v>
      </c>
    </row>
    <row r="16" spans="1:26" ht="26.4" x14ac:dyDescent="0.25">
      <c r="A16" s="485" t="s">
        <v>610</v>
      </c>
      <c r="B16" s="20" t="s">
        <v>4</v>
      </c>
      <c r="C16" s="96"/>
      <c r="D16" s="68">
        <v>360000</v>
      </c>
      <c r="E16" s="68">
        <f>360000+168000</f>
        <v>528000</v>
      </c>
      <c r="F16" s="68"/>
      <c r="G16" s="68"/>
      <c r="H16" s="68">
        <v>359400</v>
      </c>
      <c r="I16" s="68">
        <f>359400+168000</f>
        <v>527400</v>
      </c>
      <c r="J16" s="68"/>
      <c r="K16" s="16"/>
      <c r="L16" s="653" t="e">
        <f t="shared" si="21"/>
        <v>#DIV/0!</v>
      </c>
      <c r="M16" s="653">
        <f t="shared" si="22"/>
        <v>1.4650000000000001</v>
      </c>
      <c r="N16" s="653">
        <f t="shared" si="23"/>
        <v>0</v>
      </c>
      <c r="O16" s="16"/>
      <c r="P16" s="81">
        <f t="shared" si="14"/>
        <v>360000</v>
      </c>
      <c r="Q16" s="81">
        <f t="shared" si="15"/>
        <v>168000</v>
      </c>
      <c r="R16" s="81">
        <f t="shared" si="16"/>
        <v>0</v>
      </c>
      <c r="S16" s="81">
        <f t="shared" ref="S16:S27" si="24">+P16*P$10+Q16*Q$10+R16*R$10</f>
        <v>528000</v>
      </c>
      <c r="T16" s="283">
        <f t="shared" si="18"/>
        <v>0</v>
      </c>
      <c r="U16" s="120"/>
      <c r="V16" s="196">
        <f t="shared" ref="V16:V76" si="25">+S16-E16+C16</f>
        <v>0</v>
      </c>
    </row>
    <row r="17" spans="1:23" x14ac:dyDescent="0.25">
      <c r="A17" s="20" t="s">
        <v>13</v>
      </c>
      <c r="B17" s="20" t="s">
        <v>5</v>
      </c>
      <c r="C17" s="96">
        <v>0</v>
      </c>
      <c r="D17" s="68"/>
      <c r="E17" s="68"/>
      <c r="F17" s="68"/>
      <c r="G17" s="68"/>
      <c r="H17" s="68"/>
      <c r="I17" s="68"/>
      <c r="J17" s="68"/>
      <c r="K17" s="16"/>
      <c r="L17" s="653">
        <f t="shared" si="21"/>
        <v>0</v>
      </c>
      <c r="M17" s="653">
        <f t="shared" si="22"/>
        <v>0</v>
      </c>
      <c r="N17" s="653">
        <f t="shared" si="23"/>
        <v>0</v>
      </c>
      <c r="O17" s="16"/>
      <c r="P17" s="81">
        <f t="shared" si="14"/>
        <v>0</v>
      </c>
      <c r="Q17" s="81">
        <f t="shared" si="15"/>
        <v>0</v>
      </c>
      <c r="R17" s="81">
        <f t="shared" si="16"/>
        <v>0</v>
      </c>
      <c r="S17" s="81">
        <f t="shared" si="24"/>
        <v>0</v>
      </c>
      <c r="T17" s="283">
        <f t="shared" si="18"/>
        <v>0</v>
      </c>
      <c r="U17" s="120"/>
      <c r="V17" s="196">
        <f t="shared" si="25"/>
        <v>0</v>
      </c>
    </row>
    <row r="18" spans="1:23" x14ac:dyDescent="0.25">
      <c r="A18" s="485" t="s">
        <v>385</v>
      </c>
      <c r="B18" s="20" t="s">
        <v>6</v>
      </c>
      <c r="C18" s="96">
        <v>0</v>
      </c>
      <c r="D18" s="68"/>
      <c r="E18" s="68"/>
      <c r="F18" s="68"/>
      <c r="G18" s="68"/>
      <c r="H18" s="68"/>
      <c r="I18" s="68"/>
      <c r="J18" s="68"/>
      <c r="K18" s="16"/>
      <c r="L18" s="653">
        <f t="shared" si="21"/>
        <v>0</v>
      </c>
      <c r="M18" s="653">
        <f t="shared" si="22"/>
        <v>0</v>
      </c>
      <c r="N18" s="653">
        <f t="shared" si="23"/>
        <v>0</v>
      </c>
      <c r="O18" s="16"/>
      <c r="P18" s="81">
        <f t="shared" si="14"/>
        <v>0</v>
      </c>
      <c r="Q18" s="81">
        <f t="shared" si="15"/>
        <v>0</v>
      </c>
      <c r="R18" s="81">
        <f t="shared" si="16"/>
        <v>0</v>
      </c>
      <c r="S18" s="81">
        <f t="shared" si="24"/>
        <v>0</v>
      </c>
      <c r="T18" s="283">
        <f t="shared" si="18"/>
        <v>0</v>
      </c>
      <c r="U18" s="120"/>
      <c r="V18" s="196">
        <f t="shared" si="25"/>
        <v>0</v>
      </c>
      <c r="W18" s="2"/>
    </row>
    <row r="19" spans="1:23" x14ac:dyDescent="0.25">
      <c r="A19" s="20" t="s">
        <v>14</v>
      </c>
      <c r="B19" s="20" t="s">
        <v>7</v>
      </c>
      <c r="C19" s="96">
        <f>26*200000</f>
        <v>5200000</v>
      </c>
      <c r="D19" s="68">
        <v>5200000</v>
      </c>
      <c r="E19" s="68">
        <v>5200000</v>
      </c>
      <c r="F19" s="68"/>
      <c r="G19" s="68"/>
      <c r="H19" s="68">
        <v>3546536</v>
      </c>
      <c r="I19" s="68">
        <v>3505496</v>
      </c>
      <c r="J19" s="68"/>
      <c r="K19" s="16"/>
      <c r="L19" s="653">
        <f t="shared" si="21"/>
        <v>0.68202615384615384</v>
      </c>
      <c r="M19" s="653">
        <f t="shared" si="22"/>
        <v>0.67413384615384619</v>
      </c>
      <c r="N19" s="653">
        <f t="shared" si="23"/>
        <v>0</v>
      </c>
      <c r="O19" s="16"/>
      <c r="P19" s="81">
        <f t="shared" si="14"/>
        <v>0</v>
      </c>
      <c r="Q19" s="81">
        <f t="shared" si="15"/>
        <v>0</v>
      </c>
      <c r="R19" s="81">
        <f t="shared" si="16"/>
        <v>0</v>
      </c>
      <c r="S19" s="81">
        <f t="shared" si="24"/>
        <v>0</v>
      </c>
      <c r="T19" s="283">
        <f t="shared" si="18"/>
        <v>0</v>
      </c>
      <c r="U19" s="120"/>
      <c r="V19" s="196">
        <f t="shared" si="25"/>
        <v>0</v>
      </c>
    </row>
    <row r="20" spans="1:23" x14ac:dyDescent="0.25">
      <c r="A20" s="20" t="s">
        <v>15</v>
      </c>
      <c r="B20" s="20" t="s">
        <v>8</v>
      </c>
      <c r="C20" s="96">
        <f>2*25000+40000</f>
        <v>90000</v>
      </c>
      <c r="D20" s="68">
        <v>90000</v>
      </c>
      <c r="E20" s="68">
        <v>0</v>
      </c>
      <c r="F20" s="68"/>
      <c r="G20" s="68"/>
      <c r="H20" s="68">
        <v>0</v>
      </c>
      <c r="I20" s="68"/>
      <c r="J20" s="68"/>
      <c r="K20" s="16"/>
      <c r="L20" s="653">
        <f t="shared" si="21"/>
        <v>0</v>
      </c>
      <c r="M20" s="653">
        <f t="shared" si="22"/>
        <v>0</v>
      </c>
      <c r="N20" s="653">
        <f t="shared" si="23"/>
        <v>0</v>
      </c>
      <c r="O20" s="16"/>
      <c r="P20" s="81">
        <f t="shared" si="14"/>
        <v>0</v>
      </c>
      <c r="Q20" s="81">
        <f t="shared" si="15"/>
        <v>-90000</v>
      </c>
      <c r="R20" s="81">
        <f t="shared" si="16"/>
        <v>0</v>
      </c>
      <c r="S20" s="81">
        <f t="shared" si="24"/>
        <v>-90000</v>
      </c>
      <c r="T20" s="283">
        <f t="shared" si="18"/>
        <v>-1</v>
      </c>
      <c r="U20" s="120"/>
      <c r="V20" s="196">
        <f t="shared" si="25"/>
        <v>0</v>
      </c>
    </row>
    <row r="21" spans="1:23" x14ac:dyDescent="0.25">
      <c r="A21" s="20" t="s">
        <v>16</v>
      </c>
      <c r="B21" s="20" t="s">
        <v>9</v>
      </c>
      <c r="C21" s="96">
        <v>600000</v>
      </c>
      <c r="D21" s="68">
        <v>600000</v>
      </c>
      <c r="E21" s="68">
        <v>600000</v>
      </c>
      <c r="F21" s="68"/>
      <c r="G21" s="68"/>
      <c r="H21" s="68">
        <v>186120</v>
      </c>
      <c r="I21" s="68">
        <v>308190</v>
      </c>
      <c r="J21" s="68"/>
      <c r="K21" s="16"/>
      <c r="L21" s="653">
        <f t="shared" si="21"/>
        <v>0.31019999999999998</v>
      </c>
      <c r="M21" s="653">
        <f t="shared" si="22"/>
        <v>0.51365000000000005</v>
      </c>
      <c r="N21" s="653">
        <f t="shared" si="23"/>
        <v>0</v>
      </c>
      <c r="O21" s="16"/>
      <c r="P21" s="81">
        <f t="shared" si="14"/>
        <v>0</v>
      </c>
      <c r="Q21" s="81">
        <f t="shared" si="15"/>
        <v>0</v>
      </c>
      <c r="R21" s="81">
        <f t="shared" si="16"/>
        <v>0</v>
      </c>
      <c r="S21" s="81">
        <f t="shared" si="24"/>
        <v>0</v>
      </c>
      <c r="T21" s="283">
        <f t="shared" si="18"/>
        <v>0</v>
      </c>
      <c r="U21" s="120"/>
      <c r="V21" s="196">
        <f t="shared" si="25"/>
        <v>0</v>
      </c>
    </row>
    <row r="22" spans="1:23" x14ac:dyDescent="0.25">
      <c r="A22" s="20" t="s">
        <v>17</v>
      </c>
      <c r="B22" s="20" t="s">
        <v>10</v>
      </c>
      <c r="C22" s="96">
        <v>0</v>
      </c>
      <c r="D22" s="68"/>
      <c r="E22" s="68"/>
      <c r="F22" s="68"/>
      <c r="G22" s="68"/>
      <c r="H22" s="68"/>
      <c r="I22" s="68"/>
      <c r="J22" s="68"/>
      <c r="K22" s="16"/>
      <c r="L22" s="653">
        <f t="shared" si="21"/>
        <v>0</v>
      </c>
      <c r="M22" s="653">
        <f t="shared" si="22"/>
        <v>0</v>
      </c>
      <c r="N22" s="653">
        <f t="shared" si="23"/>
        <v>0</v>
      </c>
      <c r="O22" s="16"/>
      <c r="P22" s="81">
        <f t="shared" si="14"/>
        <v>0</v>
      </c>
      <c r="Q22" s="81">
        <f t="shared" si="15"/>
        <v>0</v>
      </c>
      <c r="R22" s="81">
        <f t="shared" si="16"/>
        <v>0</v>
      </c>
      <c r="S22" s="81">
        <f t="shared" si="24"/>
        <v>0</v>
      </c>
      <c r="T22" s="283">
        <f t="shared" si="18"/>
        <v>0</v>
      </c>
      <c r="U22" s="120"/>
      <c r="V22" s="196">
        <f t="shared" si="25"/>
        <v>0</v>
      </c>
    </row>
    <row r="23" spans="1:23" x14ac:dyDescent="0.25">
      <c r="A23" s="20" t="s">
        <v>18</v>
      </c>
      <c r="B23" s="20" t="s">
        <v>11</v>
      </c>
      <c r="C23" s="96">
        <v>1100000</v>
      </c>
      <c r="D23" s="68">
        <v>1100000</v>
      </c>
      <c r="E23" s="68">
        <v>1595000</v>
      </c>
      <c r="F23" s="68"/>
      <c r="G23" s="68"/>
      <c r="H23" s="68">
        <v>597991</v>
      </c>
      <c r="I23" s="68">
        <v>1350131</v>
      </c>
      <c r="J23" s="68"/>
      <c r="K23" s="16"/>
      <c r="L23" s="653">
        <f t="shared" si="21"/>
        <v>0.54362818181818184</v>
      </c>
      <c r="M23" s="653">
        <f t="shared" si="22"/>
        <v>1.2273918181818182</v>
      </c>
      <c r="N23" s="653">
        <f t="shared" si="23"/>
        <v>0</v>
      </c>
      <c r="O23" s="16"/>
      <c r="P23" s="81">
        <f t="shared" si="14"/>
        <v>0</v>
      </c>
      <c r="Q23" s="81">
        <f t="shared" si="15"/>
        <v>495000</v>
      </c>
      <c r="R23" s="81">
        <f t="shared" si="16"/>
        <v>0</v>
      </c>
      <c r="S23" s="81">
        <f t="shared" si="24"/>
        <v>495000</v>
      </c>
      <c r="T23" s="283">
        <f t="shared" si="18"/>
        <v>0.45</v>
      </c>
      <c r="U23" s="120"/>
      <c r="V23" s="196">
        <f t="shared" si="25"/>
        <v>0</v>
      </c>
    </row>
    <row r="24" spans="1:23" x14ac:dyDescent="0.25">
      <c r="A24" s="20" t="s">
        <v>19</v>
      </c>
      <c r="B24" s="20"/>
      <c r="C24" s="377">
        <f>SUM(C25:C27)</f>
        <v>0</v>
      </c>
      <c r="D24" s="377">
        <f t="shared" ref="D24:I24" si="26">SUM(D25:D27)</f>
        <v>1867900</v>
      </c>
      <c r="E24" s="377">
        <f t="shared" si="26"/>
        <v>1462900</v>
      </c>
      <c r="F24" s="377">
        <f t="shared" si="26"/>
        <v>0</v>
      </c>
      <c r="G24" s="68"/>
      <c r="H24" s="377">
        <f t="shared" si="26"/>
        <v>358813</v>
      </c>
      <c r="I24" s="377">
        <f t="shared" si="26"/>
        <v>1414949</v>
      </c>
      <c r="J24" s="68"/>
      <c r="K24" s="16"/>
      <c r="L24" s="653" t="e">
        <f t="shared" si="21"/>
        <v>#DIV/0!</v>
      </c>
      <c r="M24" s="653">
        <f t="shared" si="22"/>
        <v>0.75750789656833872</v>
      </c>
      <c r="N24" s="653">
        <f t="shared" si="23"/>
        <v>0</v>
      </c>
      <c r="O24" s="16"/>
      <c r="P24" s="81">
        <f t="shared" si="14"/>
        <v>1867900</v>
      </c>
      <c r="Q24" s="81">
        <f t="shared" si="15"/>
        <v>-405000</v>
      </c>
      <c r="R24" s="81">
        <f t="shared" si="16"/>
        <v>0</v>
      </c>
      <c r="S24" s="81">
        <f t="shared" si="24"/>
        <v>1462900</v>
      </c>
      <c r="T24" s="283">
        <f t="shared" si="18"/>
        <v>0</v>
      </c>
      <c r="U24" s="120"/>
      <c r="V24" s="196">
        <f t="shared" ref="V24:V34" si="27">+S24-E24+C24</f>
        <v>0</v>
      </c>
    </row>
    <row r="25" spans="1:23" ht="26.4" x14ac:dyDescent="0.25">
      <c r="A25" s="20" t="s">
        <v>20</v>
      </c>
      <c r="B25" s="20" t="s">
        <v>107</v>
      </c>
      <c r="C25" s="96">
        <v>0</v>
      </c>
      <c r="D25" s="96">
        <v>0</v>
      </c>
      <c r="E25" s="68"/>
      <c r="F25" s="68"/>
      <c r="G25" s="68"/>
      <c r="H25" s="68">
        <v>0</v>
      </c>
      <c r="I25" s="68"/>
      <c r="J25" s="68"/>
      <c r="K25" s="16"/>
      <c r="L25" s="653">
        <f t="shared" si="21"/>
        <v>0</v>
      </c>
      <c r="M25" s="653">
        <f t="shared" si="22"/>
        <v>0</v>
      </c>
      <c r="N25" s="653">
        <f t="shared" si="23"/>
        <v>0</v>
      </c>
      <c r="O25" s="16"/>
      <c r="P25" s="81">
        <f t="shared" si="14"/>
        <v>0</v>
      </c>
      <c r="Q25" s="81">
        <f t="shared" si="15"/>
        <v>0</v>
      </c>
      <c r="R25" s="81">
        <f t="shared" si="16"/>
        <v>0</v>
      </c>
      <c r="S25" s="81">
        <f t="shared" si="24"/>
        <v>0</v>
      </c>
      <c r="T25" s="283">
        <f t="shared" si="18"/>
        <v>0</v>
      </c>
      <c r="U25" s="120"/>
      <c r="V25" s="196">
        <f t="shared" si="27"/>
        <v>0</v>
      </c>
    </row>
    <row r="26" spans="1:23" x14ac:dyDescent="0.25">
      <c r="A26" s="20" t="s">
        <v>22</v>
      </c>
      <c r="B26" s="20" t="s">
        <v>23</v>
      </c>
      <c r="C26" s="96">
        <v>0</v>
      </c>
      <c r="D26" s="96">
        <v>1573800</v>
      </c>
      <c r="E26" s="68">
        <v>308800</v>
      </c>
      <c r="F26" s="68"/>
      <c r="G26" s="68"/>
      <c r="H26" s="68">
        <v>308800</v>
      </c>
      <c r="I26" s="68">
        <v>308800</v>
      </c>
      <c r="J26" s="68"/>
      <c r="K26" s="16"/>
      <c r="L26" s="653" t="e">
        <f t="shared" si="21"/>
        <v>#DIV/0!</v>
      </c>
      <c r="M26" s="653">
        <f t="shared" si="22"/>
        <v>0.19621298767314779</v>
      </c>
      <c r="N26" s="653">
        <f t="shared" si="23"/>
        <v>0</v>
      </c>
      <c r="O26" s="16"/>
      <c r="P26" s="81">
        <f t="shared" si="14"/>
        <v>1573800</v>
      </c>
      <c r="Q26" s="81">
        <f t="shared" si="15"/>
        <v>-1265000</v>
      </c>
      <c r="R26" s="81">
        <f t="shared" si="16"/>
        <v>0</v>
      </c>
      <c r="S26" s="81">
        <f t="shared" si="24"/>
        <v>308800</v>
      </c>
      <c r="T26" s="283">
        <f t="shared" si="18"/>
        <v>0</v>
      </c>
      <c r="U26" s="120"/>
      <c r="V26" s="196">
        <f t="shared" si="27"/>
        <v>0</v>
      </c>
    </row>
    <row r="27" spans="1:23" x14ac:dyDescent="0.25">
      <c r="A27" s="20" t="s">
        <v>24</v>
      </c>
      <c r="B27" s="20" t="s">
        <v>25</v>
      </c>
      <c r="C27" s="96">
        <v>0</v>
      </c>
      <c r="D27" s="96">
        <v>294100</v>
      </c>
      <c r="E27" s="68">
        <v>1154100</v>
      </c>
      <c r="F27" s="68"/>
      <c r="G27" s="68"/>
      <c r="H27" s="68">
        <v>50013</v>
      </c>
      <c r="I27" s="68">
        <v>1106149</v>
      </c>
      <c r="J27" s="68"/>
      <c r="K27" s="16"/>
      <c r="L27" s="653" t="e">
        <f t="shared" si="21"/>
        <v>#DIV/0!</v>
      </c>
      <c r="M27" s="653">
        <f t="shared" si="22"/>
        <v>3.7611322679360764</v>
      </c>
      <c r="N27" s="653">
        <f t="shared" si="23"/>
        <v>0</v>
      </c>
      <c r="O27" s="16"/>
      <c r="P27" s="81">
        <f t="shared" si="14"/>
        <v>294100</v>
      </c>
      <c r="Q27" s="81">
        <f t="shared" si="15"/>
        <v>860000</v>
      </c>
      <c r="R27" s="81">
        <f t="shared" si="16"/>
        <v>0</v>
      </c>
      <c r="S27" s="81">
        <f t="shared" si="24"/>
        <v>1154100</v>
      </c>
      <c r="T27" s="283">
        <f t="shared" si="18"/>
        <v>0</v>
      </c>
      <c r="U27" s="120"/>
      <c r="V27" s="196">
        <f t="shared" si="27"/>
        <v>0</v>
      </c>
    </row>
    <row r="28" spans="1:23" x14ac:dyDescent="0.25">
      <c r="A28" s="11"/>
      <c r="B28" s="12"/>
      <c r="C28" s="293"/>
      <c r="D28" s="68"/>
      <c r="E28" s="68"/>
      <c r="F28" s="68"/>
      <c r="G28" s="68"/>
      <c r="H28" s="68"/>
      <c r="I28" s="68"/>
      <c r="J28" s="68"/>
      <c r="K28" s="16"/>
      <c r="L28" s="652"/>
      <c r="M28" s="652"/>
      <c r="N28" s="652"/>
      <c r="O28" s="16"/>
      <c r="P28" s="81"/>
      <c r="Q28" s="81"/>
      <c r="R28" s="81"/>
      <c r="S28" s="81"/>
      <c r="T28" s="283"/>
      <c r="U28" s="120"/>
      <c r="V28" s="196"/>
    </row>
    <row r="29" spans="1:23" x14ac:dyDescent="0.25">
      <c r="A29" s="5" t="s">
        <v>26</v>
      </c>
      <c r="B29" s="5" t="s">
        <v>27</v>
      </c>
      <c r="C29" s="191">
        <f>SUM(C30:C31)</f>
        <v>20252000</v>
      </c>
      <c r="D29" s="191">
        <f t="shared" ref="D29:J29" si="28">SUM(D30:D31)</f>
        <v>20498675</v>
      </c>
      <c r="E29" s="191">
        <f t="shared" si="28"/>
        <v>20521473</v>
      </c>
      <c r="F29" s="191">
        <f t="shared" si="28"/>
        <v>0</v>
      </c>
      <c r="G29" s="191"/>
      <c r="H29" s="191">
        <f t="shared" si="28"/>
        <v>11664414</v>
      </c>
      <c r="I29" s="191">
        <f t="shared" si="28"/>
        <v>16279513</v>
      </c>
      <c r="J29" s="191">
        <f t="shared" si="28"/>
        <v>0</v>
      </c>
      <c r="K29" s="10"/>
      <c r="L29" s="650">
        <f t="shared" ref="L29:L30" si="29">IF(H29&gt;0,H29/C29,0)</f>
        <v>0.57596355915465136</v>
      </c>
      <c r="M29" s="650">
        <f t="shared" ref="M29:M30" si="30">IF(I29&gt;0,I29/D29,0)</f>
        <v>0.7941739161189687</v>
      </c>
      <c r="N29" s="650">
        <f t="shared" ref="N29:N30" si="31">IF(J29&gt;0,J29/E29,0)</f>
        <v>0</v>
      </c>
      <c r="O29" s="10"/>
      <c r="P29" s="298">
        <f t="shared" si="14"/>
        <v>246675</v>
      </c>
      <c r="Q29" s="298">
        <f t="shared" si="15"/>
        <v>22798</v>
      </c>
      <c r="R29" s="298">
        <f t="shared" si="16"/>
        <v>0</v>
      </c>
      <c r="S29" s="298">
        <f t="shared" ref="S29:S30" si="32">+P29*P$10+Q29*Q$10+R29*R$10</f>
        <v>269473</v>
      </c>
      <c r="T29" s="284">
        <f t="shared" si="18"/>
        <v>1.3305994469682007E-2</v>
      </c>
      <c r="U29" s="120"/>
      <c r="V29" s="196">
        <f t="shared" si="27"/>
        <v>0</v>
      </c>
    </row>
    <row r="30" spans="1:23" x14ac:dyDescent="0.25">
      <c r="A30" s="20"/>
      <c r="B30" s="20" t="s">
        <v>28</v>
      </c>
      <c r="C30" s="96">
        <v>20252000</v>
      </c>
      <c r="D30" s="96">
        <v>20498675</v>
      </c>
      <c r="E30" s="68">
        <v>20521473</v>
      </c>
      <c r="F30" s="68"/>
      <c r="G30" s="68"/>
      <c r="H30" s="68">
        <v>11664414</v>
      </c>
      <c r="I30" s="68">
        <v>16279513</v>
      </c>
      <c r="J30" s="68"/>
      <c r="K30" s="16"/>
      <c r="L30" s="653">
        <f t="shared" si="29"/>
        <v>0.57596355915465136</v>
      </c>
      <c r="M30" s="653">
        <f t="shared" si="30"/>
        <v>0.7941739161189687</v>
      </c>
      <c r="N30" s="653">
        <f t="shared" si="31"/>
        <v>0</v>
      </c>
      <c r="O30" s="16"/>
      <c r="P30" s="81">
        <f t="shared" si="14"/>
        <v>246675</v>
      </c>
      <c r="Q30" s="81">
        <f t="shared" si="15"/>
        <v>22798</v>
      </c>
      <c r="R30" s="81">
        <f t="shared" si="16"/>
        <v>0</v>
      </c>
      <c r="S30" s="81">
        <f t="shared" si="32"/>
        <v>269473</v>
      </c>
      <c r="T30" s="283">
        <f t="shared" si="18"/>
        <v>1.3305994469682007E-2</v>
      </c>
      <c r="U30" s="120"/>
      <c r="V30" s="196">
        <f t="shared" si="27"/>
        <v>0</v>
      </c>
    </row>
    <row r="31" spans="1:23" x14ac:dyDescent="0.25">
      <c r="A31" s="20"/>
      <c r="B31" s="14"/>
      <c r="C31" s="96"/>
      <c r="D31" s="68"/>
      <c r="E31" s="68"/>
      <c r="F31" s="68"/>
      <c r="G31" s="68"/>
      <c r="H31" s="143" t="s">
        <v>594</v>
      </c>
      <c r="I31" s="68"/>
      <c r="J31" s="68"/>
      <c r="K31" s="16"/>
      <c r="L31" s="652"/>
      <c r="M31" s="652"/>
      <c r="N31" s="652"/>
      <c r="O31" s="16"/>
      <c r="P31" s="81"/>
      <c r="Q31" s="81"/>
      <c r="R31" s="81"/>
      <c r="S31" s="81"/>
      <c r="T31" s="283"/>
      <c r="U31" s="120"/>
      <c r="V31" s="196"/>
    </row>
    <row r="32" spans="1:23" x14ac:dyDescent="0.25">
      <c r="A32" s="5" t="s">
        <v>29</v>
      </c>
      <c r="B32" s="5" t="s">
        <v>30</v>
      </c>
      <c r="C32" s="191">
        <f>+C33+C41+C48+C66+C71</f>
        <v>11128000</v>
      </c>
      <c r="D32" s="191">
        <f t="shared" ref="D32:J32" si="33">+D33+D41+D48+D66+D71</f>
        <v>11011573</v>
      </c>
      <c r="E32" s="191">
        <f t="shared" si="33"/>
        <v>11235624</v>
      </c>
      <c r="F32" s="191">
        <f t="shared" si="33"/>
        <v>0</v>
      </c>
      <c r="G32" s="191"/>
      <c r="H32" s="191">
        <f t="shared" si="33"/>
        <v>4746493</v>
      </c>
      <c r="I32" s="191">
        <f t="shared" si="33"/>
        <v>7111916</v>
      </c>
      <c r="J32" s="191">
        <f t="shared" si="33"/>
        <v>0</v>
      </c>
      <c r="K32" s="10"/>
      <c r="L32" s="650">
        <f t="shared" ref="L32:L34" si="34">IF(H32&gt;0,H32/C32,0)</f>
        <v>0.42653603522645578</v>
      </c>
      <c r="M32" s="650">
        <f t="shared" ref="M32:M34" si="35">IF(I32&gt;0,I32/D32,0)</f>
        <v>0.64585831651844838</v>
      </c>
      <c r="N32" s="650">
        <f t="shared" ref="N32:N34" si="36">IF(J32&gt;0,J32/E32,0)</f>
        <v>0</v>
      </c>
      <c r="O32" s="10"/>
      <c r="P32" s="298">
        <f t="shared" si="14"/>
        <v>-116427</v>
      </c>
      <c r="Q32" s="298">
        <f t="shared" si="15"/>
        <v>224051</v>
      </c>
      <c r="R32" s="298">
        <f t="shared" si="16"/>
        <v>0</v>
      </c>
      <c r="S32" s="298">
        <f t="shared" ref="S32:S89" si="37">+P32*P$10+Q32*Q$10+R32*R$10</f>
        <v>107624</v>
      </c>
      <c r="T32" s="284">
        <f t="shared" si="18"/>
        <v>9.6714593817397564E-3</v>
      </c>
      <c r="U32" s="120"/>
      <c r="V32" s="196">
        <f t="shared" si="27"/>
        <v>0</v>
      </c>
    </row>
    <row r="33" spans="1:22" x14ac:dyDescent="0.25">
      <c r="A33" s="39" t="s">
        <v>31</v>
      </c>
      <c r="B33" s="39" t="s">
        <v>32</v>
      </c>
      <c r="C33" s="377">
        <f>SUM(C34:C40)</f>
        <v>2605000</v>
      </c>
      <c r="D33" s="377">
        <f t="shared" ref="D33:J33" si="38">SUM(D34:D40)</f>
        <v>2605000</v>
      </c>
      <c r="E33" s="377">
        <f t="shared" si="38"/>
        <v>2035320</v>
      </c>
      <c r="F33" s="377">
        <f t="shared" si="38"/>
        <v>0</v>
      </c>
      <c r="G33" s="377"/>
      <c r="H33" s="377">
        <f t="shared" si="38"/>
        <v>743356</v>
      </c>
      <c r="I33" s="377">
        <f t="shared" si="38"/>
        <v>1035801</v>
      </c>
      <c r="J33" s="377">
        <f t="shared" si="38"/>
        <v>0</v>
      </c>
      <c r="K33" s="16"/>
      <c r="L33" s="653">
        <f t="shared" si="34"/>
        <v>0.2853573896353167</v>
      </c>
      <c r="M33" s="652">
        <f t="shared" si="35"/>
        <v>0.39762034548944336</v>
      </c>
      <c r="N33" s="652">
        <f t="shared" si="36"/>
        <v>0</v>
      </c>
      <c r="O33" s="16"/>
      <c r="P33" s="81">
        <f t="shared" si="14"/>
        <v>0</v>
      </c>
      <c r="Q33" s="81">
        <f t="shared" si="15"/>
        <v>-569680</v>
      </c>
      <c r="R33" s="81">
        <f t="shared" si="16"/>
        <v>0</v>
      </c>
      <c r="S33" s="81">
        <f t="shared" si="37"/>
        <v>-569680</v>
      </c>
      <c r="T33" s="283">
        <f t="shared" si="18"/>
        <v>-0.21868714011516316</v>
      </c>
      <c r="U33" s="120"/>
      <c r="V33" s="196">
        <f t="shared" si="27"/>
        <v>0</v>
      </c>
    </row>
    <row r="34" spans="1:22" x14ac:dyDescent="0.25">
      <c r="A34" s="20" t="s">
        <v>33</v>
      </c>
      <c r="B34" s="20" t="s">
        <v>35</v>
      </c>
      <c r="C34" s="96">
        <v>285000</v>
      </c>
      <c r="D34" s="96">
        <v>285000</v>
      </c>
      <c r="E34" s="96">
        <v>285000</v>
      </c>
      <c r="F34" s="68"/>
      <c r="G34" s="68"/>
      <c r="H34" s="68">
        <v>164320</v>
      </c>
      <c r="I34" s="68">
        <v>164320</v>
      </c>
      <c r="J34" s="68"/>
      <c r="K34" s="16"/>
      <c r="L34" s="653">
        <f t="shared" si="34"/>
        <v>0.57656140350877194</v>
      </c>
      <c r="M34" s="653">
        <f t="shared" si="35"/>
        <v>0.57656140350877194</v>
      </c>
      <c r="N34" s="653">
        <f t="shared" si="36"/>
        <v>0</v>
      </c>
      <c r="O34" s="16"/>
      <c r="P34" s="81">
        <f t="shared" si="14"/>
        <v>0</v>
      </c>
      <c r="Q34" s="81">
        <f t="shared" si="15"/>
        <v>0</v>
      </c>
      <c r="R34" s="81">
        <f t="shared" si="16"/>
        <v>0</v>
      </c>
      <c r="S34" s="81">
        <f t="shared" si="37"/>
        <v>0</v>
      </c>
      <c r="T34" s="283">
        <f t="shared" si="18"/>
        <v>0</v>
      </c>
      <c r="U34" s="120"/>
      <c r="V34" s="196">
        <f t="shared" si="27"/>
        <v>0</v>
      </c>
    </row>
    <row r="35" spans="1:22" x14ac:dyDescent="0.25">
      <c r="A35" s="20"/>
      <c r="B35" s="20" t="s">
        <v>89</v>
      </c>
      <c r="C35" s="96"/>
      <c r="D35" s="96"/>
      <c r="E35" s="96"/>
      <c r="F35" s="68"/>
      <c r="G35" s="68"/>
      <c r="H35" s="68"/>
      <c r="I35" s="68"/>
      <c r="J35" s="68"/>
      <c r="K35" s="16"/>
      <c r="L35" s="653"/>
      <c r="M35" s="653"/>
      <c r="N35" s="653"/>
      <c r="O35" s="16"/>
      <c r="P35" s="81">
        <f t="shared" si="14"/>
        <v>0</v>
      </c>
      <c r="Q35" s="81">
        <f t="shared" si="15"/>
        <v>0</v>
      </c>
      <c r="R35" s="81">
        <f t="shared" si="16"/>
        <v>0</v>
      </c>
      <c r="S35" s="81">
        <f t="shared" si="37"/>
        <v>0</v>
      </c>
      <c r="T35" s="283">
        <f t="shared" si="18"/>
        <v>0</v>
      </c>
      <c r="U35" s="120"/>
      <c r="V35" s="196">
        <f t="shared" si="25"/>
        <v>0</v>
      </c>
    </row>
    <row r="36" spans="1:22" x14ac:dyDescent="0.25">
      <c r="A36" s="20" t="s">
        <v>34</v>
      </c>
      <c r="B36" s="20" t="s">
        <v>36</v>
      </c>
      <c r="C36" s="96">
        <f>1800000+26*20000</f>
        <v>2320000</v>
      </c>
      <c r="D36" s="96">
        <f>1800000+26*20000</f>
        <v>2320000</v>
      </c>
      <c r="E36" s="96">
        <v>1750320</v>
      </c>
      <c r="F36" s="68"/>
      <c r="G36" s="68"/>
      <c r="H36" s="68">
        <v>579036</v>
      </c>
      <c r="I36" s="68">
        <v>871481</v>
      </c>
      <c r="J36" s="68"/>
      <c r="K36" s="16"/>
      <c r="L36" s="653">
        <f t="shared" ref="L36" si="39">IF(H36&gt;0,H36/C36,0)</f>
        <v>0.24958448275862069</v>
      </c>
      <c r="M36" s="653">
        <f t="shared" ref="M36" si="40">IF(I36&gt;0,I36/D36,0)</f>
        <v>0.3756383620689655</v>
      </c>
      <c r="N36" s="653">
        <f t="shared" ref="N36" si="41">IF(J36&gt;0,J36/E36,0)</f>
        <v>0</v>
      </c>
      <c r="O36" s="16"/>
      <c r="P36" s="81">
        <f t="shared" si="14"/>
        <v>0</v>
      </c>
      <c r="Q36" s="81">
        <f t="shared" si="15"/>
        <v>-569680</v>
      </c>
      <c r="R36" s="81">
        <f t="shared" si="16"/>
        <v>0</v>
      </c>
      <c r="S36" s="81">
        <f t="shared" si="37"/>
        <v>-569680</v>
      </c>
      <c r="T36" s="283">
        <f t="shared" si="18"/>
        <v>-0.24555172413793103</v>
      </c>
      <c r="U36" s="120"/>
      <c r="V36" s="196">
        <f t="shared" si="25"/>
        <v>0</v>
      </c>
    </row>
    <row r="37" spans="1:22" x14ac:dyDescent="0.25">
      <c r="A37" s="20"/>
      <c r="B37" s="20" t="s">
        <v>105</v>
      </c>
      <c r="C37" s="96"/>
      <c r="D37" s="68"/>
      <c r="E37" s="68"/>
      <c r="F37" s="68"/>
      <c r="G37" s="68"/>
      <c r="H37" s="68"/>
      <c r="I37" s="68"/>
      <c r="J37" s="68"/>
      <c r="K37" s="16"/>
      <c r="L37" s="653"/>
      <c r="M37" s="653"/>
      <c r="N37" s="653"/>
      <c r="O37" s="16"/>
      <c r="P37" s="81">
        <f t="shared" si="14"/>
        <v>0</v>
      </c>
      <c r="Q37" s="81">
        <f t="shared" si="15"/>
        <v>0</v>
      </c>
      <c r="R37" s="81">
        <f t="shared" si="16"/>
        <v>0</v>
      </c>
      <c r="S37" s="81">
        <f t="shared" si="37"/>
        <v>0</v>
      </c>
      <c r="T37" s="283">
        <f t="shared" si="18"/>
        <v>0</v>
      </c>
      <c r="U37" s="120"/>
      <c r="V37" s="196">
        <f t="shared" si="25"/>
        <v>0</v>
      </c>
    </row>
    <row r="38" spans="1:22" x14ac:dyDescent="0.25">
      <c r="A38" s="20"/>
      <c r="B38" s="20" t="s">
        <v>95</v>
      </c>
      <c r="C38" s="96"/>
      <c r="D38" s="68"/>
      <c r="E38" s="68"/>
      <c r="F38" s="68"/>
      <c r="G38" s="68"/>
      <c r="H38" s="68"/>
      <c r="I38" s="68"/>
      <c r="J38" s="68"/>
      <c r="K38" s="16"/>
      <c r="L38" s="653"/>
      <c r="M38" s="653"/>
      <c r="N38" s="653"/>
      <c r="O38" s="16"/>
      <c r="P38" s="81">
        <f t="shared" si="14"/>
        <v>0</v>
      </c>
      <c r="Q38" s="81">
        <f t="shared" si="15"/>
        <v>0</v>
      </c>
      <c r="R38" s="81">
        <f t="shared" si="16"/>
        <v>0</v>
      </c>
      <c r="S38" s="81">
        <f t="shared" si="37"/>
        <v>0</v>
      </c>
      <c r="T38" s="283">
        <f t="shared" si="18"/>
        <v>0</v>
      </c>
      <c r="U38" s="120"/>
      <c r="V38" s="196">
        <f t="shared" si="25"/>
        <v>0</v>
      </c>
    </row>
    <row r="39" spans="1:22" x14ac:dyDescent="0.25">
      <c r="A39" s="20"/>
      <c r="B39" s="20" t="s">
        <v>94</v>
      </c>
      <c r="C39" s="96"/>
      <c r="D39" s="68"/>
      <c r="E39" s="68"/>
      <c r="F39" s="68"/>
      <c r="G39" s="68"/>
      <c r="H39" s="68"/>
      <c r="I39" s="68"/>
      <c r="J39" s="68"/>
      <c r="K39" s="16"/>
      <c r="L39" s="653"/>
      <c r="M39" s="653"/>
      <c r="N39" s="653"/>
      <c r="O39" s="16"/>
      <c r="P39" s="81">
        <f t="shared" si="14"/>
        <v>0</v>
      </c>
      <c r="Q39" s="81">
        <f t="shared" si="15"/>
        <v>0</v>
      </c>
      <c r="R39" s="81">
        <f t="shared" si="16"/>
        <v>0</v>
      </c>
      <c r="S39" s="81">
        <f t="shared" si="37"/>
        <v>0</v>
      </c>
      <c r="T39" s="283">
        <f t="shared" si="18"/>
        <v>0</v>
      </c>
      <c r="U39" s="120"/>
      <c r="V39" s="196">
        <f t="shared" si="25"/>
        <v>0</v>
      </c>
    </row>
    <row r="40" spans="1:22" x14ac:dyDescent="0.25">
      <c r="A40" s="20"/>
      <c r="B40" s="20" t="s">
        <v>93</v>
      </c>
      <c r="C40" s="96"/>
      <c r="D40" s="68"/>
      <c r="E40" s="68"/>
      <c r="F40" s="68"/>
      <c r="G40" s="68"/>
      <c r="H40" s="68"/>
      <c r="I40" s="68"/>
      <c r="J40" s="68"/>
      <c r="K40" s="16"/>
      <c r="L40" s="653"/>
      <c r="M40" s="653"/>
      <c r="N40" s="653"/>
      <c r="O40" s="16"/>
      <c r="P40" s="81">
        <f t="shared" si="14"/>
        <v>0</v>
      </c>
      <c r="Q40" s="81">
        <f t="shared" si="15"/>
        <v>0</v>
      </c>
      <c r="R40" s="81">
        <f t="shared" si="16"/>
        <v>0</v>
      </c>
      <c r="S40" s="81">
        <f t="shared" si="37"/>
        <v>0</v>
      </c>
      <c r="T40" s="283">
        <f t="shared" si="18"/>
        <v>0</v>
      </c>
      <c r="U40" s="120"/>
      <c r="V40" s="196">
        <f t="shared" si="25"/>
        <v>0</v>
      </c>
    </row>
    <row r="41" spans="1:22" x14ac:dyDescent="0.25">
      <c r="A41" s="39" t="s">
        <v>37</v>
      </c>
      <c r="B41" s="39" t="s">
        <v>38</v>
      </c>
      <c r="C41" s="377">
        <f>SUM(C42:C47)</f>
        <v>753000</v>
      </c>
      <c r="D41" s="377">
        <f t="shared" ref="D41:J41" si="42">SUM(D42:D47)</f>
        <v>753000</v>
      </c>
      <c r="E41" s="377">
        <f t="shared" si="42"/>
        <v>753000</v>
      </c>
      <c r="F41" s="377">
        <f t="shared" si="42"/>
        <v>0</v>
      </c>
      <c r="G41" s="377"/>
      <c r="H41" s="377">
        <f t="shared" si="42"/>
        <v>337274</v>
      </c>
      <c r="I41" s="377">
        <f t="shared" si="42"/>
        <v>425996</v>
      </c>
      <c r="J41" s="377">
        <f t="shared" si="42"/>
        <v>0</v>
      </c>
      <c r="K41" s="378"/>
      <c r="L41" s="653">
        <f t="shared" ref="L41:L42" si="43">IF(H41&gt;0,H41/C41,0)</f>
        <v>0.44790703851261621</v>
      </c>
      <c r="M41" s="654">
        <f t="shared" ref="M41:M42" si="44">IF(I41&gt;0,I41/D41,0)</f>
        <v>0.5657317397078353</v>
      </c>
      <c r="N41" s="654">
        <f t="shared" ref="N41:N42" si="45">IF(J41&gt;0,J41/E41,0)</f>
        <v>0</v>
      </c>
      <c r="O41" s="378"/>
      <c r="P41" s="379">
        <f t="shared" si="14"/>
        <v>0</v>
      </c>
      <c r="Q41" s="379">
        <f t="shared" si="15"/>
        <v>0</v>
      </c>
      <c r="R41" s="379">
        <f t="shared" si="16"/>
        <v>0</v>
      </c>
      <c r="S41" s="379">
        <f t="shared" si="37"/>
        <v>0</v>
      </c>
      <c r="T41" s="283">
        <f t="shared" si="18"/>
        <v>0</v>
      </c>
      <c r="U41" s="120"/>
      <c r="V41" s="196">
        <f t="shared" si="25"/>
        <v>0</v>
      </c>
    </row>
    <row r="42" spans="1:22" x14ac:dyDescent="0.25">
      <c r="A42" s="20" t="s">
        <v>39</v>
      </c>
      <c r="B42" s="20" t="s">
        <v>40</v>
      </c>
      <c r="C42" s="96">
        <v>585000</v>
      </c>
      <c r="D42" s="96">
        <v>585000</v>
      </c>
      <c r="E42" s="96">
        <v>585000</v>
      </c>
      <c r="F42" s="68"/>
      <c r="G42" s="68"/>
      <c r="H42" s="68">
        <v>258928</v>
      </c>
      <c r="I42" s="68">
        <v>291178</v>
      </c>
      <c r="J42" s="68"/>
      <c r="K42" s="16"/>
      <c r="L42" s="653">
        <f t="shared" si="43"/>
        <v>0.44261196581196582</v>
      </c>
      <c r="M42" s="653">
        <f t="shared" si="44"/>
        <v>0.49774017094017092</v>
      </c>
      <c r="N42" s="653">
        <f t="shared" si="45"/>
        <v>0</v>
      </c>
      <c r="O42" s="16"/>
      <c r="P42" s="81">
        <f t="shared" si="14"/>
        <v>0</v>
      </c>
      <c r="Q42" s="81">
        <f t="shared" si="15"/>
        <v>0</v>
      </c>
      <c r="R42" s="81">
        <f t="shared" si="16"/>
        <v>0</v>
      </c>
      <c r="S42" s="81">
        <f t="shared" si="37"/>
        <v>0</v>
      </c>
      <c r="T42" s="283">
        <f t="shared" si="18"/>
        <v>0</v>
      </c>
      <c r="U42" s="120"/>
      <c r="V42" s="196">
        <f t="shared" si="25"/>
        <v>0</v>
      </c>
    </row>
    <row r="43" spans="1:22" x14ac:dyDescent="0.25">
      <c r="A43" s="20"/>
      <c r="B43" s="20" t="s">
        <v>41</v>
      </c>
      <c r="C43" s="96"/>
      <c r="D43" s="96"/>
      <c r="E43" s="96"/>
      <c r="F43" s="68"/>
      <c r="G43" s="68"/>
      <c r="H43" s="68"/>
      <c r="I43" s="68"/>
      <c r="J43" s="68"/>
      <c r="K43" s="16"/>
      <c r="L43" s="653"/>
      <c r="M43" s="653"/>
      <c r="N43" s="653"/>
      <c r="O43" s="16"/>
      <c r="P43" s="81">
        <f t="shared" si="14"/>
        <v>0</v>
      </c>
      <c r="Q43" s="81">
        <f t="shared" si="15"/>
        <v>0</v>
      </c>
      <c r="R43" s="81">
        <f t="shared" si="16"/>
        <v>0</v>
      </c>
      <c r="S43" s="81">
        <f t="shared" si="37"/>
        <v>0</v>
      </c>
      <c r="T43" s="283">
        <f t="shared" si="18"/>
        <v>0</v>
      </c>
      <c r="U43" s="120"/>
      <c r="V43" s="196">
        <f t="shared" si="25"/>
        <v>0</v>
      </c>
    </row>
    <row r="44" spans="1:22" x14ac:dyDescent="0.25">
      <c r="A44" s="20"/>
      <c r="B44" s="20" t="s">
        <v>42</v>
      </c>
      <c r="C44" s="96"/>
      <c r="D44" s="96"/>
      <c r="E44" s="96"/>
      <c r="F44" s="68"/>
      <c r="G44" s="68"/>
      <c r="H44" s="68"/>
      <c r="I44" s="68"/>
      <c r="J44" s="68"/>
      <c r="K44" s="16"/>
      <c r="L44" s="653"/>
      <c r="M44" s="653"/>
      <c r="N44" s="653"/>
      <c r="O44" s="16"/>
      <c r="P44" s="81">
        <f t="shared" si="14"/>
        <v>0</v>
      </c>
      <c r="Q44" s="81">
        <f t="shared" si="15"/>
        <v>0</v>
      </c>
      <c r="R44" s="81">
        <f t="shared" si="16"/>
        <v>0</v>
      </c>
      <c r="S44" s="81">
        <f t="shared" si="37"/>
        <v>0</v>
      </c>
      <c r="T44" s="283">
        <f t="shared" si="18"/>
        <v>0</v>
      </c>
      <c r="U44" s="120"/>
      <c r="V44" s="196">
        <f t="shared" si="25"/>
        <v>0</v>
      </c>
    </row>
    <row r="45" spans="1:22" x14ac:dyDescent="0.25">
      <c r="A45" s="20"/>
      <c r="B45" s="20" t="s">
        <v>43</v>
      </c>
      <c r="C45" s="96"/>
      <c r="D45" s="96"/>
      <c r="E45" s="96"/>
      <c r="F45" s="68"/>
      <c r="G45" s="68"/>
      <c r="H45" s="68"/>
      <c r="I45" s="68"/>
      <c r="J45" s="68"/>
      <c r="K45" s="16"/>
      <c r="L45" s="653">
        <f t="shared" ref="L45:L46" si="46">IF(H45&gt;0,H45/C45,0)</f>
        <v>0</v>
      </c>
      <c r="M45" s="653">
        <f t="shared" ref="M45:M46" si="47">IF(I45&gt;0,I45/D45,0)</f>
        <v>0</v>
      </c>
      <c r="N45" s="653">
        <f t="shared" ref="N45:N46" si="48">IF(J45&gt;0,J45/E45,0)</f>
        <v>0</v>
      </c>
      <c r="O45" s="16"/>
      <c r="P45" s="81">
        <f t="shared" si="14"/>
        <v>0</v>
      </c>
      <c r="Q45" s="81">
        <f t="shared" si="15"/>
        <v>0</v>
      </c>
      <c r="R45" s="81">
        <f t="shared" si="16"/>
        <v>0</v>
      </c>
      <c r="S45" s="81">
        <f t="shared" si="37"/>
        <v>0</v>
      </c>
      <c r="T45" s="283">
        <f t="shared" si="18"/>
        <v>0</v>
      </c>
      <c r="U45" s="120"/>
      <c r="V45" s="196">
        <f t="shared" si="25"/>
        <v>0</v>
      </c>
    </row>
    <row r="46" spans="1:22" x14ac:dyDescent="0.25">
      <c r="A46" s="20" t="s">
        <v>44</v>
      </c>
      <c r="B46" s="20" t="s">
        <v>45</v>
      </c>
      <c r="C46" s="96">
        <v>168000</v>
      </c>
      <c r="D46" s="96">
        <v>168000</v>
      </c>
      <c r="E46" s="96">
        <v>168000</v>
      </c>
      <c r="F46" s="68"/>
      <c r="G46" s="68"/>
      <c r="H46" s="68">
        <v>78346</v>
      </c>
      <c r="I46" s="68">
        <v>134818</v>
      </c>
      <c r="J46" s="68"/>
      <c r="K46" s="16"/>
      <c r="L46" s="653">
        <f t="shared" si="46"/>
        <v>0.46634523809523809</v>
      </c>
      <c r="M46" s="653">
        <f t="shared" si="47"/>
        <v>0.80248809523809528</v>
      </c>
      <c r="N46" s="653">
        <f t="shared" si="48"/>
        <v>0</v>
      </c>
      <c r="O46" s="16"/>
      <c r="P46" s="81">
        <f t="shared" si="14"/>
        <v>0</v>
      </c>
      <c r="Q46" s="81">
        <f t="shared" si="15"/>
        <v>0</v>
      </c>
      <c r="R46" s="81">
        <f t="shared" si="16"/>
        <v>0</v>
      </c>
      <c r="S46" s="81">
        <f t="shared" si="37"/>
        <v>0</v>
      </c>
      <c r="T46" s="283">
        <f t="shared" si="18"/>
        <v>0</v>
      </c>
      <c r="U46" s="120"/>
      <c r="V46" s="196">
        <f t="shared" si="25"/>
        <v>0</v>
      </c>
    </row>
    <row r="47" spans="1:22" x14ac:dyDescent="0.25">
      <c r="A47" s="20"/>
      <c r="B47" s="20" t="s">
        <v>46</v>
      </c>
      <c r="C47" s="96"/>
      <c r="D47" s="68"/>
      <c r="E47" s="68"/>
      <c r="F47" s="68"/>
      <c r="G47" s="68"/>
      <c r="H47" s="68"/>
      <c r="I47" s="68"/>
      <c r="J47" s="68"/>
      <c r="K47" s="16"/>
      <c r="L47" s="653"/>
      <c r="M47" s="653"/>
      <c r="N47" s="653"/>
      <c r="O47" s="16"/>
      <c r="P47" s="81">
        <f t="shared" si="14"/>
        <v>0</v>
      </c>
      <c r="Q47" s="81">
        <f t="shared" si="15"/>
        <v>0</v>
      </c>
      <c r="R47" s="81">
        <f t="shared" si="16"/>
        <v>0</v>
      </c>
      <c r="S47" s="81">
        <f t="shared" si="37"/>
        <v>0</v>
      </c>
      <c r="T47" s="283">
        <f t="shared" si="18"/>
        <v>0</v>
      </c>
      <c r="U47" s="120"/>
      <c r="V47" s="196">
        <f t="shared" si="25"/>
        <v>0</v>
      </c>
    </row>
    <row r="48" spans="1:22" x14ac:dyDescent="0.25">
      <c r="A48" s="39" t="s">
        <v>47</v>
      </c>
      <c r="B48" s="39" t="s">
        <v>48</v>
      </c>
      <c r="C48" s="377">
        <f>SUM(C49:C65)</f>
        <v>5260000</v>
      </c>
      <c r="D48" s="377">
        <f t="shared" ref="D48:J48" si="49">SUM(D49:D65)</f>
        <v>4710000</v>
      </c>
      <c r="E48" s="377">
        <f t="shared" si="49"/>
        <v>5191831</v>
      </c>
      <c r="F48" s="377">
        <f t="shared" si="49"/>
        <v>0</v>
      </c>
      <c r="G48" s="377"/>
      <c r="H48" s="377">
        <f t="shared" si="49"/>
        <v>2392417</v>
      </c>
      <c r="I48" s="377">
        <f t="shared" si="49"/>
        <v>3445904</v>
      </c>
      <c r="J48" s="377">
        <f t="shared" si="49"/>
        <v>0</v>
      </c>
      <c r="K48" s="16"/>
      <c r="L48" s="653">
        <f t="shared" ref="L48:L49" si="50">IF(H48&gt;0,H48/C48,0)</f>
        <v>0.45483212927756655</v>
      </c>
      <c r="M48" s="653">
        <f t="shared" ref="M48:M49" si="51">IF(I48&gt;0,I48/D48,0)</f>
        <v>0.73161443736730358</v>
      </c>
      <c r="N48" s="653">
        <f t="shared" ref="N48:N49" si="52">IF(J48&gt;0,J48/E48,0)</f>
        <v>0</v>
      </c>
      <c r="O48" s="16"/>
      <c r="P48" s="81">
        <f t="shared" si="14"/>
        <v>-550000</v>
      </c>
      <c r="Q48" s="81">
        <f t="shared" si="15"/>
        <v>481831</v>
      </c>
      <c r="R48" s="81">
        <f t="shared" si="16"/>
        <v>0</v>
      </c>
      <c r="S48" s="81">
        <f t="shared" si="37"/>
        <v>-68169</v>
      </c>
      <c r="T48" s="283">
        <f t="shared" si="18"/>
        <v>-1.2959885931558935E-2</v>
      </c>
      <c r="U48" s="120"/>
      <c r="V48" s="196">
        <f t="shared" si="25"/>
        <v>0</v>
      </c>
    </row>
    <row r="49" spans="1:22" x14ac:dyDescent="0.25">
      <c r="A49" s="20" t="s">
        <v>49</v>
      </c>
      <c r="B49" s="20" t="s">
        <v>50</v>
      </c>
      <c r="C49" s="96">
        <v>1800000</v>
      </c>
      <c r="D49" s="96">
        <v>1800000</v>
      </c>
      <c r="E49" s="68">
        <v>2100000</v>
      </c>
      <c r="F49" s="68"/>
      <c r="G49" s="68"/>
      <c r="H49" s="68">
        <v>915741</v>
      </c>
      <c r="I49" s="68">
        <v>1446443</v>
      </c>
      <c r="J49" s="68"/>
      <c r="K49" s="16"/>
      <c r="L49" s="653">
        <f t="shared" si="50"/>
        <v>0.508745</v>
      </c>
      <c r="M49" s="653">
        <f t="shared" si="51"/>
        <v>0.8035794444444444</v>
      </c>
      <c r="N49" s="653">
        <f t="shared" si="52"/>
        <v>0</v>
      </c>
      <c r="O49" s="16"/>
      <c r="P49" s="81">
        <f t="shared" si="14"/>
        <v>0</v>
      </c>
      <c r="Q49" s="81">
        <f t="shared" si="15"/>
        <v>300000</v>
      </c>
      <c r="R49" s="81">
        <f t="shared" si="16"/>
        <v>0</v>
      </c>
      <c r="S49" s="81">
        <f t="shared" si="37"/>
        <v>300000</v>
      </c>
      <c r="T49" s="283">
        <f t="shared" si="18"/>
        <v>0.16666666666666666</v>
      </c>
      <c r="U49" s="120"/>
      <c r="V49" s="196">
        <f t="shared" si="25"/>
        <v>0</v>
      </c>
    </row>
    <row r="50" spans="1:22" x14ac:dyDescent="0.25">
      <c r="A50" s="20" t="s">
        <v>103</v>
      </c>
      <c r="B50" s="20" t="s">
        <v>97</v>
      </c>
      <c r="C50" s="96"/>
      <c r="D50" s="68"/>
      <c r="E50" s="68"/>
      <c r="F50" s="68"/>
      <c r="G50" s="68"/>
      <c r="H50" s="68"/>
      <c r="I50" s="68"/>
      <c r="J50" s="68"/>
      <c r="K50" s="16"/>
      <c r="L50" s="653"/>
      <c r="M50" s="653"/>
      <c r="N50" s="653"/>
      <c r="O50" s="16"/>
      <c r="P50" s="81">
        <f t="shared" si="14"/>
        <v>0</v>
      </c>
      <c r="Q50" s="81">
        <f t="shared" si="15"/>
        <v>0</v>
      </c>
      <c r="R50" s="81">
        <f t="shared" si="16"/>
        <v>0</v>
      </c>
      <c r="S50" s="81">
        <f t="shared" si="37"/>
        <v>0</v>
      </c>
      <c r="T50" s="283">
        <f t="shared" si="18"/>
        <v>0</v>
      </c>
      <c r="U50" s="120"/>
      <c r="V50" s="196">
        <f t="shared" si="25"/>
        <v>0</v>
      </c>
    </row>
    <row r="51" spans="1:22" x14ac:dyDescent="0.25">
      <c r="A51" s="20"/>
      <c r="B51" s="20" t="s">
        <v>98</v>
      </c>
      <c r="C51" s="96"/>
      <c r="D51" s="68"/>
      <c r="E51" s="68"/>
      <c r="F51" s="68"/>
      <c r="G51" s="68"/>
      <c r="H51" s="68"/>
      <c r="I51" s="68"/>
      <c r="J51" s="68"/>
      <c r="K51" s="16"/>
      <c r="L51" s="653"/>
      <c r="M51" s="653"/>
      <c r="N51" s="653"/>
      <c r="O51" s="16"/>
      <c r="P51" s="81">
        <f t="shared" si="14"/>
        <v>0</v>
      </c>
      <c r="Q51" s="81">
        <f t="shared" si="15"/>
        <v>0</v>
      </c>
      <c r="R51" s="81">
        <f t="shared" si="16"/>
        <v>0</v>
      </c>
      <c r="S51" s="81">
        <f t="shared" si="37"/>
        <v>0</v>
      </c>
      <c r="T51" s="283">
        <f t="shared" si="18"/>
        <v>0</v>
      </c>
      <c r="U51" s="120"/>
      <c r="V51" s="196">
        <f t="shared" si="25"/>
        <v>0</v>
      </c>
    </row>
    <row r="52" spans="1:22" x14ac:dyDescent="0.25">
      <c r="A52" s="20"/>
      <c r="B52" s="20" t="s">
        <v>99</v>
      </c>
      <c r="C52" s="96"/>
      <c r="D52" s="68"/>
      <c r="E52" s="68"/>
      <c r="F52" s="68"/>
      <c r="G52" s="68"/>
      <c r="H52" s="68"/>
      <c r="I52" s="68"/>
      <c r="J52" s="68"/>
      <c r="K52" s="16"/>
      <c r="L52" s="653"/>
      <c r="M52" s="653"/>
      <c r="N52" s="653"/>
      <c r="O52" s="16"/>
      <c r="P52" s="81">
        <f t="shared" si="14"/>
        <v>0</v>
      </c>
      <c r="Q52" s="81">
        <f t="shared" si="15"/>
        <v>0</v>
      </c>
      <c r="R52" s="81">
        <f t="shared" si="16"/>
        <v>0</v>
      </c>
      <c r="S52" s="81">
        <f t="shared" si="37"/>
        <v>0</v>
      </c>
      <c r="T52" s="283">
        <f t="shared" si="18"/>
        <v>0</v>
      </c>
      <c r="U52" s="120"/>
      <c r="V52" s="196">
        <f t="shared" si="25"/>
        <v>0</v>
      </c>
    </row>
    <row r="53" spans="1:22" x14ac:dyDescent="0.25">
      <c r="A53" s="20" t="s">
        <v>51</v>
      </c>
      <c r="B53" s="20" t="s">
        <v>52</v>
      </c>
      <c r="C53" s="96">
        <v>0</v>
      </c>
      <c r="D53" s="96">
        <v>0</v>
      </c>
      <c r="E53" s="68">
        <v>0</v>
      </c>
      <c r="F53" s="68">
        <v>0</v>
      </c>
      <c r="G53" s="68"/>
      <c r="H53" s="68">
        <v>0</v>
      </c>
      <c r="I53" s="68">
        <v>0</v>
      </c>
      <c r="J53" s="68"/>
      <c r="K53" s="16"/>
      <c r="L53" s="653">
        <f t="shared" ref="L53" si="53">IF(H53&gt;0,H53/C53,0)</f>
        <v>0</v>
      </c>
      <c r="M53" s="653">
        <f t="shared" ref="M53" si="54">IF(I53&gt;0,I53/D53,0)</f>
        <v>0</v>
      </c>
      <c r="N53" s="653">
        <f t="shared" ref="N53" si="55">IF(J53&gt;0,J53/E53,0)</f>
        <v>0</v>
      </c>
      <c r="O53" s="16"/>
      <c r="P53" s="81">
        <f t="shared" si="14"/>
        <v>0</v>
      </c>
      <c r="Q53" s="81">
        <f t="shared" si="15"/>
        <v>0</v>
      </c>
      <c r="R53" s="81">
        <f t="shared" si="16"/>
        <v>0</v>
      </c>
      <c r="S53" s="81">
        <f t="shared" si="37"/>
        <v>0</v>
      </c>
      <c r="T53" s="283">
        <f t="shared" si="18"/>
        <v>0</v>
      </c>
      <c r="U53" s="120"/>
      <c r="V53" s="196">
        <f t="shared" si="25"/>
        <v>0</v>
      </c>
    </row>
    <row r="54" spans="1:22" x14ac:dyDescent="0.25">
      <c r="A54" s="20"/>
      <c r="B54" s="20" t="s">
        <v>90</v>
      </c>
      <c r="C54" s="96"/>
      <c r="D54" s="68"/>
      <c r="E54" s="68"/>
      <c r="F54" s="68"/>
      <c r="G54" s="68"/>
      <c r="H54" s="68"/>
      <c r="I54" s="68"/>
      <c r="J54" s="68"/>
      <c r="K54" s="16"/>
      <c r="L54" s="653"/>
      <c r="M54" s="653"/>
      <c r="N54" s="653"/>
      <c r="O54" s="16"/>
      <c r="P54" s="81">
        <f t="shared" si="14"/>
        <v>0</v>
      </c>
      <c r="Q54" s="81">
        <f t="shared" si="15"/>
        <v>0</v>
      </c>
      <c r="R54" s="81">
        <f t="shared" si="16"/>
        <v>0</v>
      </c>
      <c r="S54" s="81">
        <f t="shared" si="37"/>
        <v>0</v>
      </c>
      <c r="T54" s="283">
        <f t="shared" si="18"/>
        <v>0</v>
      </c>
      <c r="U54" s="120"/>
      <c r="V54" s="196">
        <f t="shared" si="25"/>
        <v>0</v>
      </c>
    </row>
    <row r="55" spans="1:22" x14ac:dyDescent="0.25">
      <c r="A55" s="20"/>
      <c r="B55" s="20" t="s">
        <v>53</v>
      </c>
      <c r="C55" s="96"/>
      <c r="D55" s="68"/>
      <c r="E55" s="68"/>
      <c r="F55" s="68"/>
      <c r="G55" s="68"/>
      <c r="H55" s="68"/>
      <c r="I55" s="68"/>
      <c r="J55" s="68"/>
      <c r="K55" s="16"/>
      <c r="L55" s="653"/>
      <c r="M55" s="653"/>
      <c r="N55" s="653"/>
      <c r="O55" s="16"/>
      <c r="P55" s="81">
        <f t="shared" si="14"/>
        <v>0</v>
      </c>
      <c r="Q55" s="81">
        <f t="shared" si="15"/>
        <v>0</v>
      </c>
      <c r="R55" s="81">
        <f t="shared" si="16"/>
        <v>0</v>
      </c>
      <c r="S55" s="81">
        <f t="shared" si="37"/>
        <v>0</v>
      </c>
      <c r="T55" s="283">
        <f t="shared" si="18"/>
        <v>0</v>
      </c>
      <c r="U55" s="120"/>
      <c r="V55" s="196">
        <f t="shared" si="25"/>
        <v>0</v>
      </c>
    </row>
    <row r="56" spans="1:22" x14ac:dyDescent="0.25">
      <c r="A56" s="20" t="s">
        <v>54</v>
      </c>
      <c r="B56" s="20" t="s">
        <v>55</v>
      </c>
      <c r="C56" s="96">
        <v>0</v>
      </c>
      <c r="D56" s="68"/>
      <c r="E56" s="68"/>
      <c r="F56" s="68"/>
      <c r="G56" s="68"/>
      <c r="H56" s="68">
        <v>0</v>
      </c>
      <c r="I56" s="68">
        <v>0</v>
      </c>
      <c r="J56" s="68"/>
      <c r="K56" s="16"/>
      <c r="L56" s="653">
        <f t="shared" ref="L56" si="56">IF(H56&gt;0,H56/C56,0)</f>
        <v>0</v>
      </c>
      <c r="M56" s="653">
        <f t="shared" ref="M56" si="57">IF(I56&gt;0,I56/D56,0)</f>
        <v>0</v>
      </c>
      <c r="N56" s="653">
        <f t="shared" ref="N56" si="58">IF(J56&gt;0,J56/E56,0)</f>
        <v>0</v>
      </c>
      <c r="O56" s="16"/>
      <c r="P56" s="81">
        <f t="shared" si="14"/>
        <v>0</v>
      </c>
      <c r="Q56" s="81">
        <f t="shared" si="15"/>
        <v>0</v>
      </c>
      <c r="R56" s="81">
        <f t="shared" si="16"/>
        <v>0</v>
      </c>
      <c r="S56" s="81">
        <f t="shared" si="37"/>
        <v>0</v>
      </c>
      <c r="T56" s="283">
        <f t="shared" si="18"/>
        <v>0</v>
      </c>
      <c r="U56" s="120"/>
      <c r="V56" s="196">
        <f t="shared" si="25"/>
        <v>0</v>
      </c>
    </row>
    <row r="57" spans="1:22" x14ac:dyDescent="0.25">
      <c r="A57" s="20"/>
      <c r="B57" s="20" t="s">
        <v>56</v>
      </c>
      <c r="C57" s="96"/>
      <c r="D57" s="68"/>
      <c r="E57" s="68"/>
      <c r="F57" s="68"/>
      <c r="G57" s="68"/>
      <c r="H57" s="68"/>
      <c r="I57" s="68"/>
      <c r="J57" s="68"/>
      <c r="K57" s="16"/>
      <c r="L57" s="653"/>
      <c r="M57" s="653"/>
      <c r="N57" s="653"/>
      <c r="O57" s="16"/>
      <c r="P57" s="81">
        <f t="shared" si="14"/>
        <v>0</v>
      </c>
      <c r="Q57" s="81">
        <f t="shared" si="15"/>
        <v>0</v>
      </c>
      <c r="R57" s="81">
        <f t="shared" si="16"/>
        <v>0</v>
      </c>
      <c r="S57" s="81">
        <f t="shared" si="37"/>
        <v>0</v>
      </c>
      <c r="T57" s="283">
        <f t="shared" si="18"/>
        <v>0</v>
      </c>
      <c r="U57" s="120"/>
      <c r="V57" s="196">
        <f t="shared" si="25"/>
        <v>0</v>
      </c>
    </row>
    <row r="58" spans="1:22" x14ac:dyDescent="0.25">
      <c r="A58" s="20" t="s">
        <v>57</v>
      </c>
      <c r="B58" s="20" t="s">
        <v>91</v>
      </c>
      <c r="C58" s="96">
        <v>60000</v>
      </c>
      <c r="D58" s="68">
        <v>60000</v>
      </c>
      <c r="E58" s="68">
        <v>60000</v>
      </c>
      <c r="F58" s="68">
        <v>0</v>
      </c>
      <c r="G58" s="68"/>
      <c r="H58" s="68">
        <v>50000</v>
      </c>
      <c r="I58" s="68">
        <v>50000</v>
      </c>
      <c r="J58" s="68"/>
      <c r="K58" s="16"/>
      <c r="L58" s="653">
        <f t="shared" ref="L58" si="59">IF(H58&gt;0,H58/C58,0)</f>
        <v>0.83333333333333337</v>
      </c>
      <c r="M58" s="653">
        <f t="shared" ref="M58" si="60">IF(I58&gt;0,I58/D58,0)</f>
        <v>0.83333333333333337</v>
      </c>
      <c r="N58" s="653">
        <f t="shared" ref="N58" si="61">IF(J58&gt;0,J58/E58,0)</f>
        <v>0</v>
      </c>
      <c r="O58" s="16"/>
      <c r="P58" s="81">
        <f t="shared" si="14"/>
        <v>0</v>
      </c>
      <c r="Q58" s="81">
        <f t="shared" si="15"/>
        <v>0</v>
      </c>
      <c r="R58" s="81">
        <f t="shared" si="16"/>
        <v>0</v>
      </c>
      <c r="S58" s="81">
        <f t="shared" si="37"/>
        <v>0</v>
      </c>
      <c r="T58" s="283">
        <f t="shared" si="18"/>
        <v>0</v>
      </c>
      <c r="U58" s="120"/>
      <c r="V58" s="196">
        <f t="shared" si="25"/>
        <v>0</v>
      </c>
    </row>
    <row r="59" spans="1:22" x14ac:dyDescent="0.25">
      <c r="A59" s="20"/>
      <c r="B59" s="20" t="s">
        <v>58</v>
      </c>
      <c r="C59" s="96"/>
      <c r="D59" s="68"/>
      <c r="E59" s="68"/>
      <c r="F59" s="68"/>
      <c r="G59" s="68"/>
      <c r="H59" s="68"/>
      <c r="I59" s="68"/>
      <c r="J59" s="68"/>
      <c r="K59" s="16"/>
      <c r="L59" s="653"/>
      <c r="M59" s="653"/>
      <c r="N59" s="653"/>
      <c r="O59" s="16"/>
      <c r="P59" s="81">
        <f t="shared" si="14"/>
        <v>0</v>
      </c>
      <c r="Q59" s="81">
        <f t="shared" si="15"/>
        <v>0</v>
      </c>
      <c r="R59" s="81">
        <f t="shared" si="16"/>
        <v>0</v>
      </c>
      <c r="S59" s="81">
        <f t="shared" si="37"/>
        <v>0</v>
      </c>
      <c r="T59" s="283">
        <f t="shared" si="18"/>
        <v>0</v>
      </c>
      <c r="U59" s="120"/>
      <c r="V59" s="196">
        <f t="shared" si="25"/>
        <v>0</v>
      </c>
    </row>
    <row r="60" spans="1:22" x14ac:dyDescent="0.25">
      <c r="A60" s="20" t="s">
        <v>59</v>
      </c>
      <c r="B60" s="20" t="s">
        <v>60</v>
      </c>
      <c r="C60" s="96">
        <v>0</v>
      </c>
      <c r="D60" s="68"/>
      <c r="E60" s="68"/>
      <c r="F60" s="68"/>
      <c r="G60" s="68"/>
      <c r="H60" s="68"/>
      <c r="I60" s="68"/>
      <c r="J60" s="68"/>
      <c r="K60" s="16"/>
      <c r="L60" s="653">
        <f t="shared" ref="L60" si="62">IF(H60&gt;0,H60/C60,0)</f>
        <v>0</v>
      </c>
      <c r="M60" s="653">
        <f t="shared" ref="M60" si="63">IF(I60&gt;0,I60/D60,0)</f>
        <v>0</v>
      </c>
      <c r="N60" s="653">
        <f t="shared" ref="N60" si="64">IF(J60&gt;0,J60/E60,0)</f>
        <v>0</v>
      </c>
      <c r="O60" s="16"/>
      <c r="P60" s="81">
        <f t="shared" si="14"/>
        <v>0</v>
      </c>
      <c r="Q60" s="81">
        <f t="shared" si="15"/>
        <v>0</v>
      </c>
      <c r="R60" s="81">
        <f t="shared" si="16"/>
        <v>0</v>
      </c>
      <c r="S60" s="81">
        <f t="shared" si="37"/>
        <v>0</v>
      </c>
      <c r="T60" s="283">
        <f t="shared" si="18"/>
        <v>0</v>
      </c>
      <c r="U60" s="120"/>
      <c r="V60" s="196">
        <f t="shared" si="25"/>
        <v>0</v>
      </c>
    </row>
    <row r="61" spans="1:22" ht="26.4" x14ac:dyDescent="0.25">
      <c r="A61" s="20"/>
      <c r="B61" s="20" t="s">
        <v>61</v>
      </c>
      <c r="C61" s="96"/>
      <c r="D61" s="68"/>
      <c r="E61" s="68"/>
      <c r="F61" s="68"/>
      <c r="G61" s="68"/>
      <c r="H61" s="68"/>
      <c r="I61" s="68"/>
      <c r="J61" s="68"/>
      <c r="K61" s="16"/>
      <c r="L61" s="653"/>
      <c r="M61" s="653"/>
      <c r="N61" s="653"/>
      <c r="O61" s="16"/>
      <c r="P61" s="81">
        <f t="shared" si="14"/>
        <v>0</v>
      </c>
      <c r="Q61" s="81">
        <f t="shared" si="15"/>
        <v>0</v>
      </c>
      <c r="R61" s="81">
        <f t="shared" si="16"/>
        <v>0</v>
      </c>
      <c r="S61" s="81">
        <f t="shared" si="37"/>
        <v>0</v>
      </c>
      <c r="T61" s="283">
        <f t="shared" si="18"/>
        <v>0</v>
      </c>
      <c r="U61" s="120"/>
      <c r="V61" s="196">
        <f t="shared" si="25"/>
        <v>0</v>
      </c>
    </row>
    <row r="62" spans="1:22" x14ac:dyDescent="0.25">
      <c r="A62" s="20" t="s">
        <v>62</v>
      </c>
      <c r="B62" s="20" t="s">
        <v>63</v>
      </c>
      <c r="C62" s="96">
        <v>1600000</v>
      </c>
      <c r="D62" s="68">
        <v>1300000</v>
      </c>
      <c r="E62" s="68">
        <v>1300000</v>
      </c>
      <c r="F62" s="68">
        <v>0</v>
      </c>
      <c r="G62" s="68"/>
      <c r="H62" s="68">
        <v>622884</v>
      </c>
      <c r="I62" s="68">
        <v>807884</v>
      </c>
      <c r="J62" s="68"/>
      <c r="K62" s="16"/>
      <c r="L62" s="653">
        <f t="shared" ref="L62" si="65">IF(H62&gt;0,H62/C62,0)</f>
        <v>0.3893025</v>
      </c>
      <c r="M62" s="653">
        <f t="shared" ref="M62" si="66">IF(I62&gt;0,I62/D62,0)</f>
        <v>0.62144923076923075</v>
      </c>
      <c r="N62" s="653">
        <f t="shared" ref="N62" si="67">IF(J62&gt;0,J62/E62,0)</f>
        <v>0</v>
      </c>
      <c r="O62" s="16"/>
      <c r="P62" s="81">
        <f t="shared" si="14"/>
        <v>-300000</v>
      </c>
      <c r="Q62" s="81">
        <f t="shared" si="15"/>
        <v>0</v>
      </c>
      <c r="R62" s="81">
        <f t="shared" si="16"/>
        <v>0</v>
      </c>
      <c r="S62" s="81">
        <f t="shared" si="37"/>
        <v>-300000</v>
      </c>
      <c r="T62" s="283">
        <f t="shared" si="18"/>
        <v>-0.1875</v>
      </c>
      <c r="U62" s="120"/>
      <c r="V62" s="196">
        <f t="shared" si="25"/>
        <v>0</v>
      </c>
    </row>
    <row r="63" spans="1:22" ht="27" customHeight="1" x14ac:dyDescent="0.25">
      <c r="A63" s="20"/>
      <c r="B63" s="20" t="s">
        <v>102</v>
      </c>
      <c r="C63" s="96"/>
      <c r="D63" s="68"/>
      <c r="E63" s="68"/>
      <c r="F63" s="68"/>
      <c r="G63" s="68"/>
      <c r="H63" s="68"/>
      <c r="I63" s="68"/>
      <c r="J63" s="68"/>
      <c r="K63" s="16"/>
      <c r="L63" s="653"/>
      <c r="M63" s="653"/>
      <c r="N63" s="653"/>
      <c r="O63" s="16"/>
      <c r="P63" s="81">
        <f t="shared" si="14"/>
        <v>0</v>
      </c>
      <c r="Q63" s="81">
        <f t="shared" si="15"/>
        <v>0</v>
      </c>
      <c r="R63" s="81">
        <f t="shared" si="16"/>
        <v>0</v>
      </c>
      <c r="S63" s="81">
        <f t="shared" si="37"/>
        <v>0</v>
      </c>
      <c r="T63" s="283">
        <f t="shared" si="18"/>
        <v>0</v>
      </c>
      <c r="U63" s="120"/>
      <c r="V63" s="196">
        <f t="shared" si="25"/>
        <v>0</v>
      </c>
    </row>
    <row r="64" spans="1:22" x14ac:dyDescent="0.25">
      <c r="A64" s="20" t="s">
        <v>64</v>
      </c>
      <c r="B64" s="20" t="s">
        <v>65</v>
      </c>
      <c r="C64" s="96">
        <v>1800000</v>
      </c>
      <c r="D64" s="68">
        <v>1550000</v>
      </c>
      <c r="E64" s="68">
        <v>1731831</v>
      </c>
      <c r="F64" s="68"/>
      <c r="G64" s="68"/>
      <c r="H64" s="68">
        <v>803792</v>
      </c>
      <c r="I64" s="68">
        <v>1141577</v>
      </c>
      <c r="J64" s="68"/>
      <c r="K64" s="16"/>
      <c r="L64" s="653">
        <f t="shared" ref="L64" si="68">IF(H64&gt;0,H64/C64,0)</f>
        <v>0.44655111111111112</v>
      </c>
      <c r="M64" s="653">
        <f t="shared" ref="M64" si="69">IF(I64&gt;0,I64/D64,0)</f>
        <v>0.7365012903225806</v>
      </c>
      <c r="N64" s="653">
        <f t="shared" ref="N64" si="70">IF(J64&gt;0,J64/E64,0)</f>
        <v>0</v>
      </c>
      <c r="O64" s="16"/>
      <c r="P64" s="81">
        <f t="shared" si="14"/>
        <v>-250000</v>
      </c>
      <c r="Q64" s="81">
        <f t="shared" si="15"/>
        <v>181831</v>
      </c>
      <c r="R64" s="81">
        <f t="shared" si="16"/>
        <v>0</v>
      </c>
      <c r="S64" s="81">
        <f t="shared" si="37"/>
        <v>-68169</v>
      </c>
      <c r="T64" s="283">
        <f t="shared" si="18"/>
        <v>-3.7871666666666665E-2</v>
      </c>
      <c r="U64" s="120"/>
      <c r="V64" s="196">
        <f t="shared" si="25"/>
        <v>0</v>
      </c>
    </row>
    <row r="65" spans="1:22" ht="39.6" x14ac:dyDescent="0.25">
      <c r="A65" s="20"/>
      <c r="B65" s="20" t="s">
        <v>66</v>
      </c>
      <c r="C65" s="96"/>
      <c r="D65" s="68"/>
      <c r="E65" s="68"/>
      <c r="F65" s="68"/>
      <c r="G65" s="68"/>
      <c r="H65" s="68"/>
      <c r="I65" s="68"/>
      <c r="J65" s="68"/>
      <c r="K65" s="16"/>
      <c r="L65" s="653"/>
      <c r="M65" s="653"/>
      <c r="N65" s="653"/>
      <c r="O65" s="16"/>
      <c r="P65" s="81">
        <f t="shared" si="14"/>
        <v>0</v>
      </c>
      <c r="Q65" s="81">
        <f t="shared" si="15"/>
        <v>0</v>
      </c>
      <c r="R65" s="81">
        <f t="shared" si="16"/>
        <v>0</v>
      </c>
      <c r="S65" s="81">
        <f t="shared" si="37"/>
        <v>0</v>
      </c>
      <c r="T65" s="283">
        <f t="shared" si="18"/>
        <v>0</v>
      </c>
      <c r="U65" s="120"/>
      <c r="V65" s="196">
        <f t="shared" si="25"/>
        <v>0</v>
      </c>
    </row>
    <row r="66" spans="1:22" x14ac:dyDescent="0.25">
      <c r="A66" s="39" t="s">
        <v>67</v>
      </c>
      <c r="B66" s="39" t="s">
        <v>68</v>
      </c>
      <c r="C66" s="377">
        <f>SUM(C67:C70)</f>
        <v>1200000</v>
      </c>
      <c r="D66" s="377">
        <f t="shared" ref="D66:J66" si="71">SUM(D67:D70)</f>
        <v>1200000</v>
      </c>
      <c r="E66" s="377">
        <f t="shared" si="71"/>
        <v>1200000</v>
      </c>
      <c r="F66" s="377">
        <f t="shared" si="71"/>
        <v>0</v>
      </c>
      <c r="G66" s="377"/>
      <c r="H66" s="377">
        <f t="shared" si="71"/>
        <v>234618</v>
      </c>
      <c r="I66" s="377">
        <f t="shared" si="71"/>
        <v>577061</v>
      </c>
      <c r="J66" s="377">
        <f t="shared" si="71"/>
        <v>0</v>
      </c>
      <c r="K66" s="16"/>
      <c r="L66" s="653">
        <f t="shared" ref="L66:L67" si="72">IF(H66&gt;0,H66/C66,0)</f>
        <v>0.19551499999999999</v>
      </c>
      <c r="M66" s="653">
        <f t="shared" ref="M66:M67" si="73">IF(I66&gt;0,I66/D66,0)</f>
        <v>0.48088416666666667</v>
      </c>
      <c r="N66" s="653">
        <f t="shared" ref="N66:N67" si="74">IF(J66&gt;0,J66/E66,0)</f>
        <v>0</v>
      </c>
      <c r="O66" s="16"/>
      <c r="P66" s="81">
        <f t="shared" si="14"/>
        <v>0</v>
      </c>
      <c r="Q66" s="81">
        <f t="shared" si="15"/>
        <v>0</v>
      </c>
      <c r="R66" s="81">
        <f t="shared" si="16"/>
        <v>0</v>
      </c>
      <c r="S66" s="81">
        <f t="shared" si="37"/>
        <v>0</v>
      </c>
      <c r="T66" s="283">
        <f t="shared" si="18"/>
        <v>0</v>
      </c>
      <c r="U66" s="120"/>
      <c r="V66" s="196">
        <f t="shared" si="25"/>
        <v>0</v>
      </c>
    </row>
    <row r="67" spans="1:22" x14ac:dyDescent="0.25">
      <c r="A67" s="20" t="s">
        <v>69</v>
      </c>
      <c r="B67" s="20" t="s">
        <v>70</v>
      </c>
      <c r="C67" s="96">
        <v>1200000</v>
      </c>
      <c r="D67" s="68">
        <v>1200000</v>
      </c>
      <c r="E67" s="68">
        <v>1200000</v>
      </c>
      <c r="F67" s="68"/>
      <c r="G67" s="68"/>
      <c r="H67" s="68">
        <v>234618</v>
      </c>
      <c r="I67" s="68">
        <v>577061</v>
      </c>
      <c r="J67" s="68"/>
      <c r="K67" s="16"/>
      <c r="L67" s="653">
        <f t="shared" si="72"/>
        <v>0.19551499999999999</v>
      </c>
      <c r="M67" s="653">
        <f t="shared" si="73"/>
        <v>0.48088416666666667</v>
      </c>
      <c r="N67" s="653">
        <f t="shared" si="74"/>
        <v>0</v>
      </c>
      <c r="O67" s="16"/>
      <c r="P67" s="81">
        <f t="shared" si="14"/>
        <v>0</v>
      </c>
      <c r="Q67" s="81">
        <f t="shared" si="15"/>
        <v>0</v>
      </c>
      <c r="R67" s="81">
        <f t="shared" si="16"/>
        <v>0</v>
      </c>
      <c r="S67" s="81">
        <f t="shared" si="37"/>
        <v>0</v>
      </c>
      <c r="T67" s="283">
        <f t="shared" si="18"/>
        <v>0</v>
      </c>
      <c r="U67" s="120"/>
      <c r="V67" s="196">
        <f t="shared" si="25"/>
        <v>0</v>
      </c>
    </row>
    <row r="68" spans="1:22" ht="39.6" x14ac:dyDescent="0.25">
      <c r="A68" s="20"/>
      <c r="B68" s="20" t="s">
        <v>71</v>
      </c>
      <c r="C68" s="96"/>
      <c r="D68" s="68"/>
      <c r="E68" s="68"/>
      <c r="F68" s="68"/>
      <c r="G68" s="68"/>
      <c r="H68" s="68"/>
      <c r="I68" s="68"/>
      <c r="J68" s="68"/>
      <c r="K68" s="16"/>
      <c r="L68" s="653"/>
      <c r="M68" s="653"/>
      <c r="N68" s="653"/>
      <c r="O68" s="16"/>
      <c r="P68" s="81">
        <f t="shared" si="14"/>
        <v>0</v>
      </c>
      <c r="Q68" s="81">
        <f t="shared" si="15"/>
        <v>0</v>
      </c>
      <c r="R68" s="81">
        <f t="shared" si="16"/>
        <v>0</v>
      </c>
      <c r="S68" s="81">
        <f t="shared" si="37"/>
        <v>0</v>
      </c>
      <c r="T68" s="283">
        <f t="shared" si="18"/>
        <v>0</v>
      </c>
      <c r="U68" s="120"/>
      <c r="V68" s="196">
        <f t="shared" si="25"/>
        <v>0</v>
      </c>
    </row>
    <row r="69" spans="1:22" x14ac:dyDescent="0.25">
      <c r="A69" s="20" t="s">
        <v>72</v>
      </c>
      <c r="B69" s="20" t="s">
        <v>100</v>
      </c>
      <c r="C69" s="96">
        <v>0</v>
      </c>
      <c r="D69" s="68">
        <v>0</v>
      </c>
      <c r="E69" s="68"/>
      <c r="F69" s="68"/>
      <c r="G69" s="68"/>
      <c r="H69" s="68">
        <v>0</v>
      </c>
      <c r="I69" s="68"/>
      <c r="J69" s="68"/>
      <c r="K69" s="16"/>
      <c r="L69" s="653">
        <f t="shared" ref="L69" si="75">IF(H69&gt;0,H69/C69,0)</f>
        <v>0</v>
      </c>
      <c r="M69" s="653">
        <f t="shared" ref="M69" si="76">IF(I69&gt;0,I69/D69,0)</f>
        <v>0</v>
      </c>
      <c r="N69" s="653">
        <f t="shared" ref="N69" si="77">IF(J69&gt;0,J69/E69,0)</f>
        <v>0</v>
      </c>
      <c r="O69" s="16"/>
      <c r="P69" s="81">
        <f t="shared" si="14"/>
        <v>0</v>
      </c>
      <c r="Q69" s="81">
        <f t="shared" si="15"/>
        <v>0</v>
      </c>
      <c r="R69" s="81">
        <f t="shared" si="16"/>
        <v>0</v>
      </c>
      <c r="S69" s="81">
        <f t="shared" si="37"/>
        <v>0</v>
      </c>
      <c r="T69" s="283">
        <f t="shared" si="18"/>
        <v>0</v>
      </c>
      <c r="U69" s="120"/>
      <c r="V69" s="196">
        <f t="shared" si="25"/>
        <v>0</v>
      </c>
    </row>
    <row r="70" spans="1:22" ht="26.7" customHeight="1" x14ac:dyDescent="0.25">
      <c r="A70" s="20"/>
      <c r="B70" s="20" t="s">
        <v>73</v>
      </c>
      <c r="C70" s="96"/>
      <c r="D70" s="68"/>
      <c r="E70" s="68"/>
      <c r="F70" s="68"/>
      <c r="G70" s="68"/>
      <c r="H70" s="68"/>
      <c r="I70" s="68"/>
      <c r="J70" s="68"/>
      <c r="K70" s="16"/>
      <c r="L70" s="653"/>
      <c r="M70" s="653"/>
      <c r="N70" s="653"/>
      <c r="O70" s="16"/>
      <c r="P70" s="81">
        <f t="shared" si="14"/>
        <v>0</v>
      </c>
      <c r="Q70" s="81">
        <f t="shared" si="15"/>
        <v>0</v>
      </c>
      <c r="R70" s="81">
        <f t="shared" si="16"/>
        <v>0</v>
      </c>
      <c r="S70" s="81">
        <f t="shared" si="37"/>
        <v>0</v>
      </c>
      <c r="T70" s="283">
        <f t="shared" si="18"/>
        <v>0</v>
      </c>
      <c r="U70" s="120"/>
      <c r="V70" s="196">
        <f t="shared" si="25"/>
        <v>0</v>
      </c>
    </row>
    <row r="71" spans="1:22" x14ac:dyDescent="0.25">
      <c r="A71" s="20" t="s">
        <v>74</v>
      </c>
      <c r="B71" s="20" t="s">
        <v>75</v>
      </c>
      <c r="C71" s="377">
        <f>SUM(C72:C81)</f>
        <v>1310000</v>
      </c>
      <c r="D71" s="377">
        <f t="shared" ref="D71:J71" si="78">SUM(D72:D81)</f>
        <v>1743573</v>
      </c>
      <c r="E71" s="377">
        <f t="shared" si="78"/>
        <v>2055473</v>
      </c>
      <c r="F71" s="377">
        <f t="shared" si="78"/>
        <v>0</v>
      </c>
      <c r="G71" s="377"/>
      <c r="H71" s="377">
        <f t="shared" si="78"/>
        <v>1038828</v>
      </c>
      <c r="I71" s="377">
        <f t="shared" si="78"/>
        <v>1627154</v>
      </c>
      <c r="J71" s="377">
        <f t="shared" si="78"/>
        <v>0</v>
      </c>
      <c r="K71" s="16"/>
      <c r="L71" s="653">
        <f t="shared" ref="L71:L72" si="79">IF(H71&gt;0,H71/C71,0)</f>
        <v>0.79299847328244277</v>
      </c>
      <c r="M71" s="653">
        <f t="shared" ref="M71:M72" si="80">IF(I71&gt;0,I71/D71,0)</f>
        <v>0.93322963821990823</v>
      </c>
      <c r="N71" s="653">
        <f t="shared" ref="N71:N72" si="81">IF(J71&gt;0,J71/E71,0)</f>
        <v>0</v>
      </c>
      <c r="O71" s="16"/>
      <c r="P71" s="81">
        <f t="shared" si="14"/>
        <v>433573</v>
      </c>
      <c r="Q71" s="81">
        <f t="shared" si="15"/>
        <v>311900</v>
      </c>
      <c r="R71" s="81">
        <f t="shared" si="16"/>
        <v>0</v>
      </c>
      <c r="S71" s="81">
        <f t="shared" si="37"/>
        <v>745473</v>
      </c>
      <c r="T71" s="283">
        <f t="shared" si="18"/>
        <v>0.56906335877862591</v>
      </c>
      <c r="U71" s="120"/>
      <c r="V71" s="196">
        <f t="shared" si="25"/>
        <v>0</v>
      </c>
    </row>
    <row r="72" spans="1:22" x14ac:dyDescent="0.25">
      <c r="A72" s="20" t="s">
        <v>76</v>
      </c>
      <c r="B72" s="20" t="s">
        <v>77</v>
      </c>
      <c r="C72" s="96">
        <v>1300000</v>
      </c>
      <c r="D72" s="175">
        <v>1300000</v>
      </c>
      <c r="E72" s="68">
        <v>1311900</v>
      </c>
      <c r="F72" s="68"/>
      <c r="G72" s="68"/>
      <c r="H72" s="68">
        <v>606490</v>
      </c>
      <c r="I72" s="68">
        <v>896511</v>
      </c>
      <c r="J72" s="68"/>
      <c r="K72" s="16"/>
      <c r="L72" s="653">
        <f t="shared" si="79"/>
        <v>0.46653076923076925</v>
      </c>
      <c r="M72" s="653">
        <f t="shared" si="80"/>
        <v>0.6896238461538462</v>
      </c>
      <c r="N72" s="653">
        <f t="shared" si="81"/>
        <v>0</v>
      </c>
      <c r="O72" s="16"/>
      <c r="P72" s="81">
        <f t="shared" si="14"/>
        <v>0</v>
      </c>
      <c r="Q72" s="81">
        <f t="shared" si="15"/>
        <v>11900</v>
      </c>
      <c r="R72" s="81">
        <f t="shared" si="16"/>
        <v>0</v>
      </c>
      <c r="S72" s="81">
        <f t="shared" si="37"/>
        <v>11900</v>
      </c>
      <c r="T72" s="283">
        <f t="shared" si="18"/>
        <v>9.153846153846153E-3</v>
      </c>
      <c r="U72" s="120"/>
      <c r="V72" s="196">
        <f t="shared" si="25"/>
        <v>0</v>
      </c>
    </row>
    <row r="73" spans="1:22" x14ac:dyDescent="0.25">
      <c r="A73" s="20"/>
      <c r="B73" s="20" t="s">
        <v>78</v>
      </c>
      <c r="C73" s="96"/>
      <c r="D73" s="68"/>
      <c r="E73" s="68"/>
      <c r="F73" s="68"/>
      <c r="G73" s="68"/>
      <c r="H73" s="68"/>
      <c r="I73" s="68"/>
      <c r="J73" s="68"/>
      <c r="K73" s="16"/>
      <c r="L73" s="653"/>
      <c r="M73" s="653"/>
      <c r="N73" s="653"/>
      <c r="O73" s="16"/>
      <c r="P73" s="81">
        <f t="shared" si="14"/>
        <v>0</v>
      </c>
      <c r="Q73" s="81">
        <f t="shared" si="15"/>
        <v>0</v>
      </c>
      <c r="R73" s="81">
        <f t="shared" si="16"/>
        <v>0</v>
      </c>
      <c r="S73" s="81">
        <f t="shared" si="37"/>
        <v>0</v>
      </c>
      <c r="T73" s="283">
        <f t="shared" si="18"/>
        <v>0</v>
      </c>
      <c r="U73" s="120"/>
      <c r="V73" s="196">
        <f t="shared" si="25"/>
        <v>0</v>
      </c>
    </row>
    <row r="74" spans="1:22" x14ac:dyDescent="0.25">
      <c r="A74" s="20" t="s">
        <v>79</v>
      </c>
      <c r="B74" s="20" t="s">
        <v>80</v>
      </c>
      <c r="C74" s="96">
        <v>0</v>
      </c>
      <c r="D74" s="68">
        <v>0</v>
      </c>
      <c r="E74" s="68"/>
      <c r="F74" s="68"/>
      <c r="G74" s="68"/>
      <c r="H74" s="68">
        <v>0</v>
      </c>
      <c r="I74" s="68"/>
      <c r="J74" s="68"/>
      <c r="K74" s="16"/>
      <c r="L74" s="653">
        <f t="shared" ref="L74" si="82">IF(H74&gt;0,H74/C74,0)</f>
        <v>0</v>
      </c>
      <c r="M74" s="653">
        <f t="shared" ref="M74" si="83">IF(I74&gt;0,I74/D74,0)</f>
        <v>0</v>
      </c>
      <c r="N74" s="653">
        <f t="shared" ref="N74" si="84">IF(J74&gt;0,J74/E74,0)</f>
        <v>0</v>
      </c>
      <c r="O74" s="16"/>
      <c r="P74" s="81">
        <f t="shared" si="14"/>
        <v>0</v>
      </c>
      <c r="Q74" s="81">
        <f t="shared" si="15"/>
        <v>0</v>
      </c>
      <c r="R74" s="81">
        <f t="shared" si="16"/>
        <v>0</v>
      </c>
      <c r="S74" s="81">
        <f t="shared" si="37"/>
        <v>0</v>
      </c>
      <c r="T74" s="283">
        <f t="shared" si="18"/>
        <v>0</v>
      </c>
      <c r="U74" s="120"/>
      <c r="V74" s="196">
        <f t="shared" si="25"/>
        <v>0</v>
      </c>
    </row>
    <row r="75" spans="1:22" ht="26.4" x14ac:dyDescent="0.25">
      <c r="A75" s="20"/>
      <c r="B75" s="20" t="s">
        <v>101</v>
      </c>
      <c r="C75" s="96"/>
      <c r="D75" s="68"/>
      <c r="E75" s="68"/>
      <c r="F75" s="68"/>
      <c r="G75" s="68"/>
      <c r="H75" s="68"/>
      <c r="I75" s="68"/>
      <c r="J75" s="68"/>
      <c r="K75" s="16"/>
      <c r="L75" s="653"/>
      <c r="M75" s="653"/>
      <c r="N75" s="653"/>
      <c r="O75" s="16"/>
      <c r="P75" s="81">
        <f t="shared" si="14"/>
        <v>0</v>
      </c>
      <c r="Q75" s="81">
        <f t="shared" si="15"/>
        <v>0</v>
      </c>
      <c r="R75" s="81">
        <f t="shared" si="16"/>
        <v>0</v>
      </c>
      <c r="S75" s="81">
        <f t="shared" si="37"/>
        <v>0</v>
      </c>
      <c r="T75" s="283">
        <f t="shared" si="18"/>
        <v>0</v>
      </c>
      <c r="U75" s="120"/>
      <c r="V75" s="196">
        <f t="shared" si="25"/>
        <v>0</v>
      </c>
    </row>
    <row r="76" spans="1:22" x14ac:dyDescent="0.25">
      <c r="A76" s="20" t="s">
        <v>81</v>
      </c>
      <c r="B76" s="20" t="s">
        <v>82</v>
      </c>
      <c r="C76" s="96"/>
      <c r="D76" s="68"/>
      <c r="E76" s="68"/>
      <c r="F76" s="68"/>
      <c r="G76" s="68"/>
      <c r="H76" s="68">
        <v>0</v>
      </c>
      <c r="I76" s="68"/>
      <c r="J76" s="68"/>
      <c r="K76" s="16"/>
      <c r="L76" s="653"/>
      <c r="M76" s="653"/>
      <c r="N76" s="653"/>
      <c r="O76" s="16"/>
      <c r="P76" s="81">
        <f t="shared" si="14"/>
        <v>0</v>
      </c>
      <c r="Q76" s="81">
        <f t="shared" si="15"/>
        <v>0</v>
      </c>
      <c r="R76" s="81">
        <f t="shared" si="16"/>
        <v>0</v>
      </c>
      <c r="S76" s="81">
        <f t="shared" si="37"/>
        <v>0</v>
      </c>
      <c r="T76" s="283">
        <f t="shared" si="18"/>
        <v>0</v>
      </c>
      <c r="U76" s="120"/>
      <c r="V76" s="196">
        <f t="shared" si="25"/>
        <v>0</v>
      </c>
    </row>
    <row r="77" spans="1:22" ht="26.4" x14ac:dyDescent="0.25">
      <c r="A77" s="20"/>
      <c r="B77" s="20" t="s">
        <v>106</v>
      </c>
      <c r="C77" s="96"/>
      <c r="D77" s="68"/>
      <c r="E77" s="68"/>
      <c r="F77" s="68"/>
      <c r="G77" s="68"/>
      <c r="H77" s="68"/>
      <c r="I77" s="68"/>
      <c r="J77" s="68"/>
      <c r="K77" s="16"/>
      <c r="L77" s="653"/>
      <c r="M77" s="653"/>
      <c r="N77" s="653"/>
      <c r="O77" s="16"/>
      <c r="P77" s="81">
        <f t="shared" ref="P77:P80" si="85">+(D77-C77)*P$10</f>
        <v>0</v>
      </c>
      <c r="Q77" s="81">
        <f t="shared" ref="Q77:Q80" si="86">+(E77-D77)*Q$10</f>
        <v>0</v>
      </c>
      <c r="R77" s="81">
        <f t="shared" ref="R77:R80" si="87">+(F77-E77)*R$10</f>
        <v>0</v>
      </c>
      <c r="S77" s="81">
        <f t="shared" si="37"/>
        <v>0</v>
      </c>
      <c r="T77" s="283">
        <f t="shared" ref="T77:T99" si="88">IF(C77=0,0,+S77/C77)</f>
        <v>0</v>
      </c>
      <c r="U77" s="120"/>
      <c r="V77" s="196">
        <f t="shared" ref="V77:V80" si="89">+S77-E77+C77</f>
        <v>0</v>
      </c>
    </row>
    <row r="78" spans="1:22" x14ac:dyDescent="0.25">
      <c r="A78" s="20" t="s">
        <v>84</v>
      </c>
      <c r="B78" s="20" t="s">
        <v>85</v>
      </c>
      <c r="C78" s="96"/>
      <c r="D78" s="68"/>
      <c r="E78" s="68"/>
      <c r="F78" s="68"/>
      <c r="G78" s="68"/>
      <c r="H78" s="68">
        <v>0</v>
      </c>
      <c r="I78" s="68"/>
      <c r="J78" s="68"/>
      <c r="K78" s="16"/>
      <c r="L78" s="653"/>
      <c r="M78" s="653"/>
      <c r="N78" s="653"/>
      <c r="O78" s="16"/>
      <c r="P78" s="81">
        <f t="shared" si="85"/>
        <v>0</v>
      </c>
      <c r="Q78" s="81">
        <f t="shared" si="86"/>
        <v>0</v>
      </c>
      <c r="R78" s="81">
        <f t="shared" si="87"/>
        <v>0</v>
      </c>
      <c r="S78" s="81">
        <f t="shared" si="37"/>
        <v>0</v>
      </c>
      <c r="T78" s="283">
        <f t="shared" si="88"/>
        <v>0</v>
      </c>
      <c r="U78" s="120"/>
      <c r="V78" s="196">
        <f t="shared" si="89"/>
        <v>0</v>
      </c>
    </row>
    <row r="79" spans="1:22" x14ac:dyDescent="0.25">
      <c r="A79" s="20"/>
      <c r="B79" s="20" t="s">
        <v>86</v>
      </c>
      <c r="C79" s="96"/>
      <c r="D79" s="68"/>
      <c r="E79" s="68"/>
      <c r="F79" s="68"/>
      <c r="G79" s="68"/>
      <c r="H79" s="68"/>
      <c r="I79" s="68"/>
      <c r="J79" s="68"/>
      <c r="K79" s="16"/>
      <c r="L79" s="653"/>
      <c r="M79" s="653"/>
      <c r="N79" s="653"/>
      <c r="O79" s="16"/>
      <c r="P79" s="81">
        <f t="shared" si="85"/>
        <v>0</v>
      </c>
      <c r="Q79" s="81">
        <f t="shared" si="86"/>
        <v>0</v>
      </c>
      <c r="R79" s="81">
        <f t="shared" si="87"/>
        <v>0</v>
      </c>
      <c r="S79" s="81">
        <f t="shared" si="37"/>
        <v>0</v>
      </c>
      <c r="T79" s="283">
        <f t="shared" si="88"/>
        <v>0</v>
      </c>
      <c r="U79" s="120"/>
      <c r="V79" s="196">
        <f t="shared" si="89"/>
        <v>0</v>
      </c>
    </row>
    <row r="80" spans="1:22" x14ac:dyDescent="0.25">
      <c r="A80" s="20" t="s">
        <v>87</v>
      </c>
      <c r="B80" s="20" t="s">
        <v>88</v>
      </c>
      <c r="C80" s="96">
        <v>10000</v>
      </c>
      <c r="D80" s="68">
        <v>443573</v>
      </c>
      <c r="E80" s="68">
        <v>743573</v>
      </c>
      <c r="F80" s="68"/>
      <c r="G80" s="68"/>
      <c r="H80" s="68">
        <v>432338</v>
      </c>
      <c r="I80" s="68">
        <v>730643</v>
      </c>
      <c r="J80" s="68"/>
      <c r="K80" s="16"/>
      <c r="L80" s="653">
        <f t="shared" ref="L80" si="90">IF(H80&gt;0,H80/C80,0)</f>
        <v>43.233800000000002</v>
      </c>
      <c r="M80" s="653">
        <f t="shared" ref="M80" si="91">IF(I80&gt;0,I80/D80,0)</f>
        <v>1.6471764512267428</v>
      </c>
      <c r="N80" s="653">
        <f t="shared" ref="N80" si="92">IF(J80&gt;0,J80/E80,0)</f>
        <v>0</v>
      </c>
      <c r="O80" s="16"/>
      <c r="P80" s="81">
        <f t="shared" si="85"/>
        <v>433573</v>
      </c>
      <c r="Q80" s="81">
        <f t="shared" si="86"/>
        <v>300000</v>
      </c>
      <c r="R80" s="81">
        <f t="shared" si="87"/>
        <v>0</v>
      </c>
      <c r="S80" s="81">
        <f t="shared" si="37"/>
        <v>733573</v>
      </c>
      <c r="T80" s="283">
        <f t="shared" si="88"/>
        <v>73.357299999999995</v>
      </c>
      <c r="U80" s="120"/>
      <c r="V80" s="196">
        <f t="shared" si="89"/>
        <v>0</v>
      </c>
    </row>
    <row r="81" spans="1:24" ht="54.6" customHeight="1" x14ac:dyDescent="0.25">
      <c r="A81" s="20"/>
      <c r="B81" s="20" t="s">
        <v>92</v>
      </c>
      <c r="C81" s="96"/>
      <c r="D81" s="68"/>
      <c r="E81" s="68"/>
      <c r="F81" s="68"/>
      <c r="G81" s="68"/>
      <c r="H81" s="68"/>
      <c r="I81" s="68"/>
      <c r="J81" s="68"/>
      <c r="K81" s="16"/>
      <c r="L81" s="653"/>
      <c r="M81" s="653"/>
      <c r="N81" s="653"/>
      <c r="O81" s="16"/>
      <c r="P81" s="81">
        <f>+(D81-C81)*P$10</f>
        <v>0</v>
      </c>
      <c r="Q81" s="81">
        <f>+(E81-D81)*Q$10</f>
        <v>0</v>
      </c>
      <c r="R81" s="81">
        <f>+(F81-E81)*R$10</f>
        <v>0</v>
      </c>
      <c r="S81" s="81">
        <f t="shared" si="37"/>
        <v>0</v>
      </c>
      <c r="T81" s="283">
        <f t="shared" si="88"/>
        <v>0</v>
      </c>
      <c r="U81" s="120"/>
      <c r="V81" s="196">
        <f t="shared" ref="V81:V82" si="93">+S81-E81+C81</f>
        <v>0</v>
      </c>
    </row>
    <row r="82" spans="1:24" x14ac:dyDescent="0.25">
      <c r="A82" s="20"/>
      <c r="B82" s="20"/>
      <c r="C82" s="117"/>
      <c r="D82" s="68"/>
      <c r="E82" s="68"/>
      <c r="F82" s="68"/>
      <c r="G82" s="68"/>
      <c r="H82" s="68"/>
      <c r="I82" s="68"/>
      <c r="J82" s="68"/>
      <c r="K82" s="16"/>
      <c r="L82" s="653">
        <f t="shared" ref="L82:L84" si="94">IF(H82&gt;0,H82/C82,0)</f>
        <v>0</v>
      </c>
      <c r="M82" s="653">
        <f t="shared" ref="M82:M84" si="95">IF(I82&gt;0,I82/D82,0)</f>
        <v>0</v>
      </c>
      <c r="N82" s="653">
        <f t="shared" ref="N82:N84" si="96">IF(J82&gt;0,J82/E82,0)</f>
        <v>0</v>
      </c>
      <c r="O82" s="16"/>
      <c r="P82" s="81">
        <f t="shared" ref="P82" si="97">+(D82-C82)*P$10</f>
        <v>0</v>
      </c>
      <c r="Q82" s="81">
        <f t="shared" ref="Q82" si="98">+(E82-D82)*Q$10</f>
        <v>0</v>
      </c>
      <c r="R82" s="81">
        <f t="shared" ref="R82" si="99">+(F82-E82)*R$10</f>
        <v>0</v>
      </c>
      <c r="S82" s="81">
        <f t="shared" si="37"/>
        <v>0</v>
      </c>
      <c r="T82" s="283">
        <f t="shared" si="88"/>
        <v>0</v>
      </c>
      <c r="U82" s="120"/>
      <c r="V82" s="196">
        <f t="shared" si="93"/>
        <v>0</v>
      </c>
    </row>
    <row r="83" spans="1:24" s="42" customFormat="1" x14ac:dyDescent="0.25">
      <c r="A83" s="3" t="s">
        <v>158</v>
      </c>
      <c r="B83" s="3" t="s">
        <v>159</v>
      </c>
      <c r="C83" s="194">
        <f>SUM(C84)</f>
        <v>1730000</v>
      </c>
      <c r="D83" s="90">
        <f>SUM(D84)</f>
        <v>1730000</v>
      </c>
      <c r="E83" s="90">
        <f>SUM(E84)</f>
        <v>1730000</v>
      </c>
      <c r="F83" s="90">
        <f>SUM(F84)</f>
        <v>0</v>
      </c>
      <c r="G83" s="90"/>
      <c r="H83" s="90">
        <f>SUM(H84)</f>
        <v>1486434</v>
      </c>
      <c r="I83" s="90">
        <f>+I84</f>
        <v>1509335</v>
      </c>
      <c r="J83" s="90">
        <f>+J84</f>
        <v>0</v>
      </c>
      <c r="K83" s="32"/>
      <c r="L83" s="662">
        <f t="shared" si="94"/>
        <v>0.85921040462427745</v>
      </c>
      <c r="M83" s="662">
        <f t="shared" si="95"/>
        <v>0.87244797687861275</v>
      </c>
      <c r="N83" s="662">
        <f t="shared" si="96"/>
        <v>0</v>
      </c>
      <c r="O83" s="32"/>
      <c r="P83" s="300">
        <f t="shared" ref="P83:P85" si="100">+(D83-C83)*P$10</f>
        <v>0</v>
      </c>
      <c r="Q83" s="300">
        <f t="shared" ref="Q83:Q85" si="101">+(E83-D83)*Q$10</f>
        <v>0</v>
      </c>
      <c r="R83" s="300">
        <f t="shared" ref="R83:R85" si="102">+(F83-E83)*R$10</f>
        <v>0</v>
      </c>
      <c r="S83" s="300">
        <f t="shared" si="37"/>
        <v>0</v>
      </c>
      <c r="T83" s="284">
        <f t="shared" ref="T83:T85" si="103">IF(C83=0,0,+S83/C83)</f>
        <v>0</v>
      </c>
      <c r="U83" s="120"/>
      <c r="V83" s="196">
        <f t="shared" ref="V83:V85" si="104">+S83-E83+C83</f>
        <v>0</v>
      </c>
    </row>
    <row r="84" spans="1:24" x14ac:dyDescent="0.25">
      <c r="A84" s="485"/>
      <c r="B84" s="485" t="s">
        <v>471</v>
      </c>
      <c r="C84" s="117">
        <f>1500000+230000</f>
        <v>1730000</v>
      </c>
      <c r="D84" s="68">
        <v>1730000</v>
      </c>
      <c r="E84" s="68">
        <v>1730000</v>
      </c>
      <c r="F84" s="68"/>
      <c r="G84" s="68"/>
      <c r="H84" s="68">
        <v>1486434</v>
      </c>
      <c r="I84" s="175">
        <v>1509335</v>
      </c>
      <c r="J84" s="68"/>
      <c r="K84" s="16"/>
      <c r="L84" s="653">
        <f t="shared" si="94"/>
        <v>0.85921040462427745</v>
      </c>
      <c r="M84" s="653">
        <f t="shared" si="95"/>
        <v>0.87244797687861275</v>
      </c>
      <c r="N84" s="653">
        <f t="shared" si="96"/>
        <v>0</v>
      </c>
      <c r="O84" s="16"/>
      <c r="P84" s="81">
        <f t="shared" si="100"/>
        <v>0</v>
      </c>
      <c r="Q84" s="81">
        <f t="shared" si="101"/>
        <v>0</v>
      </c>
      <c r="R84" s="81">
        <f t="shared" si="102"/>
        <v>0</v>
      </c>
      <c r="S84" s="81">
        <f t="shared" si="37"/>
        <v>0</v>
      </c>
      <c r="T84" s="283">
        <f t="shared" si="103"/>
        <v>0</v>
      </c>
      <c r="U84" s="120"/>
      <c r="V84" s="196">
        <f t="shared" si="104"/>
        <v>0</v>
      </c>
    </row>
    <row r="85" spans="1:24" x14ac:dyDescent="0.25">
      <c r="A85" s="20"/>
      <c r="B85" s="20"/>
      <c r="C85" s="117"/>
      <c r="D85" s="68"/>
      <c r="E85" s="68"/>
      <c r="F85" s="68"/>
      <c r="G85" s="68"/>
      <c r="H85" s="68"/>
      <c r="I85" s="68"/>
      <c r="J85" s="68"/>
      <c r="K85" s="16"/>
      <c r="L85" s="653" t="e">
        <f t="shared" ref="L85" si="105">+H85/C85</f>
        <v>#DIV/0!</v>
      </c>
      <c r="M85" s="653" t="e">
        <f t="shared" ref="M85:M88" si="106">+I85/D85</f>
        <v>#DIV/0!</v>
      </c>
      <c r="N85" s="653" t="e">
        <f t="shared" ref="N85" si="107">+J85/E85</f>
        <v>#DIV/0!</v>
      </c>
      <c r="O85" s="16"/>
      <c r="P85" s="81">
        <f t="shared" si="100"/>
        <v>0</v>
      </c>
      <c r="Q85" s="81">
        <f t="shared" si="101"/>
        <v>0</v>
      </c>
      <c r="R85" s="81">
        <f t="shared" si="102"/>
        <v>0</v>
      </c>
      <c r="S85" s="81">
        <f t="shared" si="37"/>
        <v>0</v>
      </c>
      <c r="T85" s="283">
        <f t="shared" si="103"/>
        <v>0</v>
      </c>
      <c r="U85" s="120"/>
      <c r="V85" s="196">
        <f t="shared" si="104"/>
        <v>0</v>
      </c>
    </row>
    <row r="86" spans="1:24" s="42" customFormat="1" x14ac:dyDescent="0.25">
      <c r="A86" s="3" t="s">
        <v>173</v>
      </c>
      <c r="B86" s="3" t="s">
        <v>174</v>
      </c>
      <c r="C86" s="194">
        <f>SUM(C87)</f>
        <v>0</v>
      </c>
      <c r="D86" s="90">
        <f>SUM(D87)</f>
        <v>0</v>
      </c>
      <c r="E86" s="90">
        <f>SUM(E87)</f>
        <v>0</v>
      </c>
      <c r="F86" s="90">
        <f>SUM(F87)</f>
        <v>0</v>
      </c>
      <c r="G86" s="90"/>
      <c r="H86" s="90">
        <f>SUM(H87)</f>
        <v>0</v>
      </c>
      <c r="I86" s="90">
        <f>+I87</f>
        <v>0</v>
      </c>
      <c r="J86" s="90">
        <f>+J87</f>
        <v>0</v>
      </c>
      <c r="K86" s="32"/>
      <c r="L86" s="662">
        <f t="shared" ref="L86:L87" si="108">IF(H86&gt;0,H86/C86,0)</f>
        <v>0</v>
      </c>
      <c r="M86" s="662">
        <f t="shared" ref="M86:M87" si="109">IF(I86&gt;0,I86/D86,0)</f>
        <v>0</v>
      </c>
      <c r="N86" s="662">
        <f t="shared" ref="N86:N87" si="110">IF(J86&gt;0,J86/E86,0)</f>
        <v>0</v>
      </c>
      <c r="O86" s="32"/>
      <c r="P86" s="300">
        <f t="shared" ref="P86:P88" si="111">+(D86-C86)*P$10</f>
        <v>0</v>
      </c>
      <c r="Q86" s="300">
        <f t="shared" ref="Q86:Q88" si="112">+(E86-D86)*Q$10</f>
        <v>0</v>
      </c>
      <c r="R86" s="300">
        <f t="shared" ref="R86:R88" si="113">+(F86-E86)*R$10</f>
        <v>0</v>
      </c>
      <c r="S86" s="300">
        <f t="shared" si="37"/>
        <v>0</v>
      </c>
      <c r="T86" s="284">
        <f t="shared" ref="T86:T88" si="114">IF(C86=0,0,+S86/C86)</f>
        <v>0</v>
      </c>
      <c r="U86" s="120"/>
      <c r="V86" s="196">
        <f t="shared" ref="V86:V88" si="115">+S86-E86+C86</f>
        <v>0</v>
      </c>
    </row>
    <row r="87" spans="1:24" x14ac:dyDescent="0.25">
      <c r="A87" s="485"/>
      <c r="B87" s="485"/>
      <c r="C87" s="117"/>
      <c r="D87" s="68"/>
      <c r="E87" s="68"/>
      <c r="F87" s="68"/>
      <c r="G87" s="68"/>
      <c r="H87" s="68"/>
      <c r="I87" s="175"/>
      <c r="J87" s="68"/>
      <c r="K87" s="16"/>
      <c r="L87" s="653">
        <f t="shared" si="108"/>
        <v>0</v>
      </c>
      <c r="M87" s="653">
        <f t="shared" si="109"/>
        <v>0</v>
      </c>
      <c r="N87" s="653">
        <f t="shared" si="110"/>
        <v>0</v>
      </c>
      <c r="O87" s="16"/>
      <c r="P87" s="81">
        <f t="shared" si="111"/>
        <v>0</v>
      </c>
      <c r="Q87" s="81">
        <f t="shared" si="112"/>
        <v>0</v>
      </c>
      <c r="R87" s="81">
        <f t="shared" si="113"/>
        <v>0</v>
      </c>
      <c r="S87" s="81">
        <f t="shared" si="37"/>
        <v>0</v>
      </c>
      <c r="T87" s="283">
        <f t="shared" si="114"/>
        <v>0</v>
      </c>
      <c r="U87" s="120"/>
      <c r="V87" s="196">
        <f t="shared" si="115"/>
        <v>0</v>
      </c>
    </row>
    <row r="88" spans="1:24" hidden="1" x14ac:dyDescent="0.25">
      <c r="A88" s="20"/>
      <c r="B88" s="20"/>
      <c r="C88" s="117"/>
      <c r="D88" s="68"/>
      <c r="E88" s="68"/>
      <c r="F88" s="68"/>
      <c r="G88" s="68"/>
      <c r="H88" s="68"/>
      <c r="I88" s="68"/>
      <c r="J88" s="68"/>
      <c r="K88" s="16"/>
      <c r="L88" s="653" t="e">
        <f t="shared" ref="L88" si="116">+H88/C88</f>
        <v>#DIV/0!</v>
      </c>
      <c r="M88" s="653" t="e">
        <f t="shared" si="106"/>
        <v>#DIV/0!</v>
      </c>
      <c r="N88" s="653" t="e">
        <f t="shared" ref="N88" si="117">+J88/E88</f>
        <v>#DIV/0!</v>
      </c>
      <c r="O88" s="16"/>
      <c r="P88" s="81">
        <f t="shared" si="111"/>
        <v>0</v>
      </c>
      <c r="Q88" s="81">
        <f t="shared" si="112"/>
        <v>0</v>
      </c>
      <c r="R88" s="81">
        <f t="shared" si="113"/>
        <v>0</v>
      </c>
      <c r="S88" s="81">
        <f t="shared" si="37"/>
        <v>0</v>
      </c>
      <c r="T88" s="283">
        <f t="shared" si="114"/>
        <v>0</v>
      </c>
      <c r="U88" s="120"/>
      <c r="V88" s="196">
        <f t="shared" si="115"/>
        <v>0</v>
      </c>
    </row>
    <row r="89" spans="1:24" ht="18" customHeight="1" x14ac:dyDescent="0.25">
      <c r="A89" s="5"/>
      <c r="B89" s="474" t="s">
        <v>377</v>
      </c>
      <c r="C89" s="481">
        <f>C13+C29+C32+C83+C86</f>
        <v>135435600</v>
      </c>
      <c r="D89" s="481">
        <f>D13+D29+D32+D83+D86</f>
        <v>146640948</v>
      </c>
      <c r="E89" s="481">
        <f>E13+E29+E32+E83+E86</f>
        <v>146887797</v>
      </c>
      <c r="F89" s="481">
        <f>F13+F29+F32+F83+F86</f>
        <v>0</v>
      </c>
      <c r="G89" s="481"/>
      <c r="H89" s="481">
        <f>H13+H29+H32+H83+H86</f>
        <v>68909669</v>
      </c>
      <c r="I89" s="481">
        <f>I13+I29+I32+I83+I86</f>
        <v>101383740</v>
      </c>
      <c r="J89" s="481">
        <f>J13+J29+J32+J83+J86</f>
        <v>0</v>
      </c>
      <c r="K89" s="6"/>
      <c r="L89" s="650">
        <f t="shared" ref="L89" si="118">IF(H89&gt;0,H89/C89,0)</f>
        <v>0.50880026374158638</v>
      </c>
      <c r="M89" s="650">
        <f t="shared" ref="M89" si="119">IF(I89&gt;0,I89/D89,0)</f>
        <v>0.69137400830223761</v>
      </c>
      <c r="N89" s="650">
        <f t="shared" ref="N89" si="120">IF(J89&gt;0,J89/E89,0)</f>
        <v>0</v>
      </c>
      <c r="O89" s="6"/>
      <c r="P89" s="481">
        <f>+(D89-C89)*P$10</f>
        <v>11205348</v>
      </c>
      <c r="Q89" s="481">
        <f>+(E89-D89)*Q$10</f>
        <v>246849</v>
      </c>
      <c r="R89" s="481">
        <f>+(F89-E89)*R$10</f>
        <v>0</v>
      </c>
      <c r="S89" s="481">
        <f t="shared" si="37"/>
        <v>11452197</v>
      </c>
      <c r="T89" s="284">
        <f t="shared" si="88"/>
        <v>8.4558247609934162E-2</v>
      </c>
      <c r="U89" s="120"/>
      <c r="V89" s="196">
        <f t="shared" ref="V89:V102" si="121">+S89-E89+C89</f>
        <v>0</v>
      </c>
    </row>
    <row r="90" spans="1:24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65"/>
      <c r="M90" s="665"/>
      <c r="N90" s="665"/>
      <c r="O90" s="98"/>
      <c r="P90" s="98"/>
      <c r="Q90" s="98"/>
      <c r="R90" s="98"/>
      <c r="S90" s="98"/>
      <c r="T90" s="98"/>
      <c r="U90" s="22"/>
      <c r="V90" s="196">
        <f t="shared" si="121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66"/>
      <c r="M91" s="666"/>
      <c r="N91" s="666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65"/>
      <c r="M92" s="665"/>
      <c r="N92" s="665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s="42" customFormat="1" x14ac:dyDescent="0.25">
      <c r="A93" s="51" t="s">
        <v>241</v>
      </c>
      <c r="B93" s="48" t="s">
        <v>242</v>
      </c>
      <c r="C93" s="294">
        <f>C94</f>
        <v>0</v>
      </c>
      <c r="D93" s="292">
        <f>D94</f>
        <v>1689348</v>
      </c>
      <c r="E93" s="292">
        <f>E94</f>
        <v>1936197</v>
      </c>
      <c r="F93" s="292"/>
      <c r="G93" s="292"/>
      <c r="H93" s="292">
        <f>+H94</f>
        <v>1760799</v>
      </c>
      <c r="I93" s="292">
        <f>+I94</f>
        <v>2190160</v>
      </c>
      <c r="J93" s="292"/>
      <c r="K93" s="52"/>
      <c r="L93" s="662" t="e">
        <f t="shared" ref="L93:L102" si="122">IF(H93&gt;0,H93/C93,0)</f>
        <v>#DIV/0!</v>
      </c>
      <c r="M93" s="662">
        <f t="shared" ref="M93:M102" si="123">IF(I93&gt;0,I93/D93,0)</f>
        <v>1.2964528326904818</v>
      </c>
      <c r="N93" s="662">
        <f t="shared" ref="N93:N102" si="124">IF(J93&gt;0,J93/E93,0)</f>
        <v>0</v>
      </c>
      <c r="O93" s="52"/>
      <c r="P93" s="299">
        <f t="shared" ref="P93:P102" si="125">+(D93-C93)*P$10</f>
        <v>1689348</v>
      </c>
      <c r="Q93" s="299">
        <f t="shared" ref="Q93:Q102" si="126">+(E93-D93)*Q$10</f>
        <v>246849</v>
      </c>
      <c r="R93" s="299">
        <f t="shared" ref="R93:R102" si="127">+(F93-E93)*R$10</f>
        <v>0</v>
      </c>
      <c r="S93" s="299">
        <f t="shared" ref="S93:S102" si="128">+P93*P$10+Q93*Q$10+R93*R$10</f>
        <v>1936197</v>
      </c>
      <c r="T93" s="284">
        <f t="shared" si="88"/>
        <v>0</v>
      </c>
      <c r="U93" s="120"/>
      <c r="V93" s="196">
        <f t="shared" si="121"/>
        <v>0</v>
      </c>
    </row>
    <row r="94" spans="1:24" s="50" customFormat="1" x14ac:dyDescent="0.25">
      <c r="A94" s="45" t="s">
        <v>261</v>
      </c>
      <c r="B94" s="45" t="s">
        <v>392</v>
      </c>
      <c r="C94" s="295">
        <v>0</v>
      </c>
      <c r="D94" s="296">
        <v>1689348</v>
      </c>
      <c r="E94" s="296">
        <v>1936197</v>
      </c>
      <c r="F94" s="296"/>
      <c r="G94" s="296"/>
      <c r="H94" s="296">
        <v>1760799</v>
      </c>
      <c r="I94" s="296">
        <v>2190160</v>
      </c>
      <c r="J94" s="296"/>
      <c r="K94" s="49"/>
      <c r="L94" s="653" t="e">
        <f t="shared" si="122"/>
        <v>#DIV/0!</v>
      </c>
      <c r="M94" s="653">
        <f t="shared" si="123"/>
        <v>1.2964528326904818</v>
      </c>
      <c r="N94" s="653">
        <f t="shared" si="124"/>
        <v>0</v>
      </c>
      <c r="O94" s="49"/>
      <c r="P94" s="81">
        <f t="shared" si="125"/>
        <v>1689348</v>
      </c>
      <c r="Q94" s="81">
        <f t="shared" si="126"/>
        <v>246849</v>
      </c>
      <c r="R94" s="81">
        <f t="shared" si="127"/>
        <v>0</v>
      </c>
      <c r="S94" s="81">
        <f t="shared" si="128"/>
        <v>1936197</v>
      </c>
      <c r="T94" s="283">
        <f t="shared" si="88"/>
        <v>0</v>
      </c>
      <c r="U94" s="120"/>
      <c r="V94" s="196">
        <f t="shared" si="121"/>
        <v>0</v>
      </c>
    </row>
    <row r="95" spans="1:24" s="42" customFormat="1" x14ac:dyDescent="0.25">
      <c r="A95" s="3" t="s">
        <v>284</v>
      </c>
      <c r="B95" s="3" t="s">
        <v>285</v>
      </c>
      <c r="C95" s="194">
        <f>C96+C97+C98</f>
        <v>10000</v>
      </c>
      <c r="D95" s="67">
        <f>+D96+D98</f>
        <v>10000</v>
      </c>
      <c r="E95" s="67">
        <f>+E96+E98</f>
        <v>10000</v>
      </c>
      <c r="F95" s="67">
        <f>+F96+F98</f>
        <v>0</v>
      </c>
      <c r="G95" s="67"/>
      <c r="H95" s="67">
        <f>+H96+H98</f>
        <v>2119</v>
      </c>
      <c r="I95" s="67">
        <f>+I96+I98</f>
        <v>3754</v>
      </c>
      <c r="J95" s="67">
        <f>+J96+J98</f>
        <v>0</v>
      </c>
      <c r="K95" s="6"/>
      <c r="L95" s="662">
        <f t="shared" si="122"/>
        <v>0.21190000000000001</v>
      </c>
      <c r="M95" s="662">
        <f t="shared" si="123"/>
        <v>0.37540000000000001</v>
      </c>
      <c r="N95" s="662">
        <f t="shared" si="124"/>
        <v>0</v>
      </c>
      <c r="O95" s="6"/>
      <c r="P95" s="273">
        <f t="shared" si="125"/>
        <v>0</v>
      </c>
      <c r="Q95" s="273">
        <f t="shared" si="126"/>
        <v>0</v>
      </c>
      <c r="R95" s="273">
        <f t="shared" si="127"/>
        <v>0</v>
      </c>
      <c r="S95" s="273">
        <f t="shared" si="128"/>
        <v>0</v>
      </c>
      <c r="T95" s="284">
        <f t="shared" si="88"/>
        <v>0</v>
      </c>
      <c r="U95" s="120"/>
      <c r="V95" s="196">
        <f t="shared" si="121"/>
        <v>0</v>
      </c>
    </row>
    <row r="96" spans="1:24" x14ac:dyDescent="0.25">
      <c r="A96" s="45" t="s">
        <v>287</v>
      </c>
      <c r="B96" s="45" t="s">
        <v>393</v>
      </c>
      <c r="C96" s="295">
        <v>0</v>
      </c>
      <c r="D96" s="295">
        <v>0</v>
      </c>
      <c r="E96" s="145">
        <v>0</v>
      </c>
      <c r="F96" s="145"/>
      <c r="G96" s="145"/>
      <c r="H96" s="145">
        <v>0</v>
      </c>
      <c r="I96" s="145">
        <f>+H96</f>
        <v>0</v>
      </c>
      <c r="J96" s="145"/>
      <c r="K96" s="41"/>
      <c r="L96" s="653">
        <f t="shared" si="122"/>
        <v>0</v>
      </c>
      <c r="M96" s="653">
        <f t="shared" si="123"/>
        <v>0</v>
      </c>
      <c r="N96" s="653">
        <f t="shared" si="124"/>
        <v>0</v>
      </c>
      <c r="O96" s="41"/>
      <c r="P96" s="81">
        <f t="shared" si="125"/>
        <v>0</v>
      </c>
      <c r="Q96" s="81">
        <f t="shared" si="126"/>
        <v>0</v>
      </c>
      <c r="R96" s="81">
        <f t="shared" si="127"/>
        <v>0</v>
      </c>
      <c r="S96" s="81">
        <f t="shared" si="128"/>
        <v>0</v>
      </c>
      <c r="T96" s="283">
        <f t="shared" si="88"/>
        <v>0</v>
      </c>
      <c r="U96" s="120"/>
      <c r="V96" s="196">
        <f t="shared" si="121"/>
        <v>0</v>
      </c>
    </row>
    <row r="97" spans="1:22" x14ac:dyDescent="0.25">
      <c r="A97" s="45" t="s">
        <v>298</v>
      </c>
      <c r="B97" s="20" t="s">
        <v>299</v>
      </c>
      <c r="C97" s="295"/>
      <c r="D97" s="295"/>
      <c r="E97" s="145"/>
      <c r="F97" s="145"/>
      <c r="G97" s="145"/>
      <c r="H97" s="145"/>
      <c r="I97" s="145"/>
      <c r="J97" s="145"/>
      <c r="K97" s="41"/>
      <c r="L97" s="653">
        <f t="shared" si="122"/>
        <v>0</v>
      </c>
      <c r="M97" s="653">
        <f t="shared" si="123"/>
        <v>0</v>
      </c>
      <c r="N97" s="653">
        <f t="shared" si="124"/>
        <v>0</v>
      </c>
      <c r="O97" s="41"/>
      <c r="P97" s="81"/>
      <c r="Q97" s="81"/>
      <c r="R97" s="81"/>
      <c r="S97" s="81">
        <f t="shared" si="128"/>
        <v>0</v>
      </c>
      <c r="T97" s="283"/>
      <c r="U97" s="120"/>
      <c r="V97" s="196"/>
    </row>
    <row r="98" spans="1:22" ht="26.4" x14ac:dyDescent="0.25">
      <c r="A98" s="485" t="s">
        <v>468</v>
      </c>
      <c r="B98" s="485" t="s">
        <v>470</v>
      </c>
      <c r="C98" s="117">
        <v>10000</v>
      </c>
      <c r="D98" s="117">
        <v>10000</v>
      </c>
      <c r="E98" s="117">
        <v>10000</v>
      </c>
      <c r="F98" s="68"/>
      <c r="G98" s="68"/>
      <c r="H98" s="68">
        <f>121+1998</f>
        <v>2119</v>
      </c>
      <c r="I98" s="68">
        <f>168+3586</f>
        <v>3754</v>
      </c>
      <c r="J98" s="68"/>
      <c r="K98" s="16"/>
      <c r="L98" s="653">
        <f t="shared" si="122"/>
        <v>0.21190000000000001</v>
      </c>
      <c r="M98" s="653">
        <f t="shared" si="123"/>
        <v>0.37540000000000001</v>
      </c>
      <c r="N98" s="653">
        <f t="shared" si="124"/>
        <v>0</v>
      </c>
      <c r="O98" s="16"/>
      <c r="P98" s="81">
        <f t="shared" si="125"/>
        <v>0</v>
      </c>
      <c r="Q98" s="81">
        <f t="shared" si="126"/>
        <v>0</v>
      </c>
      <c r="R98" s="81">
        <f t="shared" si="127"/>
        <v>0</v>
      </c>
      <c r="S98" s="81">
        <f t="shared" si="128"/>
        <v>0</v>
      </c>
      <c r="T98" s="283">
        <f t="shared" si="88"/>
        <v>0</v>
      </c>
      <c r="U98" s="120"/>
      <c r="V98" s="196">
        <f t="shared" si="121"/>
        <v>0</v>
      </c>
    </row>
    <row r="99" spans="1:22" s="42" customFormat="1" x14ac:dyDescent="0.25">
      <c r="A99" s="3" t="s">
        <v>333</v>
      </c>
      <c r="B99" s="3" t="s">
        <v>334</v>
      </c>
      <c r="C99" s="194">
        <f>+C100+C101</f>
        <v>135425600</v>
      </c>
      <c r="D99" s="90">
        <f>SUM(D100:D101)</f>
        <v>144941600</v>
      </c>
      <c r="E99" s="90">
        <f>SUM(E100:E101)</f>
        <v>144941600</v>
      </c>
      <c r="F99" s="90">
        <f>SUM(F100)</f>
        <v>0</v>
      </c>
      <c r="G99" s="90"/>
      <c r="H99" s="90">
        <f>SUM(H100:H101)</f>
        <v>71040097</v>
      </c>
      <c r="I99" s="90">
        <f>SUM(I100:I101)</f>
        <v>102050486</v>
      </c>
      <c r="J99" s="90">
        <f>+J100</f>
        <v>0</v>
      </c>
      <c r="K99" s="32"/>
      <c r="L99" s="662">
        <f t="shared" si="122"/>
        <v>0.52456918780496453</v>
      </c>
      <c r="M99" s="662">
        <f t="shared" si="123"/>
        <v>0.70408002947393988</v>
      </c>
      <c r="N99" s="662">
        <f t="shared" si="124"/>
        <v>0</v>
      </c>
      <c r="O99" s="32"/>
      <c r="P99" s="300">
        <f t="shared" si="125"/>
        <v>9516000</v>
      </c>
      <c r="Q99" s="300">
        <f t="shared" si="126"/>
        <v>0</v>
      </c>
      <c r="R99" s="300">
        <f t="shared" si="127"/>
        <v>0</v>
      </c>
      <c r="S99" s="300">
        <f t="shared" si="128"/>
        <v>9516000</v>
      </c>
      <c r="T99" s="284">
        <f t="shared" si="88"/>
        <v>7.0267364516014702E-2</v>
      </c>
      <c r="U99" s="120"/>
      <c r="V99" s="196">
        <f t="shared" si="121"/>
        <v>0</v>
      </c>
    </row>
    <row r="100" spans="1:22" x14ac:dyDescent="0.25">
      <c r="A100" s="44" t="s">
        <v>359</v>
      </c>
      <c r="B100" s="20" t="s">
        <v>389</v>
      </c>
      <c r="C100" s="117">
        <f>+C104</f>
        <v>132994717</v>
      </c>
      <c r="D100" s="117">
        <v>142510717</v>
      </c>
      <c r="E100" s="117">
        <v>142510717</v>
      </c>
      <c r="F100" s="68"/>
      <c r="G100" s="68"/>
      <c r="H100" s="68">
        <v>68609214</v>
      </c>
      <c r="I100" s="175">
        <v>99619603</v>
      </c>
      <c r="J100" s="68"/>
      <c r="K100" s="16"/>
      <c r="L100" s="653">
        <f t="shared" si="122"/>
        <v>0.51587924353416237</v>
      </c>
      <c r="M100" s="653">
        <f t="shared" si="123"/>
        <v>0.69903236119428125</v>
      </c>
      <c r="N100" s="653">
        <f t="shared" si="124"/>
        <v>0</v>
      </c>
      <c r="O100" s="16"/>
      <c r="P100" s="81">
        <f t="shared" si="125"/>
        <v>9516000</v>
      </c>
      <c r="Q100" s="81">
        <f t="shared" si="126"/>
        <v>0</v>
      </c>
      <c r="R100" s="81">
        <f t="shared" si="127"/>
        <v>0</v>
      </c>
      <c r="S100" s="81">
        <f t="shared" si="128"/>
        <v>9516000</v>
      </c>
      <c r="T100" s="283">
        <f t="shared" ref="T100:T102" si="129">IF(C100=0,0,+S100/C100)</f>
        <v>7.1551714343660727E-2</v>
      </c>
      <c r="U100" s="120"/>
      <c r="V100" s="196">
        <f t="shared" si="121"/>
        <v>0</v>
      </c>
    </row>
    <row r="101" spans="1:22" ht="14.4" x14ac:dyDescent="0.3">
      <c r="A101" s="20" t="s">
        <v>347</v>
      </c>
      <c r="B101" s="20" t="s">
        <v>348</v>
      </c>
      <c r="C101" s="782">
        <v>2430883</v>
      </c>
      <c r="D101" s="812">
        <v>2430883</v>
      </c>
      <c r="E101" s="812">
        <v>2430883</v>
      </c>
      <c r="F101" s="68"/>
      <c r="G101" s="68"/>
      <c r="H101" s="782">
        <v>2430883</v>
      </c>
      <c r="I101" s="782">
        <v>2430883</v>
      </c>
      <c r="J101" s="68"/>
      <c r="K101" s="16"/>
      <c r="L101" s="653">
        <f t="shared" si="122"/>
        <v>1</v>
      </c>
      <c r="M101" s="653">
        <f t="shared" si="123"/>
        <v>1</v>
      </c>
      <c r="N101" s="653">
        <f t="shared" si="124"/>
        <v>0</v>
      </c>
      <c r="O101" s="16"/>
      <c r="P101" s="81">
        <f t="shared" si="125"/>
        <v>0</v>
      </c>
      <c r="Q101" s="81">
        <f t="shared" si="126"/>
        <v>0</v>
      </c>
      <c r="R101" s="81">
        <f t="shared" si="127"/>
        <v>0</v>
      </c>
      <c r="S101" s="81">
        <f t="shared" si="128"/>
        <v>0</v>
      </c>
      <c r="T101" s="283">
        <f t="shared" si="129"/>
        <v>0</v>
      </c>
      <c r="U101" s="120"/>
      <c r="V101" s="196">
        <f t="shared" si="121"/>
        <v>0</v>
      </c>
    </row>
    <row r="102" spans="1:22" ht="18" customHeight="1" x14ac:dyDescent="0.25">
      <c r="A102" s="5"/>
      <c r="B102" s="474" t="s">
        <v>376</v>
      </c>
      <c r="C102" s="487">
        <f>+C93+C95+C99</f>
        <v>135435600</v>
      </c>
      <c r="D102" s="487">
        <f>+D93+D95+D99</f>
        <v>146640948</v>
      </c>
      <c r="E102" s="487">
        <f>+E94+E95+E99</f>
        <v>146887797</v>
      </c>
      <c r="F102" s="487">
        <f>+F94+F95+F99</f>
        <v>0</v>
      </c>
      <c r="G102" s="487"/>
      <c r="H102" s="487">
        <f>+H94+H95+H99</f>
        <v>72803015</v>
      </c>
      <c r="I102" s="487">
        <f t="shared" ref="I102" si="130">+I94+I95+I99</f>
        <v>104244400</v>
      </c>
      <c r="J102" s="487">
        <f t="shared" ref="J102" si="131">+J94+J95+J99</f>
        <v>0</v>
      </c>
      <c r="K102" s="10"/>
      <c r="L102" s="662">
        <f t="shared" si="122"/>
        <v>0.53754710725983423</v>
      </c>
      <c r="M102" s="662">
        <f t="shared" si="123"/>
        <v>0.71088192910482273</v>
      </c>
      <c r="N102" s="662">
        <f t="shared" si="124"/>
        <v>0</v>
      </c>
      <c r="O102" s="10"/>
      <c r="P102" s="486">
        <f t="shared" si="125"/>
        <v>11205348</v>
      </c>
      <c r="Q102" s="486">
        <f t="shared" si="126"/>
        <v>246849</v>
      </c>
      <c r="R102" s="486">
        <f t="shared" si="127"/>
        <v>0</v>
      </c>
      <c r="S102" s="486">
        <f t="shared" si="128"/>
        <v>11452197</v>
      </c>
      <c r="T102" s="284">
        <f t="shared" si="129"/>
        <v>8.4558247609934162E-2</v>
      </c>
      <c r="U102" s="120"/>
      <c r="V102" s="196">
        <f t="shared" si="121"/>
        <v>0</v>
      </c>
    </row>
    <row r="103" spans="1:22" x14ac:dyDescent="0.25">
      <c r="C103" s="98"/>
      <c r="D103" s="98"/>
      <c r="E103" s="98"/>
      <c r="F103" s="98"/>
      <c r="G103" s="98"/>
      <c r="H103" s="98"/>
      <c r="I103" s="98"/>
      <c r="J103" s="98"/>
      <c r="L103" s="663"/>
      <c r="M103" s="663"/>
      <c r="N103" s="663"/>
      <c r="P103" s="278"/>
      <c r="Q103" s="278"/>
      <c r="R103" s="278"/>
      <c r="S103" s="278"/>
      <c r="T103" s="122"/>
      <c r="U103" s="297"/>
    </row>
    <row r="104" spans="1:22" x14ac:dyDescent="0.25">
      <c r="C104" s="98">
        <f>+C89-C93-C95-C101</f>
        <v>132994717</v>
      </c>
      <c r="D104" s="98"/>
      <c r="E104" s="98"/>
      <c r="F104" s="98"/>
      <c r="G104" s="98"/>
      <c r="H104" s="98"/>
      <c r="I104" s="98"/>
      <c r="J104" s="98"/>
      <c r="L104" s="667"/>
      <c r="M104" s="667"/>
      <c r="N104" s="667"/>
      <c r="P104" s="278"/>
      <c r="Q104" s="278"/>
      <c r="R104" s="278"/>
      <c r="S104" s="278"/>
      <c r="T104" s="122"/>
      <c r="U104" s="297"/>
    </row>
    <row r="105" spans="1:22" x14ac:dyDescent="0.25">
      <c r="L105" s="665"/>
      <c r="M105" s="665"/>
      <c r="N105" s="665"/>
      <c r="P105" s="278"/>
      <c r="Q105" s="278"/>
      <c r="R105" s="278"/>
      <c r="S105" s="278"/>
      <c r="U105" s="9"/>
    </row>
    <row r="106" spans="1:22" x14ac:dyDescent="0.25">
      <c r="L106" s="665"/>
      <c r="M106" s="665"/>
      <c r="N106" s="665"/>
      <c r="P106" s="278"/>
      <c r="Q106" s="278"/>
      <c r="R106" s="278"/>
      <c r="S106" s="278"/>
      <c r="U106" s="9"/>
    </row>
    <row r="107" spans="1:22" x14ac:dyDescent="0.25">
      <c r="A107" s="577"/>
      <c r="B107" s="59" t="s">
        <v>501</v>
      </c>
      <c r="C107" s="622">
        <f>108000000</f>
        <v>108000000</v>
      </c>
      <c r="D107" s="98">
        <f>+C107-C104</f>
        <v>-24994717</v>
      </c>
      <c r="L107" s="665"/>
      <c r="M107" s="665"/>
      <c r="N107" s="665"/>
      <c r="P107" s="278"/>
      <c r="Q107" s="278"/>
      <c r="R107" s="278"/>
      <c r="S107" s="278"/>
      <c r="U107" s="9"/>
    </row>
    <row r="108" spans="1:22" x14ac:dyDescent="0.25">
      <c r="L108" s="665"/>
      <c r="M108" s="665"/>
      <c r="N108" s="665"/>
      <c r="P108" s="278"/>
      <c r="Q108" s="278"/>
      <c r="R108" s="278"/>
      <c r="S108" s="278"/>
      <c r="U108" s="9"/>
    </row>
    <row r="109" spans="1:22" x14ac:dyDescent="0.25">
      <c r="L109" s="665"/>
      <c r="M109" s="665"/>
      <c r="N109" s="665"/>
      <c r="P109" s="278"/>
      <c r="Q109" s="278"/>
      <c r="R109" s="278"/>
      <c r="S109" s="278"/>
    </row>
    <row r="110" spans="1:22" x14ac:dyDescent="0.25">
      <c r="L110" s="665"/>
      <c r="M110" s="665"/>
      <c r="N110" s="665"/>
      <c r="P110" s="278"/>
      <c r="Q110" s="278"/>
      <c r="R110" s="278"/>
      <c r="S110" s="278"/>
    </row>
    <row r="111" spans="1:22" x14ac:dyDescent="0.25">
      <c r="L111" s="665"/>
      <c r="M111" s="665"/>
      <c r="N111" s="665"/>
      <c r="P111" s="278"/>
      <c r="Q111" s="278"/>
      <c r="R111" s="278"/>
      <c r="S111" s="278"/>
      <c r="U111" s="2"/>
    </row>
    <row r="112" spans="1:22" x14ac:dyDescent="0.25">
      <c r="P112" s="278"/>
      <c r="Q112" s="278"/>
      <c r="R112" s="278"/>
      <c r="S112" s="278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1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topLeftCell="A76" zoomScale="85" zoomScaleNormal="85" zoomScaleSheetLayoutView="75" workbookViewId="0">
      <selection activeCell="B3" sqref="B3"/>
    </sheetView>
  </sheetViews>
  <sheetFormatPr defaultRowHeight="13.2" x14ac:dyDescent="0.25"/>
  <cols>
    <col min="1" max="1" width="6.6640625" style="13" bestFit="1" customWidth="1"/>
    <col min="2" max="2" width="53.44140625" style="13" customWidth="1"/>
    <col min="3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3" width="10.5546875" style="13" customWidth="1"/>
    <col min="14" max="14" width="10.554687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1" max="21" width="0.6640625" customWidth="1"/>
    <col min="22" max="22" width="3.44140625" customWidth="1"/>
  </cols>
  <sheetData>
    <row r="1" spans="1:26" ht="24.6" x14ac:dyDescent="0.4">
      <c r="A1" s="301" t="s">
        <v>429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31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55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88"/>
      <c r="P4" s="88"/>
      <c r="Q4" s="88"/>
      <c r="R4" s="88"/>
      <c r="S4" s="88"/>
      <c r="T4" s="88"/>
      <c r="U4" s="269"/>
      <c r="V4" s="255"/>
      <c r="W4" s="122"/>
      <c r="X4" s="122"/>
    </row>
    <row r="5" spans="1:26" ht="20.100000000000001" customHeight="1" x14ac:dyDescent="0.3">
      <c r="A5" s="251"/>
      <c r="B5" s="251" t="s">
        <v>377</v>
      </c>
      <c r="C5" s="252">
        <f>+C89</f>
        <v>30262000</v>
      </c>
      <c r="D5" s="252">
        <f t="shared" ref="D5:E5" si="0">+D89</f>
        <v>30262000</v>
      </c>
      <c r="E5" s="252">
        <f t="shared" si="0"/>
        <v>33536000</v>
      </c>
      <c r="F5" s="252">
        <f>+F89</f>
        <v>0</v>
      </c>
      <c r="G5" s="252"/>
      <c r="H5" s="252">
        <f>+H89</f>
        <v>12553765</v>
      </c>
      <c r="I5" s="252">
        <f t="shared" ref="I5:J5" si="1">+I89</f>
        <v>23234951</v>
      </c>
      <c r="J5" s="252">
        <f t="shared" si="1"/>
        <v>0</v>
      </c>
      <c r="K5" s="89"/>
      <c r="L5" s="701">
        <f t="shared" ref="L5:N6" si="2">IF(H5&gt;0,H5/C5,0)</f>
        <v>0.41483593285308307</v>
      </c>
      <c r="M5" s="701">
        <f t="shared" si="2"/>
        <v>0.76779297468772723</v>
      </c>
      <c r="N5" s="701">
        <f t="shared" si="2"/>
        <v>0</v>
      </c>
      <c r="O5" s="89"/>
      <c r="P5" s="252">
        <f>+P89</f>
        <v>0</v>
      </c>
      <c r="Q5" s="252">
        <f>+Q89</f>
        <v>3274000</v>
      </c>
      <c r="R5" s="252">
        <f>+R89</f>
        <v>0</v>
      </c>
      <c r="S5" s="252">
        <f>+S89</f>
        <v>3274000</v>
      </c>
      <c r="T5" s="133">
        <f>IF(C5=0,0,+S5/C5)</f>
        <v>0.10818848721168461</v>
      </c>
      <c r="U5" s="118"/>
      <c r="V5" s="199">
        <f t="shared" ref="V5:V7" si="3">+S5-E5+C5</f>
        <v>0</v>
      </c>
      <c r="W5" s="122"/>
      <c r="X5" s="122"/>
    </row>
    <row r="6" spans="1:26" ht="20.100000000000001" customHeight="1" x14ac:dyDescent="0.3">
      <c r="A6" s="253"/>
      <c r="B6" s="253" t="s">
        <v>376</v>
      </c>
      <c r="C6" s="254">
        <f>+C102</f>
        <v>30262000</v>
      </c>
      <c r="D6" s="254">
        <f t="shared" ref="D6:J6" si="4">+D102</f>
        <v>30262000</v>
      </c>
      <c r="E6" s="254">
        <f t="shared" si="4"/>
        <v>33536000</v>
      </c>
      <c r="F6" s="254">
        <f t="shared" si="4"/>
        <v>0</v>
      </c>
      <c r="G6" s="254"/>
      <c r="H6" s="254">
        <f t="shared" si="4"/>
        <v>12921072</v>
      </c>
      <c r="I6" s="254">
        <f t="shared" si="4"/>
        <v>26026699</v>
      </c>
      <c r="J6" s="254">
        <f t="shared" si="4"/>
        <v>0</v>
      </c>
      <c r="K6" s="67"/>
      <c r="L6" s="701">
        <f t="shared" si="2"/>
        <v>0.42697349811644969</v>
      </c>
      <c r="M6" s="701">
        <f t="shared" si="2"/>
        <v>0.8600455687000198</v>
      </c>
      <c r="N6" s="701">
        <f t="shared" si="2"/>
        <v>0</v>
      </c>
      <c r="O6" s="67"/>
      <c r="P6" s="254">
        <f>+P102</f>
        <v>0</v>
      </c>
      <c r="Q6" s="254">
        <f t="shared" ref="Q6:S6" si="5">+Q102</f>
        <v>3274000</v>
      </c>
      <c r="R6" s="254">
        <f t="shared" si="5"/>
        <v>0</v>
      </c>
      <c r="S6" s="254">
        <f t="shared" si="5"/>
        <v>3274000</v>
      </c>
      <c r="T6" s="31">
        <f>IF(C6=0,0,+S6/C6)</f>
        <v>0.10818848721168461</v>
      </c>
      <c r="U6" s="118"/>
      <c r="V6" s="199">
        <f t="shared" si="3"/>
        <v>0</v>
      </c>
      <c r="W6" s="122"/>
      <c r="X6" s="122"/>
    </row>
    <row r="7" spans="1:26" ht="20.100000000000001" customHeight="1" x14ac:dyDescent="0.3">
      <c r="A7" s="253"/>
      <c r="B7" s="253" t="s">
        <v>411</v>
      </c>
      <c r="C7" s="254">
        <f>+C6-C5</f>
        <v>0</v>
      </c>
      <c r="D7" s="254">
        <f t="shared" ref="D7:H7" si="6">+D6-D5</f>
        <v>0</v>
      </c>
      <c r="E7" s="254">
        <f t="shared" si="6"/>
        <v>0</v>
      </c>
      <c r="F7" s="254">
        <f t="shared" si="6"/>
        <v>0</v>
      </c>
      <c r="G7" s="254"/>
      <c r="H7" s="254">
        <f t="shared" si="6"/>
        <v>367307</v>
      </c>
      <c r="I7" s="254">
        <f>+I6-I5</f>
        <v>2791748</v>
      </c>
      <c r="J7" s="254">
        <f t="shared" ref="J7" si="7">+J6-J5</f>
        <v>0</v>
      </c>
      <c r="K7" s="67"/>
      <c r="L7" s="701"/>
      <c r="M7" s="701"/>
      <c r="N7" s="701"/>
      <c r="O7" s="67"/>
      <c r="P7" s="254">
        <f t="shared" ref="P7:S7" si="8">+P6-P5</f>
        <v>0</v>
      </c>
      <c r="Q7" s="254">
        <f t="shared" si="8"/>
        <v>0</v>
      </c>
      <c r="R7" s="254">
        <f t="shared" si="8"/>
        <v>0</v>
      </c>
      <c r="S7" s="254">
        <f t="shared" si="8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6" x14ac:dyDescent="0.25">
      <c r="A8" s="237"/>
      <c r="B8" s="238"/>
      <c r="C8" s="671"/>
      <c r="D8" s="672"/>
      <c r="E8" s="672"/>
      <c r="F8" s="672"/>
      <c r="G8" s="673"/>
      <c r="H8" s="673"/>
      <c r="I8" s="673"/>
      <c r="J8" s="673"/>
      <c r="K8" s="673"/>
      <c r="L8" s="137"/>
      <c r="M8" s="137"/>
      <c r="N8" s="137"/>
      <c r="O8" s="94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912" t="s">
        <v>410</v>
      </c>
      <c r="D9" s="920"/>
      <c r="E9" s="920"/>
      <c r="F9" s="921"/>
      <c r="G9" s="154"/>
      <c r="H9" s="912" t="s">
        <v>409</v>
      </c>
      <c r="I9" s="920"/>
      <c r="J9" s="920"/>
      <c r="K9" s="920"/>
      <c r="L9" s="920"/>
      <c r="M9" s="920"/>
      <c r="N9" s="921"/>
      <c r="O9" s="154"/>
      <c r="P9" s="912" t="s">
        <v>406</v>
      </c>
      <c r="Q9" s="920"/>
      <c r="R9" s="920"/>
      <c r="S9" s="920"/>
      <c r="T9" s="921"/>
      <c r="U9" s="200"/>
      <c r="V9" s="196"/>
      <c r="W9" s="122"/>
      <c r="X9" s="122"/>
    </row>
    <row r="10" spans="1:26" x14ac:dyDescent="0.25">
      <c r="A10" s="270"/>
      <c r="B10" s="269"/>
      <c r="C10" s="235"/>
      <c r="D10" s="88"/>
      <c r="E10" s="88"/>
      <c r="F10" s="236"/>
      <c r="G10" s="134"/>
      <c r="H10" s="909" t="s">
        <v>422</v>
      </c>
      <c r="I10" s="922"/>
      <c r="J10" s="923"/>
      <c r="K10" s="134"/>
      <c r="L10" s="909" t="s">
        <v>421</v>
      </c>
      <c r="M10" s="922"/>
      <c r="N10" s="923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61.2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510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  <c r="W11" s="122"/>
      <c r="X11" s="122"/>
    </row>
    <row r="12" spans="1:26" ht="12.75" customHeight="1" x14ac:dyDescent="0.25">
      <c r="A12" s="14"/>
      <c r="B12" s="20"/>
      <c r="C12" s="222"/>
      <c r="D12" s="222"/>
      <c r="E12" s="222"/>
      <c r="F12" s="222"/>
      <c r="G12" s="222"/>
      <c r="H12" s="222"/>
      <c r="I12" s="222"/>
      <c r="J12" s="222"/>
      <c r="K12" s="222"/>
      <c r="L12" s="136"/>
      <c r="M12" s="136"/>
      <c r="N12" s="136"/>
      <c r="O12" s="222"/>
      <c r="P12" s="222"/>
      <c r="Q12" s="222"/>
      <c r="R12" s="222"/>
      <c r="S12" s="222"/>
    </row>
    <row r="13" spans="1:26" ht="12.75" customHeight="1" x14ac:dyDescent="0.25">
      <c r="A13" s="7" t="s">
        <v>0</v>
      </c>
      <c r="B13" s="5" t="s">
        <v>3</v>
      </c>
      <c r="C13" s="217">
        <f>+C14+C24</f>
        <v>13970000</v>
      </c>
      <c r="D13" s="217">
        <f t="shared" ref="D13:E13" si="9">+D14+D24</f>
        <v>13970000</v>
      </c>
      <c r="E13" s="217">
        <f t="shared" si="9"/>
        <v>13970000</v>
      </c>
      <c r="F13" s="217">
        <f t="shared" ref="F13:J13" si="10">SUM(F14:F28)</f>
        <v>0</v>
      </c>
      <c r="G13" s="217"/>
      <c r="H13" s="217">
        <f t="shared" ref="H13:I13" si="11">+H14+H24</f>
        <v>6042177</v>
      </c>
      <c r="I13" s="217">
        <f t="shared" si="11"/>
        <v>9018873</v>
      </c>
      <c r="J13" s="217">
        <f t="shared" si="10"/>
        <v>0</v>
      </c>
      <c r="K13" s="217"/>
      <c r="L13" s="85">
        <f t="shared" ref="L13:L28" si="12">IF(H13&gt;0,H13/C13,0)</f>
        <v>0.43251088045812458</v>
      </c>
      <c r="M13" s="85">
        <f t="shared" ref="M13:M28" si="13">IF(I13&gt;0,I13/D13,0)</f>
        <v>0.64558861846814608</v>
      </c>
      <c r="N13" s="85">
        <f t="shared" ref="N13:N28" si="14">IF(J13&gt;0,J13/E13,0)</f>
        <v>0</v>
      </c>
      <c r="O13" s="217"/>
      <c r="P13" s="217">
        <f t="shared" ref="P13:P14" si="15">+(D13-C13)*P$10</f>
        <v>0</v>
      </c>
      <c r="Q13" s="217">
        <f t="shared" ref="Q13:Q14" si="16">+(E13-D13)*Q$10</f>
        <v>0</v>
      </c>
      <c r="R13" s="217">
        <f t="shared" ref="R13:R14" si="17">+(F13-E13)*R$10</f>
        <v>0</v>
      </c>
      <c r="S13" s="217">
        <f>+P13*P$10+Q13*Q$10+R13*R$10</f>
        <v>0</v>
      </c>
      <c r="T13" s="283">
        <f>IF(C13=0,0,+S13/C13)</f>
        <v>0</v>
      </c>
      <c r="U13" s="120"/>
      <c r="V13" s="196">
        <f>+S13-E13+C13</f>
        <v>0</v>
      </c>
    </row>
    <row r="14" spans="1:26" ht="12.75" customHeight="1" x14ac:dyDescent="0.25">
      <c r="A14" s="38" t="s">
        <v>1</v>
      </c>
      <c r="B14" s="39"/>
      <c r="C14" s="280">
        <f>SUM(C15:C23)</f>
        <v>13970000</v>
      </c>
      <c r="D14" s="280">
        <f t="shared" ref="D14:E14" si="18">SUM(D15:D23)</f>
        <v>13970000</v>
      </c>
      <c r="E14" s="280">
        <f t="shared" si="18"/>
        <v>13970000</v>
      </c>
      <c r="F14" s="280"/>
      <c r="G14" s="280"/>
      <c r="H14" s="280">
        <f>SUM(H15:H23)</f>
        <v>6042177</v>
      </c>
      <c r="I14" s="280">
        <f>SUM(I15:I23)</f>
        <v>9018873</v>
      </c>
      <c r="J14" s="222"/>
      <c r="K14" s="222"/>
      <c r="L14" s="136">
        <f t="shared" si="12"/>
        <v>0.43251088045812458</v>
      </c>
      <c r="M14" s="136">
        <f t="shared" si="13"/>
        <v>0.64558861846814608</v>
      </c>
      <c r="N14" s="136">
        <f t="shared" si="14"/>
        <v>0</v>
      </c>
      <c r="O14" s="222"/>
      <c r="P14" s="304">
        <f t="shared" si="15"/>
        <v>0</v>
      </c>
      <c r="Q14" s="304">
        <f t="shared" si="16"/>
        <v>0</v>
      </c>
      <c r="R14" s="304">
        <f t="shared" si="17"/>
        <v>0</v>
      </c>
      <c r="S14" s="304">
        <f t="shared" ref="S14:S77" si="19">+P14*P$10+Q14*Q$10+R14*R$10</f>
        <v>0</v>
      </c>
      <c r="T14" s="283">
        <f>IF(C14=0,0,+S14/C14)</f>
        <v>0</v>
      </c>
      <c r="U14" s="120"/>
      <c r="V14" s="196">
        <f>+S14-E14+C14</f>
        <v>0</v>
      </c>
    </row>
    <row r="15" spans="1:26" ht="12.75" customHeight="1" x14ac:dyDescent="0.25">
      <c r="A15" s="14" t="s">
        <v>2</v>
      </c>
      <c r="B15" s="485" t="s">
        <v>362</v>
      </c>
      <c r="C15" s="222">
        <f>13585000-250000</f>
        <v>13335000</v>
      </c>
      <c r="D15" s="222">
        <f>13585000-250000</f>
        <v>13335000</v>
      </c>
      <c r="E15" s="222">
        <f>13585000-250000</f>
        <v>13335000</v>
      </c>
      <c r="F15" s="222"/>
      <c r="G15" s="222"/>
      <c r="H15" s="222">
        <v>5994246</v>
      </c>
      <c r="I15" s="222">
        <v>8738458</v>
      </c>
      <c r="J15" s="222"/>
      <c r="K15" s="222"/>
      <c r="L15" s="137">
        <f t="shared" si="12"/>
        <v>0.44951226096737906</v>
      </c>
      <c r="M15" s="137">
        <f t="shared" si="13"/>
        <v>0.65530243719535053</v>
      </c>
      <c r="N15" s="137">
        <f t="shared" si="14"/>
        <v>0</v>
      </c>
      <c r="O15" s="222"/>
      <c r="P15" s="304">
        <f t="shared" ref="P15:P23" si="20">+(D15-C15)*P$10</f>
        <v>0</v>
      </c>
      <c r="Q15" s="304">
        <f t="shared" ref="Q15:Q23" si="21">+(E15-D15)*Q$10</f>
        <v>0</v>
      </c>
      <c r="R15" s="304">
        <f t="shared" ref="R15:R23" si="22">+(F15-E15)*R$10</f>
        <v>0</v>
      </c>
      <c r="S15" s="304">
        <f t="shared" si="19"/>
        <v>0</v>
      </c>
      <c r="T15" s="283">
        <f t="shared" ref="T15:T23" si="23">IF(C15=0,0,+S15/C15)</f>
        <v>0</v>
      </c>
      <c r="U15" s="120"/>
      <c r="V15" s="196">
        <f t="shared" ref="V15:V23" si="24">+S15-E15+C15</f>
        <v>0</v>
      </c>
    </row>
    <row r="16" spans="1:26" ht="12.75" customHeight="1" x14ac:dyDescent="0.25">
      <c r="A16" s="14" t="s">
        <v>12</v>
      </c>
      <c r="B16" s="20" t="s">
        <v>4</v>
      </c>
      <c r="C16" s="222"/>
      <c r="D16" s="222"/>
      <c r="E16" s="222"/>
      <c r="F16" s="222"/>
      <c r="G16" s="222"/>
      <c r="H16" s="222"/>
      <c r="I16" s="222"/>
      <c r="J16" s="222"/>
      <c r="K16" s="222"/>
      <c r="L16" s="136">
        <f t="shared" si="12"/>
        <v>0</v>
      </c>
      <c r="M16" s="136">
        <f t="shared" si="13"/>
        <v>0</v>
      </c>
      <c r="N16" s="136">
        <f t="shared" si="14"/>
        <v>0</v>
      </c>
      <c r="O16" s="222"/>
      <c r="P16" s="304">
        <f t="shared" si="20"/>
        <v>0</v>
      </c>
      <c r="Q16" s="304">
        <f t="shared" si="21"/>
        <v>0</v>
      </c>
      <c r="R16" s="304">
        <f t="shared" si="22"/>
        <v>0</v>
      </c>
      <c r="S16" s="304">
        <f t="shared" si="19"/>
        <v>0</v>
      </c>
      <c r="T16" s="283">
        <f t="shared" si="23"/>
        <v>0</v>
      </c>
      <c r="U16" s="120"/>
      <c r="V16" s="196">
        <f t="shared" si="24"/>
        <v>0</v>
      </c>
    </row>
    <row r="17" spans="1:22" ht="12.75" customHeight="1" x14ac:dyDescent="0.25">
      <c r="A17" s="14" t="s">
        <v>13</v>
      </c>
      <c r="B17" s="20" t="s">
        <v>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136">
        <f t="shared" si="12"/>
        <v>0</v>
      </c>
      <c r="M17" s="136">
        <f t="shared" si="13"/>
        <v>0</v>
      </c>
      <c r="N17" s="136">
        <f t="shared" si="14"/>
        <v>0</v>
      </c>
      <c r="O17" s="222"/>
      <c r="P17" s="304">
        <f t="shared" si="20"/>
        <v>0</v>
      </c>
      <c r="Q17" s="304">
        <f t="shared" si="21"/>
        <v>0</v>
      </c>
      <c r="R17" s="304">
        <f t="shared" si="22"/>
        <v>0</v>
      </c>
      <c r="S17" s="304">
        <f t="shared" si="19"/>
        <v>0</v>
      </c>
      <c r="T17" s="283">
        <f t="shared" si="23"/>
        <v>0</v>
      </c>
      <c r="U17" s="120"/>
      <c r="V17" s="196">
        <f t="shared" si="24"/>
        <v>0</v>
      </c>
    </row>
    <row r="18" spans="1:22" ht="12.75" customHeight="1" x14ac:dyDescent="0.25">
      <c r="A18" s="532" t="s">
        <v>385</v>
      </c>
      <c r="B18" s="20" t="s">
        <v>6</v>
      </c>
      <c r="C18" s="222">
        <v>0</v>
      </c>
      <c r="D18" s="222">
        <v>0</v>
      </c>
      <c r="E18" s="222">
        <v>0</v>
      </c>
      <c r="F18" s="222"/>
      <c r="G18" s="222"/>
      <c r="H18" s="222">
        <v>0</v>
      </c>
      <c r="I18" s="222"/>
      <c r="J18" s="222"/>
      <c r="K18" s="222"/>
      <c r="L18" s="136">
        <f t="shared" si="12"/>
        <v>0</v>
      </c>
      <c r="M18" s="136">
        <f t="shared" si="13"/>
        <v>0</v>
      </c>
      <c r="N18" s="136">
        <f t="shared" si="14"/>
        <v>0</v>
      </c>
      <c r="O18" s="222"/>
      <c r="P18" s="304">
        <f t="shared" si="20"/>
        <v>0</v>
      </c>
      <c r="Q18" s="304">
        <f t="shared" si="21"/>
        <v>0</v>
      </c>
      <c r="R18" s="304">
        <f t="shared" si="22"/>
        <v>0</v>
      </c>
      <c r="S18" s="304">
        <f t="shared" si="19"/>
        <v>0</v>
      </c>
      <c r="T18" s="283">
        <f t="shared" si="23"/>
        <v>0</v>
      </c>
      <c r="U18" s="120"/>
      <c r="V18" s="196">
        <f t="shared" si="24"/>
        <v>0</v>
      </c>
    </row>
    <row r="19" spans="1:22" ht="12.75" customHeight="1" x14ac:dyDescent="0.25">
      <c r="A19" s="14" t="s">
        <v>14</v>
      </c>
      <c r="B19" s="20" t="s">
        <v>7</v>
      </c>
      <c r="C19" s="533">
        <f>5000*12*5</f>
        <v>300000</v>
      </c>
      <c r="D19" s="533">
        <f>5000*12*5</f>
        <v>300000</v>
      </c>
      <c r="E19" s="533">
        <f>5000*12*5</f>
        <v>300000</v>
      </c>
      <c r="F19" s="222"/>
      <c r="G19" s="222"/>
      <c r="H19" s="222"/>
      <c r="I19" s="222">
        <v>157492</v>
      </c>
      <c r="J19" s="222"/>
      <c r="K19" s="222"/>
      <c r="L19" s="137">
        <f t="shared" si="12"/>
        <v>0</v>
      </c>
      <c r="M19" s="137">
        <f t="shared" si="13"/>
        <v>0.52497333333333329</v>
      </c>
      <c r="N19" s="137">
        <f t="shared" si="14"/>
        <v>0</v>
      </c>
      <c r="O19" s="222"/>
      <c r="P19" s="304">
        <f t="shared" si="20"/>
        <v>0</v>
      </c>
      <c r="Q19" s="304">
        <f t="shared" si="21"/>
        <v>0</v>
      </c>
      <c r="R19" s="304">
        <f t="shared" si="22"/>
        <v>0</v>
      </c>
      <c r="S19" s="304">
        <f t="shared" si="19"/>
        <v>0</v>
      </c>
      <c r="T19" s="283">
        <f t="shared" si="23"/>
        <v>0</v>
      </c>
      <c r="U19" s="120"/>
      <c r="V19" s="196">
        <f t="shared" si="24"/>
        <v>0</v>
      </c>
    </row>
    <row r="20" spans="1:22" ht="12.75" customHeight="1" x14ac:dyDescent="0.25">
      <c r="A20" s="14" t="s">
        <v>15</v>
      </c>
      <c r="B20" s="20" t="s">
        <v>8</v>
      </c>
      <c r="C20" s="222">
        <v>25000</v>
      </c>
      <c r="D20" s="222">
        <v>25000</v>
      </c>
      <c r="E20" s="222">
        <v>25000</v>
      </c>
      <c r="F20" s="222"/>
      <c r="G20" s="222"/>
      <c r="H20" s="222"/>
      <c r="I20" s="222"/>
      <c r="J20" s="222"/>
      <c r="K20" s="222"/>
      <c r="L20" s="136">
        <f t="shared" si="12"/>
        <v>0</v>
      </c>
      <c r="M20" s="136">
        <f t="shared" si="13"/>
        <v>0</v>
      </c>
      <c r="N20" s="136">
        <f t="shared" si="14"/>
        <v>0</v>
      </c>
      <c r="O20" s="222"/>
      <c r="P20" s="304">
        <f t="shared" si="20"/>
        <v>0</v>
      </c>
      <c r="Q20" s="304">
        <f t="shared" si="21"/>
        <v>0</v>
      </c>
      <c r="R20" s="304">
        <f t="shared" si="22"/>
        <v>0</v>
      </c>
      <c r="S20" s="304">
        <f t="shared" si="19"/>
        <v>0</v>
      </c>
      <c r="T20" s="283">
        <f t="shared" si="23"/>
        <v>0</v>
      </c>
      <c r="U20" s="120"/>
      <c r="V20" s="196">
        <f t="shared" si="24"/>
        <v>0</v>
      </c>
    </row>
    <row r="21" spans="1:22" ht="12.75" customHeight="1" x14ac:dyDescent="0.25">
      <c r="A21" s="14" t="s">
        <v>16</v>
      </c>
      <c r="B21" s="20" t="s">
        <v>9</v>
      </c>
      <c r="C21" s="222">
        <v>60000</v>
      </c>
      <c r="D21" s="222">
        <v>60000</v>
      </c>
      <c r="E21" s="222">
        <v>60000</v>
      </c>
      <c r="F21" s="222"/>
      <c r="G21" s="222"/>
      <c r="H21" s="222">
        <v>13895</v>
      </c>
      <c r="I21" s="222">
        <v>13895</v>
      </c>
      <c r="J21" s="222"/>
      <c r="K21" s="222"/>
      <c r="L21" s="137">
        <f t="shared" si="12"/>
        <v>0.23158333333333334</v>
      </c>
      <c r="M21" s="137">
        <f t="shared" si="13"/>
        <v>0.23158333333333334</v>
      </c>
      <c r="N21" s="137">
        <f t="shared" si="14"/>
        <v>0</v>
      </c>
      <c r="O21" s="222"/>
      <c r="P21" s="304">
        <f t="shared" si="20"/>
        <v>0</v>
      </c>
      <c r="Q21" s="304">
        <f t="shared" si="21"/>
        <v>0</v>
      </c>
      <c r="R21" s="304">
        <f t="shared" si="22"/>
        <v>0</v>
      </c>
      <c r="S21" s="304">
        <f t="shared" si="19"/>
        <v>0</v>
      </c>
      <c r="T21" s="283">
        <f t="shared" si="23"/>
        <v>0</v>
      </c>
      <c r="U21" s="120"/>
      <c r="V21" s="196">
        <f t="shared" si="24"/>
        <v>0</v>
      </c>
    </row>
    <row r="22" spans="1:22" ht="12.75" customHeight="1" x14ac:dyDescent="0.25">
      <c r="A22" s="14" t="s">
        <v>17</v>
      </c>
      <c r="B22" s="20" t="s">
        <v>10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136">
        <f t="shared" si="12"/>
        <v>0</v>
      </c>
      <c r="M22" s="136">
        <f t="shared" si="13"/>
        <v>0</v>
      </c>
      <c r="N22" s="136">
        <f t="shared" si="14"/>
        <v>0</v>
      </c>
      <c r="O22" s="222"/>
      <c r="P22" s="304">
        <f t="shared" si="20"/>
        <v>0</v>
      </c>
      <c r="Q22" s="304">
        <f t="shared" si="21"/>
        <v>0</v>
      </c>
      <c r="R22" s="304">
        <f t="shared" si="22"/>
        <v>0</v>
      </c>
      <c r="S22" s="304">
        <f t="shared" si="19"/>
        <v>0</v>
      </c>
      <c r="T22" s="283">
        <f t="shared" si="23"/>
        <v>0</v>
      </c>
      <c r="U22" s="120"/>
      <c r="V22" s="196">
        <f t="shared" si="24"/>
        <v>0</v>
      </c>
    </row>
    <row r="23" spans="1:22" ht="12.75" customHeight="1" x14ac:dyDescent="0.25">
      <c r="A23" s="14" t="s">
        <v>18</v>
      </c>
      <c r="B23" s="20" t="s">
        <v>11</v>
      </c>
      <c r="C23" s="222">
        <v>250000</v>
      </c>
      <c r="D23" s="222">
        <v>250000</v>
      </c>
      <c r="E23" s="222">
        <v>250000</v>
      </c>
      <c r="F23" s="222"/>
      <c r="G23" s="222"/>
      <c r="H23" s="222">
        <v>34036</v>
      </c>
      <c r="I23" s="222">
        <v>109028</v>
      </c>
      <c r="J23" s="222"/>
      <c r="K23" s="222"/>
      <c r="L23" s="137">
        <f t="shared" si="12"/>
        <v>0.13614399999999999</v>
      </c>
      <c r="M23" s="137">
        <f t="shared" si="13"/>
        <v>0.436112</v>
      </c>
      <c r="N23" s="137">
        <f t="shared" si="14"/>
        <v>0</v>
      </c>
      <c r="O23" s="222"/>
      <c r="P23" s="304">
        <f t="shared" si="20"/>
        <v>0</v>
      </c>
      <c r="Q23" s="304">
        <f t="shared" si="21"/>
        <v>0</v>
      </c>
      <c r="R23" s="304">
        <f t="shared" si="22"/>
        <v>0</v>
      </c>
      <c r="S23" s="304">
        <f t="shared" si="19"/>
        <v>0</v>
      </c>
      <c r="T23" s="283">
        <f t="shared" si="23"/>
        <v>0</v>
      </c>
      <c r="U23" s="120"/>
      <c r="V23" s="196">
        <f t="shared" si="24"/>
        <v>0</v>
      </c>
    </row>
    <row r="24" spans="1:22" ht="12.75" customHeight="1" x14ac:dyDescent="0.25">
      <c r="A24" s="38" t="s">
        <v>19</v>
      </c>
      <c r="B24" s="39"/>
      <c r="C24" s="280">
        <f>SUM(C25:C27)</f>
        <v>0</v>
      </c>
      <c r="D24" s="280">
        <f t="shared" ref="D24:I24" si="25">SUM(D25:D27)</f>
        <v>0</v>
      </c>
      <c r="E24" s="280">
        <f t="shared" si="25"/>
        <v>0</v>
      </c>
      <c r="F24" s="280">
        <f t="shared" si="25"/>
        <v>0</v>
      </c>
      <c r="G24" s="280"/>
      <c r="H24" s="280">
        <f t="shared" si="25"/>
        <v>0</v>
      </c>
      <c r="I24" s="280">
        <f t="shared" si="25"/>
        <v>0</v>
      </c>
      <c r="J24" s="222"/>
      <c r="K24" s="222"/>
      <c r="L24" s="136">
        <f t="shared" si="12"/>
        <v>0</v>
      </c>
      <c r="M24" s="136">
        <f t="shared" si="13"/>
        <v>0</v>
      </c>
      <c r="N24" s="136">
        <f t="shared" si="14"/>
        <v>0</v>
      </c>
      <c r="O24" s="222"/>
      <c r="P24" s="304">
        <f t="shared" ref="P24:P67" si="26">+(D24-C24)*P$10</f>
        <v>0</v>
      </c>
      <c r="Q24" s="304">
        <f t="shared" ref="Q24:Q67" si="27">+(E24-D24)*Q$10</f>
        <v>0</v>
      </c>
      <c r="R24" s="304">
        <f t="shared" ref="R24:R67" si="28">+(F24-E24)*R$10</f>
        <v>0</v>
      </c>
      <c r="S24" s="304">
        <f t="shared" si="19"/>
        <v>0</v>
      </c>
      <c r="T24" s="283">
        <f t="shared" ref="T24:T47" si="29">IF(C24=0,0,+S24/C24)</f>
        <v>0</v>
      </c>
      <c r="U24" s="120"/>
      <c r="V24" s="196">
        <f t="shared" ref="V24:V47" si="30">+S24-E24+C24</f>
        <v>0</v>
      </c>
    </row>
    <row r="25" spans="1:22" ht="12.75" customHeight="1" x14ac:dyDescent="0.25">
      <c r="A25" s="14" t="s">
        <v>20</v>
      </c>
      <c r="B25" s="485" t="s">
        <v>472</v>
      </c>
      <c r="C25" s="222"/>
      <c r="D25" s="222"/>
      <c r="E25" s="222"/>
      <c r="F25" s="222"/>
      <c r="G25" s="222"/>
      <c r="H25" s="222"/>
      <c r="I25" s="222"/>
      <c r="J25" s="222"/>
      <c r="K25" s="222"/>
      <c r="L25" s="136">
        <f t="shared" si="12"/>
        <v>0</v>
      </c>
      <c r="M25" s="136">
        <f t="shared" si="13"/>
        <v>0</v>
      </c>
      <c r="N25" s="136">
        <f t="shared" si="14"/>
        <v>0</v>
      </c>
      <c r="O25" s="222"/>
      <c r="P25" s="304">
        <f t="shared" si="26"/>
        <v>0</v>
      </c>
      <c r="Q25" s="304">
        <f t="shared" si="27"/>
        <v>0</v>
      </c>
      <c r="R25" s="304">
        <f t="shared" si="28"/>
        <v>0</v>
      </c>
      <c r="S25" s="304">
        <f t="shared" si="19"/>
        <v>0</v>
      </c>
      <c r="T25" s="283">
        <f t="shared" si="29"/>
        <v>0</v>
      </c>
      <c r="U25" s="120"/>
      <c r="V25" s="196">
        <f t="shared" si="30"/>
        <v>0</v>
      </c>
    </row>
    <row r="26" spans="1:22" ht="12.75" customHeight="1" x14ac:dyDescent="0.25">
      <c r="A26" s="14" t="s">
        <v>22</v>
      </c>
      <c r="B26" s="20" t="s">
        <v>23</v>
      </c>
      <c r="C26" s="222"/>
      <c r="D26" s="222"/>
      <c r="E26" s="222"/>
      <c r="F26" s="222"/>
      <c r="G26" s="222"/>
      <c r="H26" s="222"/>
      <c r="I26" s="222"/>
      <c r="J26" s="222"/>
      <c r="K26" s="222"/>
      <c r="L26" s="136">
        <f t="shared" si="12"/>
        <v>0</v>
      </c>
      <c r="M26" s="136">
        <f t="shared" si="13"/>
        <v>0</v>
      </c>
      <c r="N26" s="136">
        <f t="shared" si="14"/>
        <v>0</v>
      </c>
      <c r="O26" s="222"/>
      <c r="P26" s="304">
        <f t="shared" si="26"/>
        <v>0</v>
      </c>
      <c r="Q26" s="304">
        <f t="shared" si="27"/>
        <v>0</v>
      </c>
      <c r="R26" s="304">
        <f t="shared" si="28"/>
        <v>0</v>
      </c>
      <c r="S26" s="304">
        <f t="shared" si="19"/>
        <v>0</v>
      </c>
      <c r="T26" s="283">
        <f t="shared" si="29"/>
        <v>0</v>
      </c>
      <c r="U26" s="120"/>
      <c r="V26" s="196">
        <f t="shared" si="30"/>
        <v>0</v>
      </c>
    </row>
    <row r="27" spans="1:22" ht="12.75" customHeight="1" x14ac:dyDescent="0.25">
      <c r="A27" s="14" t="s">
        <v>24</v>
      </c>
      <c r="B27" s="20" t="s">
        <v>25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136">
        <f t="shared" si="12"/>
        <v>0</v>
      </c>
      <c r="M27" s="136">
        <f t="shared" si="13"/>
        <v>0</v>
      </c>
      <c r="N27" s="136">
        <f t="shared" si="14"/>
        <v>0</v>
      </c>
      <c r="O27" s="222"/>
      <c r="P27" s="304">
        <f t="shared" si="26"/>
        <v>0</v>
      </c>
      <c r="Q27" s="304">
        <f t="shared" si="27"/>
        <v>0</v>
      </c>
      <c r="R27" s="304">
        <f t="shared" si="28"/>
        <v>0</v>
      </c>
      <c r="S27" s="304">
        <f t="shared" si="19"/>
        <v>0</v>
      </c>
      <c r="T27" s="283">
        <f t="shared" si="29"/>
        <v>0</v>
      </c>
      <c r="U27" s="120"/>
      <c r="V27" s="196">
        <f t="shared" si="30"/>
        <v>0</v>
      </c>
    </row>
    <row r="28" spans="1:22" ht="12.75" customHeight="1" x14ac:dyDescent="0.25">
      <c r="A28" s="14"/>
      <c r="B28" s="14"/>
      <c r="C28" s="222"/>
      <c r="D28" s="222"/>
      <c r="E28" s="222"/>
      <c r="F28" s="222"/>
      <c r="G28" s="222"/>
      <c r="H28" s="222"/>
      <c r="I28" s="222"/>
      <c r="J28" s="222"/>
      <c r="K28" s="222"/>
      <c r="L28" s="152">
        <f t="shared" si="12"/>
        <v>0</v>
      </c>
      <c r="M28" s="152">
        <f t="shared" si="13"/>
        <v>0</v>
      </c>
      <c r="N28" s="152">
        <f t="shared" si="14"/>
        <v>0</v>
      </c>
      <c r="O28" s="222"/>
      <c r="P28" s="304">
        <f t="shared" si="26"/>
        <v>0</v>
      </c>
      <c r="Q28" s="304">
        <f t="shared" si="27"/>
        <v>0</v>
      </c>
      <c r="R28" s="304">
        <f t="shared" si="28"/>
        <v>0</v>
      </c>
      <c r="S28" s="304">
        <f t="shared" si="19"/>
        <v>0</v>
      </c>
      <c r="T28" s="283">
        <f t="shared" si="29"/>
        <v>0</v>
      </c>
      <c r="U28" s="120"/>
      <c r="V28" s="196">
        <f t="shared" si="30"/>
        <v>0</v>
      </c>
    </row>
    <row r="29" spans="1:22" ht="12.75" customHeight="1" x14ac:dyDescent="0.25">
      <c r="A29" s="7" t="s">
        <v>26</v>
      </c>
      <c r="B29" s="5" t="s">
        <v>27</v>
      </c>
      <c r="C29" s="217">
        <f>SUM(C30:C31)</f>
        <v>3000000</v>
      </c>
      <c r="D29" s="217">
        <f t="shared" ref="D29:J29" si="31">SUM(D30:D31)</f>
        <v>3000000</v>
      </c>
      <c r="E29" s="217">
        <f t="shared" si="31"/>
        <v>3000000</v>
      </c>
      <c r="F29" s="217">
        <f t="shared" si="31"/>
        <v>0</v>
      </c>
      <c r="G29" s="217"/>
      <c r="H29" s="217">
        <f t="shared" si="31"/>
        <v>1315967</v>
      </c>
      <c r="I29" s="217">
        <f t="shared" si="31"/>
        <v>1869747</v>
      </c>
      <c r="J29" s="217">
        <f t="shared" si="31"/>
        <v>0</v>
      </c>
      <c r="K29" s="217"/>
      <c r="L29" s="85">
        <f t="shared" ref="L29:L30" si="32">IF(H29&gt;0,H29/C29,0)</f>
        <v>0.43865566666666667</v>
      </c>
      <c r="M29" s="85">
        <f t="shared" ref="M29:M30" si="33">IF(I29&gt;0,I29/D29,0)</f>
        <v>0.62324900000000005</v>
      </c>
      <c r="N29" s="85">
        <f t="shared" ref="N29:N30" si="34">IF(J29&gt;0,J29/E29,0)</f>
        <v>0</v>
      </c>
      <c r="O29" s="217"/>
      <c r="P29" s="217">
        <f t="shared" ref="P29:P30" si="35">+(D29-C29)*P$10</f>
        <v>0</v>
      </c>
      <c r="Q29" s="217">
        <f t="shared" ref="Q29:Q30" si="36">+(E29-D29)*Q$10</f>
        <v>0</v>
      </c>
      <c r="R29" s="217">
        <f t="shared" ref="R29:R30" si="37">+(F29-E29)*R$10</f>
        <v>0</v>
      </c>
      <c r="S29" s="217">
        <f t="shared" si="19"/>
        <v>0</v>
      </c>
      <c r="T29" s="283">
        <f t="shared" si="29"/>
        <v>0</v>
      </c>
      <c r="U29" s="120"/>
      <c r="V29" s="196">
        <f t="shared" si="30"/>
        <v>0</v>
      </c>
    </row>
    <row r="30" spans="1:22" ht="12.75" customHeight="1" x14ac:dyDescent="0.25">
      <c r="A30" s="14"/>
      <c r="B30" s="20" t="s">
        <v>28</v>
      </c>
      <c r="C30" s="222">
        <f>3000000</f>
        <v>3000000</v>
      </c>
      <c r="D30" s="222">
        <v>3000000</v>
      </c>
      <c r="E30" s="222">
        <v>3000000</v>
      </c>
      <c r="F30" s="222"/>
      <c r="G30" s="222"/>
      <c r="H30" s="222">
        <v>1315967</v>
      </c>
      <c r="I30" s="222">
        <v>1869747</v>
      </c>
      <c r="J30" s="222"/>
      <c r="K30" s="222"/>
      <c r="L30" s="137">
        <f t="shared" si="32"/>
        <v>0.43865566666666667</v>
      </c>
      <c r="M30" s="137">
        <f t="shared" si="33"/>
        <v>0.62324900000000005</v>
      </c>
      <c r="N30" s="137">
        <f t="shared" si="34"/>
        <v>0</v>
      </c>
      <c r="O30" s="222"/>
      <c r="P30" s="304">
        <f t="shared" si="35"/>
        <v>0</v>
      </c>
      <c r="Q30" s="304">
        <f t="shared" si="36"/>
        <v>0</v>
      </c>
      <c r="R30" s="304">
        <f t="shared" si="37"/>
        <v>0</v>
      </c>
      <c r="S30" s="304">
        <f t="shared" si="19"/>
        <v>0</v>
      </c>
      <c r="T30" s="283">
        <f t="shared" si="29"/>
        <v>0</v>
      </c>
      <c r="U30" s="120"/>
      <c r="V30" s="196">
        <f t="shared" si="30"/>
        <v>0</v>
      </c>
    </row>
    <row r="31" spans="1:22" ht="12.75" customHeight="1" x14ac:dyDescent="0.25">
      <c r="A31" s="14"/>
      <c r="B31" s="14"/>
      <c r="C31" s="222"/>
      <c r="D31" s="222"/>
      <c r="E31" s="222"/>
      <c r="F31" s="222"/>
      <c r="G31" s="222"/>
      <c r="H31" s="222"/>
      <c r="I31" s="222"/>
      <c r="J31" s="222"/>
      <c r="K31" s="222"/>
      <c r="L31" s="152"/>
      <c r="M31" s="152"/>
      <c r="N31" s="152"/>
      <c r="O31" s="222"/>
      <c r="P31" s="304">
        <f t="shared" si="26"/>
        <v>0</v>
      </c>
      <c r="Q31" s="304">
        <f t="shared" si="27"/>
        <v>0</v>
      </c>
      <c r="R31" s="304">
        <f t="shared" si="28"/>
        <v>0</v>
      </c>
      <c r="S31" s="304">
        <f t="shared" si="19"/>
        <v>0</v>
      </c>
      <c r="T31" s="283">
        <f t="shared" si="29"/>
        <v>0</v>
      </c>
      <c r="U31" s="120"/>
      <c r="V31" s="196">
        <f t="shared" si="30"/>
        <v>0</v>
      </c>
    </row>
    <row r="32" spans="1:22" ht="12.75" customHeight="1" x14ac:dyDescent="0.25">
      <c r="A32" s="7" t="s">
        <v>29</v>
      </c>
      <c r="B32" s="5" t="s">
        <v>30</v>
      </c>
      <c r="C32" s="217">
        <f>+C33+C48+C41+C66+C71</f>
        <v>13092000</v>
      </c>
      <c r="D32" s="217">
        <f>+D33+D48+D41+D66+D71</f>
        <v>13019600</v>
      </c>
      <c r="E32" s="217">
        <f>+E33+E41+E48+E66+E71</f>
        <v>16293600</v>
      </c>
      <c r="F32" s="217">
        <f t="shared" ref="F32:J32" si="38">+F33+F48+F66+F71</f>
        <v>0</v>
      </c>
      <c r="G32" s="217"/>
      <c r="H32" s="217">
        <f t="shared" si="38"/>
        <v>4969781</v>
      </c>
      <c r="I32" s="217">
        <f>+I33+I41+I48+I66+I71</f>
        <v>12120491</v>
      </c>
      <c r="J32" s="217">
        <f t="shared" si="38"/>
        <v>0</v>
      </c>
      <c r="K32" s="217"/>
      <c r="L32" s="85">
        <f t="shared" ref="L32:L45" si="39">IF(H32&gt;0,H32/C32,0)</f>
        <v>0.37960441490986863</v>
      </c>
      <c r="M32" s="85">
        <f t="shared" ref="M32:M45" si="40">IF(I32&gt;0,I32/D32,0)</f>
        <v>0.93094188761559493</v>
      </c>
      <c r="N32" s="85">
        <f t="shared" ref="N32:N45" si="41">IF(J32&gt;0,J32/E32,0)</f>
        <v>0</v>
      </c>
      <c r="O32" s="217"/>
      <c r="P32" s="217">
        <f t="shared" ref="P32:P48" si="42">+(D32-C32)*P$10</f>
        <v>-72400</v>
      </c>
      <c r="Q32" s="217">
        <f t="shared" ref="Q32:Q48" si="43">+(E32-D32)*Q$10</f>
        <v>3274000</v>
      </c>
      <c r="R32" s="217">
        <f t="shared" ref="R32:R48" si="44">+(F32-E32)*R$10</f>
        <v>0</v>
      </c>
      <c r="S32" s="217">
        <f t="shared" si="19"/>
        <v>3201600</v>
      </c>
      <c r="T32" s="283">
        <f t="shared" si="29"/>
        <v>0.24454628780934923</v>
      </c>
      <c r="U32" s="120"/>
      <c r="V32" s="196">
        <f t="shared" si="30"/>
        <v>0</v>
      </c>
    </row>
    <row r="33" spans="1:22" ht="12.75" customHeight="1" x14ac:dyDescent="0.25">
      <c r="A33" s="38" t="s">
        <v>31</v>
      </c>
      <c r="B33" s="39" t="s">
        <v>32</v>
      </c>
      <c r="C33" s="280">
        <f>SUM(C34:C40)</f>
        <v>3100000</v>
      </c>
      <c r="D33" s="280">
        <f t="shared" ref="D33:J33" si="45">SUM(D34:D40)</f>
        <v>3027600</v>
      </c>
      <c r="E33" s="280">
        <f t="shared" si="45"/>
        <v>3027600</v>
      </c>
      <c r="F33" s="280">
        <f t="shared" si="45"/>
        <v>0</v>
      </c>
      <c r="G33" s="280"/>
      <c r="H33" s="280">
        <f t="shared" si="45"/>
        <v>838311</v>
      </c>
      <c r="I33" s="280">
        <f t="shared" si="45"/>
        <v>1414701</v>
      </c>
      <c r="J33" s="280">
        <f t="shared" si="45"/>
        <v>0</v>
      </c>
      <c r="K33" s="222"/>
      <c r="L33" s="152">
        <f t="shared" si="39"/>
        <v>0.27042290322580648</v>
      </c>
      <c r="M33" s="152">
        <f t="shared" si="40"/>
        <v>0.46726813317479193</v>
      </c>
      <c r="N33" s="152">
        <f t="shared" si="41"/>
        <v>0</v>
      </c>
      <c r="O33" s="222"/>
      <c r="P33" s="222">
        <f t="shared" si="42"/>
        <v>-72400</v>
      </c>
      <c r="Q33" s="222">
        <f t="shared" si="43"/>
        <v>0</v>
      </c>
      <c r="R33" s="222">
        <f t="shared" si="44"/>
        <v>0</v>
      </c>
      <c r="S33" s="222">
        <f t="shared" si="19"/>
        <v>-72400</v>
      </c>
      <c r="T33" s="283">
        <f t="shared" si="29"/>
        <v>-2.335483870967742E-2</v>
      </c>
      <c r="U33" s="120"/>
      <c r="V33" s="196">
        <f t="shared" si="30"/>
        <v>0</v>
      </c>
    </row>
    <row r="34" spans="1:22" ht="12.75" customHeight="1" x14ac:dyDescent="0.25">
      <c r="A34" s="14" t="s">
        <v>33</v>
      </c>
      <c r="B34" s="20" t="s">
        <v>35</v>
      </c>
      <c r="C34" s="222">
        <v>1000000</v>
      </c>
      <c r="D34" s="222">
        <v>1000000</v>
      </c>
      <c r="E34" s="222">
        <v>1000000</v>
      </c>
      <c r="F34" s="222"/>
      <c r="G34" s="222"/>
      <c r="H34" s="222">
        <v>376495</v>
      </c>
      <c r="I34" s="222">
        <v>378888</v>
      </c>
      <c r="J34" s="222"/>
      <c r="K34" s="222"/>
      <c r="L34" s="137">
        <f t="shared" si="39"/>
        <v>0.37649500000000002</v>
      </c>
      <c r="M34" s="137">
        <f t="shared" si="40"/>
        <v>0.378888</v>
      </c>
      <c r="N34" s="137">
        <f t="shared" si="41"/>
        <v>0</v>
      </c>
      <c r="O34" s="222"/>
      <c r="P34" s="304">
        <f t="shared" si="42"/>
        <v>0</v>
      </c>
      <c r="Q34" s="304">
        <f t="shared" si="43"/>
        <v>0</v>
      </c>
      <c r="R34" s="304">
        <f t="shared" si="44"/>
        <v>0</v>
      </c>
      <c r="S34" s="304">
        <f t="shared" si="19"/>
        <v>0</v>
      </c>
      <c r="T34" s="283">
        <f t="shared" si="29"/>
        <v>0</v>
      </c>
      <c r="U34" s="120"/>
      <c r="V34" s="196">
        <f t="shared" si="30"/>
        <v>0</v>
      </c>
    </row>
    <row r="35" spans="1:22" ht="15.75" customHeight="1" x14ac:dyDescent="0.25">
      <c r="A35" s="14"/>
      <c r="B35" s="20" t="s">
        <v>89</v>
      </c>
      <c r="C35" s="222"/>
      <c r="D35" s="222"/>
      <c r="E35" s="222"/>
      <c r="F35" s="222"/>
      <c r="G35" s="222"/>
      <c r="H35" s="222"/>
      <c r="I35" s="222"/>
      <c r="J35" s="222"/>
      <c r="K35" s="222"/>
      <c r="L35" s="137">
        <f t="shared" si="39"/>
        <v>0</v>
      </c>
      <c r="M35" s="137">
        <f t="shared" si="40"/>
        <v>0</v>
      </c>
      <c r="N35" s="137">
        <f t="shared" si="41"/>
        <v>0</v>
      </c>
      <c r="O35" s="222"/>
      <c r="P35" s="222">
        <f t="shared" si="42"/>
        <v>0</v>
      </c>
      <c r="Q35" s="222">
        <f t="shared" si="43"/>
        <v>0</v>
      </c>
      <c r="R35" s="222">
        <f t="shared" si="44"/>
        <v>0</v>
      </c>
      <c r="S35" s="222">
        <f t="shared" si="19"/>
        <v>0</v>
      </c>
      <c r="T35" s="283">
        <f t="shared" si="29"/>
        <v>0</v>
      </c>
      <c r="U35" s="120"/>
      <c r="V35" s="196">
        <f t="shared" si="30"/>
        <v>0</v>
      </c>
    </row>
    <row r="36" spans="1:22" ht="12.75" customHeight="1" x14ac:dyDescent="0.25">
      <c r="A36" s="14" t="s">
        <v>34</v>
      </c>
      <c r="B36" s="20" t="s">
        <v>36</v>
      </c>
      <c r="C36" s="624">
        <v>2100000</v>
      </c>
      <c r="D36" s="222">
        <v>2027600</v>
      </c>
      <c r="E36" s="222">
        <v>2027600</v>
      </c>
      <c r="F36" s="222"/>
      <c r="G36" s="222"/>
      <c r="H36" s="222">
        <v>461816</v>
      </c>
      <c r="I36" s="222">
        <v>1035813</v>
      </c>
      <c r="J36" s="222"/>
      <c r="K36" s="222"/>
      <c r="L36" s="137">
        <f t="shared" si="39"/>
        <v>0.21991238095238094</v>
      </c>
      <c r="M36" s="137">
        <f t="shared" si="40"/>
        <v>0.51085667784572897</v>
      </c>
      <c r="N36" s="137">
        <f t="shared" si="41"/>
        <v>0</v>
      </c>
      <c r="O36" s="222"/>
      <c r="P36" s="304">
        <f t="shared" si="42"/>
        <v>-72400</v>
      </c>
      <c r="Q36" s="304">
        <f t="shared" si="43"/>
        <v>0</v>
      </c>
      <c r="R36" s="304">
        <f t="shared" si="44"/>
        <v>0</v>
      </c>
      <c r="S36" s="304">
        <f t="shared" si="19"/>
        <v>-72400</v>
      </c>
      <c r="T36" s="283">
        <f t="shared" si="29"/>
        <v>-3.4476190476190473E-2</v>
      </c>
      <c r="U36" s="120"/>
      <c r="V36" s="196">
        <f t="shared" si="30"/>
        <v>0</v>
      </c>
    </row>
    <row r="37" spans="1:22" ht="12.75" customHeight="1" x14ac:dyDescent="0.25">
      <c r="A37" s="14"/>
      <c r="B37" s="20" t="s">
        <v>105</v>
      </c>
      <c r="C37" s="222"/>
      <c r="D37" s="222"/>
      <c r="E37" s="222"/>
      <c r="F37" s="222"/>
      <c r="G37" s="222"/>
      <c r="H37" s="222"/>
      <c r="I37" s="222"/>
      <c r="J37" s="222"/>
      <c r="K37" s="222"/>
      <c r="L37" s="137">
        <f t="shared" si="39"/>
        <v>0</v>
      </c>
      <c r="M37" s="137">
        <f t="shared" si="40"/>
        <v>0</v>
      </c>
      <c r="N37" s="137">
        <f t="shared" si="41"/>
        <v>0</v>
      </c>
      <c r="O37" s="222"/>
      <c r="P37" s="222">
        <f t="shared" si="42"/>
        <v>0</v>
      </c>
      <c r="Q37" s="222">
        <f t="shared" si="43"/>
        <v>0</v>
      </c>
      <c r="R37" s="222">
        <f t="shared" si="44"/>
        <v>0</v>
      </c>
      <c r="S37" s="222">
        <f t="shared" si="19"/>
        <v>0</v>
      </c>
      <c r="T37" s="283">
        <f t="shared" si="29"/>
        <v>0</v>
      </c>
      <c r="U37" s="120"/>
      <c r="V37" s="196">
        <f t="shared" si="30"/>
        <v>0</v>
      </c>
    </row>
    <row r="38" spans="1:22" ht="12.75" customHeight="1" x14ac:dyDescent="0.25">
      <c r="A38" s="14"/>
      <c r="B38" s="20" t="s">
        <v>95</v>
      </c>
      <c r="C38" s="222"/>
      <c r="D38" s="222"/>
      <c r="E38" s="222"/>
      <c r="F38" s="222"/>
      <c r="G38" s="222"/>
      <c r="H38" s="222"/>
      <c r="I38" s="222"/>
      <c r="J38" s="222"/>
      <c r="K38" s="222"/>
      <c r="L38" s="137">
        <f t="shared" si="39"/>
        <v>0</v>
      </c>
      <c r="M38" s="137">
        <f t="shared" si="40"/>
        <v>0</v>
      </c>
      <c r="N38" s="137">
        <f t="shared" si="41"/>
        <v>0</v>
      </c>
      <c r="O38" s="222"/>
      <c r="P38" s="222">
        <f t="shared" si="42"/>
        <v>0</v>
      </c>
      <c r="Q38" s="222">
        <f t="shared" si="43"/>
        <v>0</v>
      </c>
      <c r="R38" s="222">
        <f t="shared" si="44"/>
        <v>0</v>
      </c>
      <c r="S38" s="222">
        <f t="shared" si="19"/>
        <v>0</v>
      </c>
      <c r="T38" s="283">
        <f t="shared" si="29"/>
        <v>0</v>
      </c>
      <c r="U38" s="120"/>
      <c r="V38" s="196">
        <f t="shared" si="30"/>
        <v>0</v>
      </c>
    </row>
    <row r="39" spans="1:22" ht="12.75" customHeight="1" x14ac:dyDescent="0.25">
      <c r="A39" s="14"/>
      <c r="B39" s="20" t="s">
        <v>94</v>
      </c>
      <c r="C39" s="222"/>
      <c r="D39" s="222"/>
      <c r="E39" s="222"/>
      <c r="F39" s="222"/>
      <c r="G39" s="222"/>
      <c r="H39" s="222"/>
      <c r="I39" s="222"/>
      <c r="J39" s="222"/>
      <c r="K39" s="222"/>
      <c r="L39" s="137">
        <f t="shared" si="39"/>
        <v>0</v>
      </c>
      <c r="M39" s="137">
        <f t="shared" si="40"/>
        <v>0</v>
      </c>
      <c r="N39" s="137">
        <f t="shared" si="41"/>
        <v>0</v>
      </c>
      <c r="O39" s="222"/>
      <c r="P39" s="222">
        <f t="shared" si="42"/>
        <v>0</v>
      </c>
      <c r="Q39" s="222">
        <f t="shared" si="43"/>
        <v>0</v>
      </c>
      <c r="R39" s="222">
        <f t="shared" si="44"/>
        <v>0</v>
      </c>
      <c r="S39" s="222">
        <f t="shared" si="19"/>
        <v>0</v>
      </c>
      <c r="T39" s="283">
        <f t="shared" si="29"/>
        <v>0</v>
      </c>
      <c r="U39" s="120"/>
      <c r="V39" s="196">
        <f t="shared" si="30"/>
        <v>0</v>
      </c>
    </row>
    <row r="40" spans="1:22" ht="12.75" customHeight="1" x14ac:dyDescent="0.25">
      <c r="A40" s="14"/>
      <c r="B40" s="20" t="s">
        <v>93</v>
      </c>
      <c r="C40" s="222"/>
      <c r="D40" s="222"/>
      <c r="E40" s="222"/>
      <c r="F40" s="222"/>
      <c r="G40" s="222"/>
      <c r="H40" s="222"/>
      <c r="I40" s="222"/>
      <c r="J40" s="222"/>
      <c r="K40" s="222"/>
      <c r="L40" s="137">
        <f t="shared" si="39"/>
        <v>0</v>
      </c>
      <c r="M40" s="137">
        <f t="shared" si="40"/>
        <v>0</v>
      </c>
      <c r="N40" s="137">
        <f t="shared" si="41"/>
        <v>0</v>
      </c>
      <c r="O40" s="222"/>
      <c r="P40" s="222">
        <f t="shared" si="42"/>
        <v>0</v>
      </c>
      <c r="Q40" s="222">
        <f t="shared" si="43"/>
        <v>0</v>
      </c>
      <c r="R40" s="222">
        <f t="shared" si="44"/>
        <v>0</v>
      </c>
      <c r="S40" s="222">
        <f t="shared" si="19"/>
        <v>0</v>
      </c>
      <c r="T40" s="283">
        <f t="shared" si="29"/>
        <v>0</v>
      </c>
      <c r="U40" s="120"/>
      <c r="V40" s="196">
        <f t="shared" si="30"/>
        <v>0</v>
      </c>
    </row>
    <row r="41" spans="1:22" ht="12.75" customHeight="1" x14ac:dyDescent="0.25">
      <c r="A41" s="38" t="s">
        <v>37</v>
      </c>
      <c r="B41" s="39" t="s">
        <v>38</v>
      </c>
      <c r="C41" s="280">
        <f>SUM(C42:C47)</f>
        <v>0</v>
      </c>
      <c r="D41" s="280">
        <f t="shared" ref="D41:J41" si="46">SUM(D42:D47)</f>
        <v>0</v>
      </c>
      <c r="E41" s="280">
        <f t="shared" si="46"/>
        <v>0</v>
      </c>
      <c r="F41" s="280">
        <f t="shared" si="46"/>
        <v>0</v>
      </c>
      <c r="G41" s="280"/>
      <c r="H41" s="280">
        <f t="shared" si="46"/>
        <v>0</v>
      </c>
      <c r="I41" s="280">
        <f t="shared" si="46"/>
        <v>0</v>
      </c>
      <c r="J41" s="280">
        <f t="shared" si="46"/>
        <v>0</v>
      </c>
      <c r="K41" s="222"/>
      <c r="L41" s="137">
        <f t="shared" si="39"/>
        <v>0</v>
      </c>
      <c r="M41" s="137">
        <f t="shared" si="40"/>
        <v>0</v>
      </c>
      <c r="N41" s="137">
        <f t="shared" si="41"/>
        <v>0</v>
      </c>
      <c r="O41" s="222"/>
      <c r="P41" s="222">
        <f t="shared" si="42"/>
        <v>0</v>
      </c>
      <c r="Q41" s="222">
        <f t="shared" si="43"/>
        <v>0</v>
      </c>
      <c r="R41" s="222">
        <f t="shared" si="44"/>
        <v>0</v>
      </c>
      <c r="S41" s="222">
        <f t="shared" si="19"/>
        <v>0</v>
      </c>
      <c r="T41" s="283">
        <f t="shared" si="29"/>
        <v>0</v>
      </c>
      <c r="U41" s="120"/>
      <c r="V41" s="196">
        <f t="shared" si="30"/>
        <v>0</v>
      </c>
    </row>
    <row r="42" spans="1:22" ht="12.75" customHeight="1" x14ac:dyDescent="0.25">
      <c r="A42" s="14" t="s">
        <v>39</v>
      </c>
      <c r="B42" s="20" t="s">
        <v>40</v>
      </c>
      <c r="C42" s="222">
        <v>0</v>
      </c>
      <c r="D42" s="222">
        <v>0</v>
      </c>
      <c r="E42" s="222">
        <v>0</v>
      </c>
      <c r="F42" s="222"/>
      <c r="G42" s="222"/>
      <c r="H42" s="222">
        <v>0</v>
      </c>
      <c r="I42" s="222">
        <v>0</v>
      </c>
      <c r="J42" s="222"/>
      <c r="K42" s="222"/>
      <c r="L42" s="137">
        <f t="shared" si="39"/>
        <v>0</v>
      </c>
      <c r="M42" s="137">
        <f t="shared" si="40"/>
        <v>0</v>
      </c>
      <c r="N42" s="137">
        <f t="shared" si="41"/>
        <v>0</v>
      </c>
      <c r="O42" s="222"/>
      <c r="P42" s="222">
        <f t="shared" si="42"/>
        <v>0</v>
      </c>
      <c r="Q42" s="222">
        <f t="shared" si="43"/>
        <v>0</v>
      </c>
      <c r="R42" s="222">
        <f t="shared" si="44"/>
        <v>0</v>
      </c>
      <c r="S42" s="222">
        <f t="shared" si="19"/>
        <v>0</v>
      </c>
      <c r="T42" s="283">
        <f t="shared" si="29"/>
        <v>0</v>
      </c>
      <c r="U42" s="120"/>
      <c r="V42" s="196">
        <f t="shared" si="30"/>
        <v>0</v>
      </c>
    </row>
    <row r="43" spans="1:22" ht="12.75" customHeight="1" x14ac:dyDescent="0.25">
      <c r="A43" s="14"/>
      <c r="B43" s="20" t="s">
        <v>41</v>
      </c>
      <c r="C43" s="222"/>
      <c r="D43" s="222"/>
      <c r="E43" s="222"/>
      <c r="F43" s="222"/>
      <c r="G43" s="222"/>
      <c r="H43" s="222"/>
      <c r="I43" s="222"/>
      <c r="J43" s="222"/>
      <c r="K43" s="222"/>
      <c r="L43" s="137">
        <f t="shared" si="39"/>
        <v>0</v>
      </c>
      <c r="M43" s="137">
        <f t="shared" si="40"/>
        <v>0</v>
      </c>
      <c r="N43" s="137">
        <f t="shared" si="41"/>
        <v>0</v>
      </c>
      <c r="O43" s="222"/>
      <c r="P43" s="222">
        <f t="shared" si="42"/>
        <v>0</v>
      </c>
      <c r="Q43" s="222">
        <f t="shared" si="43"/>
        <v>0</v>
      </c>
      <c r="R43" s="222">
        <f t="shared" si="44"/>
        <v>0</v>
      </c>
      <c r="S43" s="222">
        <f t="shared" si="19"/>
        <v>0</v>
      </c>
      <c r="T43" s="283">
        <f t="shared" si="29"/>
        <v>0</v>
      </c>
      <c r="U43" s="120"/>
      <c r="V43" s="196">
        <f t="shared" si="30"/>
        <v>0</v>
      </c>
    </row>
    <row r="44" spans="1:22" ht="12.75" customHeight="1" x14ac:dyDescent="0.25">
      <c r="A44" s="14"/>
      <c r="B44" s="20" t="s">
        <v>42</v>
      </c>
      <c r="C44" s="222"/>
      <c r="D44" s="222"/>
      <c r="E44" s="222"/>
      <c r="F44" s="222"/>
      <c r="G44" s="222"/>
      <c r="H44" s="222"/>
      <c r="I44" s="222"/>
      <c r="J44" s="222"/>
      <c r="K44" s="222"/>
      <c r="L44" s="137">
        <f t="shared" si="39"/>
        <v>0</v>
      </c>
      <c r="M44" s="137">
        <f t="shared" si="40"/>
        <v>0</v>
      </c>
      <c r="N44" s="137">
        <f t="shared" si="41"/>
        <v>0</v>
      </c>
      <c r="O44" s="222"/>
      <c r="P44" s="222">
        <f t="shared" si="42"/>
        <v>0</v>
      </c>
      <c r="Q44" s="222">
        <f t="shared" si="43"/>
        <v>0</v>
      </c>
      <c r="R44" s="222">
        <f t="shared" si="44"/>
        <v>0</v>
      </c>
      <c r="S44" s="222">
        <f t="shared" si="19"/>
        <v>0</v>
      </c>
      <c r="T44" s="283">
        <f t="shared" si="29"/>
        <v>0</v>
      </c>
      <c r="U44" s="120"/>
      <c r="V44" s="196">
        <f t="shared" si="30"/>
        <v>0</v>
      </c>
    </row>
    <row r="45" spans="1:22" ht="12.75" customHeight="1" x14ac:dyDescent="0.25">
      <c r="A45" s="14"/>
      <c r="B45" s="20" t="s">
        <v>43</v>
      </c>
      <c r="C45" s="222"/>
      <c r="D45" s="222"/>
      <c r="E45" s="222"/>
      <c r="F45" s="222"/>
      <c r="G45" s="222"/>
      <c r="H45" s="222"/>
      <c r="I45" s="222"/>
      <c r="J45" s="222"/>
      <c r="K45" s="222"/>
      <c r="L45" s="137">
        <f t="shared" si="39"/>
        <v>0</v>
      </c>
      <c r="M45" s="137">
        <f t="shared" si="40"/>
        <v>0</v>
      </c>
      <c r="N45" s="137">
        <f t="shared" si="41"/>
        <v>0</v>
      </c>
      <c r="O45" s="222"/>
      <c r="P45" s="222">
        <f t="shared" si="42"/>
        <v>0</v>
      </c>
      <c r="Q45" s="222">
        <f t="shared" si="43"/>
        <v>0</v>
      </c>
      <c r="R45" s="222">
        <f t="shared" si="44"/>
        <v>0</v>
      </c>
      <c r="S45" s="222">
        <f t="shared" si="19"/>
        <v>0</v>
      </c>
      <c r="T45" s="283">
        <f t="shared" si="29"/>
        <v>0</v>
      </c>
      <c r="U45" s="120"/>
      <c r="V45" s="196">
        <f t="shared" si="30"/>
        <v>0</v>
      </c>
    </row>
    <row r="46" spans="1:22" ht="12.75" customHeight="1" x14ac:dyDescent="0.25">
      <c r="A46" s="14" t="s">
        <v>44</v>
      </c>
      <c r="B46" s="20" t="s">
        <v>45</v>
      </c>
      <c r="C46" s="222">
        <v>0</v>
      </c>
      <c r="D46" s="222">
        <v>0</v>
      </c>
      <c r="E46" s="222">
        <v>0</v>
      </c>
      <c r="F46" s="222"/>
      <c r="G46" s="222"/>
      <c r="H46" s="222">
        <v>0</v>
      </c>
      <c r="I46" s="222">
        <v>0</v>
      </c>
      <c r="J46" s="222"/>
      <c r="K46" s="222"/>
      <c r="L46" s="137">
        <f t="shared" ref="L46:L80" si="47">IF(H46&gt;0,H46/C46,0)</f>
        <v>0</v>
      </c>
      <c r="M46" s="137">
        <f t="shared" ref="M46:M80" si="48">IF(I46&gt;0,I46/D46,0)</f>
        <v>0</v>
      </c>
      <c r="N46" s="137">
        <f t="shared" ref="N46:N80" si="49">IF(J46&gt;0,J46/E46,0)</f>
        <v>0</v>
      </c>
      <c r="O46" s="222"/>
      <c r="P46" s="222">
        <f t="shared" si="42"/>
        <v>0</v>
      </c>
      <c r="Q46" s="222">
        <f t="shared" si="43"/>
        <v>0</v>
      </c>
      <c r="R46" s="222">
        <f t="shared" si="44"/>
        <v>0</v>
      </c>
      <c r="S46" s="222">
        <f t="shared" si="19"/>
        <v>0</v>
      </c>
      <c r="T46" s="283">
        <f t="shared" si="29"/>
        <v>0</v>
      </c>
      <c r="U46" s="120"/>
      <c r="V46" s="196">
        <f t="shared" si="30"/>
        <v>0</v>
      </c>
    </row>
    <row r="47" spans="1:22" ht="12.75" customHeight="1" x14ac:dyDescent="0.25">
      <c r="A47" s="14"/>
      <c r="B47" s="20" t="s">
        <v>46</v>
      </c>
      <c r="C47" s="222"/>
      <c r="D47" s="222"/>
      <c r="E47" s="222"/>
      <c r="F47" s="222"/>
      <c r="G47" s="222"/>
      <c r="H47" s="222"/>
      <c r="I47" s="222"/>
      <c r="J47" s="222"/>
      <c r="K47" s="222"/>
      <c r="L47" s="137">
        <f t="shared" si="47"/>
        <v>0</v>
      </c>
      <c r="M47" s="137">
        <f t="shared" si="48"/>
        <v>0</v>
      </c>
      <c r="N47" s="137">
        <f t="shared" si="49"/>
        <v>0</v>
      </c>
      <c r="O47" s="222"/>
      <c r="P47" s="222">
        <f t="shared" si="42"/>
        <v>0</v>
      </c>
      <c r="Q47" s="222">
        <f t="shared" si="43"/>
        <v>0</v>
      </c>
      <c r="R47" s="222">
        <f t="shared" si="44"/>
        <v>0</v>
      </c>
      <c r="S47" s="222">
        <f t="shared" si="19"/>
        <v>0</v>
      </c>
      <c r="T47" s="283">
        <f t="shared" si="29"/>
        <v>0</v>
      </c>
      <c r="U47" s="120"/>
      <c r="V47" s="196">
        <f t="shared" si="30"/>
        <v>0</v>
      </c>
    </row>
    <row r="48" spans="1:22" ht="12.75" customHeight="1" x14ac:dyDescent="0.25">
      <c r="A48" s="38" t="s">
        <v>47</v>
      </c>
      <c r="B48" s="39" t="s">
        <v>48</v>
      </c>
      <c r="C48" s="280">
        <f>SUM(C49:C65)</f>
        <v>8400000</v>
      </c>
      <c r="D48" s="280">
        <f t="shared" ref="D48:J48" si="50">SUM(D49:D65)</f>
        <v>8350000</v>
      </c>
      <c r="E48" s="280">
        <f t="shared" si="50"/>
        <v>11074000</v>
      </c>
      <c r="F48" s="280">
        <f t="shared" si="50"/>
        <v>0</v>
      </c>
      <c r="G48" s="280"/>
      <c r="H48" s="280">
        <f t="shared" si="50"/>
        <v>3337726</v>
      </c>
      <c r="I48" s="280">
        <f t="shared" si="50"/>
        <v>9091696</v>
      </c>
      <c r="J48" s="280">
        <f t="shared" si="50"/>
        <v>0</v>
      </c>
      <c r="K48" s="222"/>
      <c r="L48" s="137">
        <f t="shared" si="47"/>
        <v>0.39734833333333336</v>
      </c>
      <c r="M48" s="137">
        <f t="shared" si="48"/>
        <v>1.0888258682634731</v>
      </c>
      <c r="N48" s="137">
        <f t="shared" si="49"/>
        <v>0</v>
      </c>
      <c r="O48" s="222"/>
      <c r="P48" s="222">
        <f t="shared" si="42"/>
        <v>-50000</v>
      </c>
      <c r="Q48" s="222">
        <f t="shared" si="43"/>
        <v>2724000</v>
      </c>
      <c r="R48" s="222">
        <f t="shared" si="44"/>
        <v>0</v>
      </c>
      <c r="S48" s="222">
        <f t="shared" si="19"/>
        <v>2674000</v>
      </c>
      <c r="T48" s="283">
        <f t="shared" ref="T48:T64" si="51">IF(C48=0,0,+S48/C48)</f>
        <v>0.31833333333333336</v>
      </c>
      <c r="U48" s="120"/>
      <c r="V48" s="196">
        <f t="shared" ref="V48:V64" si="52">+S48-E48+C48</f>
        <v>0</v>
      </c>
    </row>
    <row r="49" spans="1:22" ht="12.75" customHeight="1" x14ac:dyDescent="0.25">
      <c r="A49" s="14" t="s">
        <v>49</v>
      </c>
      <c r="B49" s="20" t="s">
        <v>50</v>
      </c>
      <c r="C49" s="222">
        <f>2000000+500000</f>
        <v>2500000</v>
      </c>
      <c r="D49" s="222">
        <v>2500000</v>
      </c>
      <c r="E49" s="222">
        <v>3824000</v>
      </c>
      <c r="F49" s="222"/>
      <c r="G49" s="222"/>
      <c r="H49" s="222">
        <v>1910222</v>
      </c>
      <c r="I49" s="222">
        <v>2371862</v>
      </c>
      <c r="J49" s="222"/>
      <c r="K49" s="222"/>
      <c r="L49" s="137">
        <f t="shared" si="47"/>
        <v>0.76408880000000001</v>
      </c>
      <c r="M49" s="137">
        <f t="shared" si="48"/>
        <v>0.94874480000000005</v>
      </c>
      <c r="N49" s="137">
        <f t="shared" si="49"/>
        <v>0</v>
      </c>
      <c r="O49" s="222"/>
      <c r="P49" s="304">
        <f t="shared" si="26"/>
        <v>0</v>
      </c>
      <c r="Q49" s="304">
        <f t="shared" si="27"/>
        <v>1324000</v>
      </c>
      <c r="R49" s="304">
        <f t="shared" si="28"/>
        <v>0</v>
      </c>
      <c r="S49" s="304">
        <f t="shared" si="19"/>
        <v>1324000</v>
      </c>
      <c r="T49" s="283">
        <f t="shared" si="51"/>
        <v>0.52959999999999996</v>
      </c>
      <c r="U49" s="120"/>
      <c r="V49" s="196">
        <f t="shared" si="52"/>
        <v>0</v>
      </c>
    </row>
    <row r="50" spans="1:22" ht="12.75" customHeight="1" x14ac:dyDescent="0.25">
      <c r="A50" s="14" t="s">
        <v>103</v>
      </c>
      <c r="B50" s="20" t="s">
        <v>97</v>
      </c>
      <c r="C50" s="222"/>
      <c r="D50" s="222"/>
      <c r="E50" s="222"/>
      <c r="F50" s="222"/>
      <c r="G50" s="222"/>
      <c r="H50" s="222"/>
      <c r="I50" s="222"/>
      <c r="J50" s="222"/>
      <c r="K50" s="222"/>
      <c r="L50" s="137">
        <f t="shared" si="47"/>
        <v>0</v>
      </c>
      <c r="M50" s="137">
        <f t="shared" si="48"/>
        <v>0</v>
      </c>
      <c r="N50" s="137">
        <f t="shared" si="49"/>
        <v>0</v>
      </c>
      <c r="O50" s="222"/>
      <c r="P50" s="222">
        <f t="shared" si="26"/>
        <v>0</v>
      </c>
      <c r="Q50" s="222">
        <f t="shared" si="27"/>
        <v>0</v>
      </c>
      <c r="R50" s="222">
        <f t="shared" si="28"/>
        <v>0</v>
      </c>
      <c r="S50" s="222">
        <f t="shared" si="19"/>
        <v>0</v>
      </c>
      <c r="T50" s="283">
        <f t="shared" si="51"/>
        <v>0</v>
      </c>
      <c r="U50" s="120"/>
      <c r="V50" s="196">
        <f t="shared" si="52"/>
        <v>0</v>
      </c>
    </row>
    <row r="51" spans="1:22" ht="12.75" customHeight="1" x14ac:dyDescent="0.25">
      <c r="A51" s="14"/>
      <c r="B51" s="20" t="s">
        <v>98</v>
      </c>
      <c r="C51" s="222"/>
      <c r="D51" s="222"/>
      <c r="E51" s="222"/>
      <c r="F51" s="222"/>
      <c r="G51" s="222"/>
      <c r="H51" s="222"/>
      <c r="I51" s="222"/>
      <c r="J51" s="222"/>
      <c r="K51" s="222"/>
      <c r="L51" s="137">
        <f t="shared" si="47"/>
        <v>0</v>
      </c>
      <c r="M51" s="137">
        <f t="shared" si="48"/>
        <v>0</v>
      </c>
      <c r="N51" s="137">
        <f t="shared" si="49"/>
        <v>0</v>
      </c>
      <c r="O51" s="222"/>
      <c r="P51" s="222">
        <f t="shared" si="26"/>
        <v>0</v>
      </c>
      <c r="Q51" s="222">
        <f t="shared" si="27"/>
        <v>0</v>
      </c>
      <c r="R51" s="222">
        <f t="shared" si="28"/>
        <v>0</v>
      </c>
      <c r="S51" s="222">
        <f t="shared" si="19"/>
        <v>0</v>
      </c>
      <c r="T51" s="283">
        <f t="shared" si="51"/>
        <v>0</v>
      </c>
      <c r="U51" s="120"/>
      <c r="V51" s="196">
        <f t="shared" si="52"/>
        <v>0</v>
      </c>
    </row>
    <row r="52" spans="1:22" ht="12.75" customHeight="1" x14ac:dyDescent="0.25">
      <c r="A52" s="14"/>
      <c r="B52" s="20" t="s">
        <v>99</v>
      </c>
      <c r="C52" s="222"/>
      <c r="D52" s="222"/>
      <c r="E52" s="222"/>
      <c r="F52" s="222"/>
      <c r="G52" s="222"/>
      <c r="H52" s="222"/>
      <c r="I52" s="222"/>
      <c r="J52" s="222"/>
      <c r="K52" s="222"/>
      <c r="L52" s="137">
        <f t="shared" si="47"/>
        <v>0</v>
      </c>
      <c r="M52" s="137">
        <f t="shared" si="48"/>
        <v>0</v>
      </c>
      <c r="N52" s="137">
        <f t="shared" si="49"/>
        <v>0</v>
      </c>
      <c r="O52" s="222"/>
      <c r="P52" s="222">
        <f t="shared" si="26"/>
        <v>0</v>
      </c>
      <c r="Q52" s="222">
        <f t="shared" si="27"/>
        <v>0</v>
      </c>
      <c r="R52" s="222">
        <f t="shared" si="28"/>
        <v>0</v>
      </c>
      <c r="S52" s="222">
        <f t="shared" si="19"/>
        <v>0</v>
      </c>
      <c r="T52" s="283">
        <f t="shared" si="51"/>
        <v>0</v>
      </c>
      <c r="U52" s="120"/>
      <c r="V52" s="196">
        <f t="shared" si="52"/>
        <v>0</v>
      </c>
    </row>
    <row r="53" spans="1:22" ht="12.75" customHeight="1" x14ac:dyDescent="0.25">
      <c r="A53" s="14" t="s">
        <v>51</v>
      </c>
      <c r="B53" s="20" t="s">
        <v>52</v>
      </c>
      <c r="C53" s="222"/>
      <c r="D53" s="222"/>
      <c r="E53" s="222"/>
      <c r="F53" s="222"/>
      <c r="G53" s="222"/>
      <c r="H53" s="222"/>
      <c r="I53" s="222"/>
      <c r="J53" s="222"/>
      <c r="K53" s="222"/>
      <c r="L53" s="137">
        <f t="shared" si="47"/>
        <v>0</v>
      </c>
      <c r="M53" s="137">
        <f t="shared" si="48"/>
        <v>0</v>
      </c>
      <c r="N53" s="137">
        <f t="shared" si="49"/>
        <v>0</v>
      </c>
      <c r="O53" s="222"/>
      <c r="P53" s="222">
        <f t="shared" si="26"/>
        <v>0</v>
      </c>
      <c r="Q53" s="222">
        <f t="shared" si="27"/>
        <v>0</v>
      </c>
      <c r="R53" s="222">
        <f t="shared" si="28"/>
        <v>0</v>
      </c>
      <c r="S53" s="222">
        <f t="shared" si="19"/>
        <v>0</v>
      </c>
      <c r="T53" s="283">
        <f t="shared" si="51"/>
        <v>0</v>
      </c>
      <c r="U53" s="120"/>
      <c r="V53" s="196">
        <f t="shared" si="52"/>
        <v>0</v>
      </c>
    </row>
    <row r="54" spans="1:22" ht="12.75" customHeight="1" x14ac:dyDescent="0.25">
      <c r="A54" s="14"/>
      <c r="B54" s="20" t="s">
        <v>90</v>
      </c>
      <c r="C54" s="222"/>
      <c r="D54" s="222"/>
      <c r="E54" s="222"/>
      <c r="F54" s="222"/>
      <c r="G54" s="222"/>
      <c r="H54" s="222"/>
      <c r="I54" s="222"/>
      <c r="J54" s="222"/>
      <c r="K54" s="222"/>
      <c r="L54" s="137">
        <f t="shared" si="47"/>
        <v>0</v>
      </c>
      <c r="M54" s="137">
        <f t="shared" si="48"/>
        <v>0</v>
      </c>
      <c r="N54" s="137">
        <f t="shared" si="49"/>
        <v>0</v>
      </c>
      <c r="O54" s="222"/>
      <c r="P54" s="222">
        <f t="shared" si="26"/>
        <v>0</v>
      </c>
      <c r="Q54" s="222">
        <f t="shared" si="27"/>
        <v>0</v>
      </c>
      <c r="R54" s="222">
        <f t="shared" si="28"/>
        <v>0</v>
      </c>
      <c r="S54" s="222">
        <f t="shared" si="19"/>
        <v>0</v>
      </c>
      <c r="T54" s="283">
        <f t="shared" si="51"/>
        <v>0</v>
      </c>
      <c r="U54" s="120"/>
      <c r="V54" s="196">
        <f t="shared" si="52"/>
        <v>0</v>
      </c>
    </row>
    <row r="55" spans="1:22" ht="12.75" customHeight="1" x14ac:dyDescent="0.25">
      <c r="A55" s="14"/>
      <c r="B55" s="20" t="s">
        <v>53</v>
      </c>
      <c r="C55" s="222"/>
      <c r="D55" s="222"/>
      <c r="E55" s="222"/>
      <c r="F55" s="222"/>
      <c r="G55" s="222"/>
      <c r="H55" s="222"/>
      <c r="I55" s="222"/>
      <c r="J55" s="222"/>
      <c r="K55" s="222"/>
      <c r="L55" s="137">
        <f t="shared" si="47"/>
        <v>0</v>
      </c>
      <c r="M55" s="137">
        <f t="shared" si="48"/>
        <v>0</v>
      </c>
      <c r="N55" s="137">
        <f t="shared" si="49"/>
        <v>0</v>
      </c>
      <c r="O55" s="222"/>
      <c r="P55" s="222">
        <f t="shared" si="26"/>
        <v>0</v>
      </c>
      <c r="Q55" s="222">
        <f t="shared" si="27"/>
        <v>0</v>
      </c>
      <c r="R55" s="222">
        <f t="shared" si="28"/>
        <v>0</v>
      </c>
      <c r="S55" s="222">
        <f t="shared" si="19"/>
        <v>0</v>
      </c>
      <c r="T55" s="283">
        <f t="shared" si="51"/>
        <v>0</v>
      </c>
      <c r="U55" s="120"/>
      <c r="V55" s="196">
        <f t="shared" si="52"/>
        <v>0</v>
      </c>
    </row>
    <row r="56" spans="1:22" ht="12.75" customHeight="1" x14ac:dyDescent="0.25">
      <c r="A56" s="14" t="s">
        <v>54</v>
      </c>
      <c r="B56" s="20" t="s">
        <v>55</v>
      </c>
      <c r="C56" s="624">
        <v>700000</v>
      </c>
      <c r="D56" s="624">
        <v>700000</v>
      </c>
      <c r="E56" s="222">
        <v>1700000</v>
      </c>
      <c r="F56" s="222"/>
      <c r="G56" s="222"/>
      <c r="H56" s="222">
        <v>245000</v>
      </c>
      <c r="I56" s="222">
        <v>1568799</v>
      </c>
      <c r="J56" s="222"/>
      <c r="K56" s="222"/>
      <c r="L56" s="137">
        <f t="shared" si="47"/>
        <v>0.35</v>
      </c>
      <c r="M56" s="137">
        <f t="shared" si="48"/>
        <v>2.2411414285714284</v>
      </c>
      <c r="N56" s="137">
        <f t="shared" si="49"/>
        <v>0</v>
      </c>
      <c r="O56" s="222"/>
      <c r="P56" s="304">
        <f t="shared" si="26"/>
        <v>0</v>
      </c>
      <c r="Q56" s="304">
        <f t="shared" si="27"/>
        <v>1000000</v>
      </c>
      <c r="R56" s="304">
        <f t="shared" si="28"/>
        <v>0</v>
      </c>
      <c r="S56" s="304">
        <f t="shared" si="19"/>
        <v>1000000</v>
      </c>
      <c r="T56" s="283">
        <f t="shared" si="51"/>
        <v>1.4285714285714286</v>
      </c>
      <c r="U56" s="120"/>
      <c r="V56" s="196">
        <f t="shared" si="52"/>
        <v>0</v>
      </c>
    </row>
    <row r="57" spans="1:22" ht="12.75" customHeight="1" x14ac:dyDescent="0.25">
      <c r="A57" s="14"/>
      <c r="B57" s="20" t="s">
        <v>56</v>
      </c>
      <c r="C57" s="222"/>
      <c r="D57" s="222"/>
      <c r="E57" s="222"/>
      <c r="F57" s="222"/>
      <c r="G57" s="222"/>
      <c r="H57" s="222"/>
      <c r="I57" s="222"/>
      <c r="J57" s="222"/>
      <c r="K57" s="222"/>
      <c r="L57" s="137">
        <f t="shared" si="47"/>
        <v>0</v>
      </c>
      <c r="M57" s="137">
        <f t="shared" si="48"/>
        <v>0</v>
      </c>
      <c r="N57" s="137">
        <f t="shared" si="49"/>
        <v>0</v>
      </c>
      <c r="O57" s="222"/>
      <c r="P57" s="222">
        <f t="shared" si="26"/>
        <v>0</v>
      </c>
      <c r="Q57" s="222">
        <f t="shared" si="27"/>
        <v>0</v>
      </c>
      <c r="R57" s="222">
        <f t="shared" si="28"/>
        <v>0</v>
      </c>
      <c r="S57" s="222">
        <f t="shared" si="19"/>
        <v>0</v>
      </c>
      <c r="T57" s="283">
        <f t="shared" si="51"/>
        <v>0</v>
      </c>
      <c r="U57" s="120"/>
      <c r="V57" s="196">
        <f t="shared" si="52"/>
        <v>0</v>
      </c>
    </row>
    <row r="58" spans="1:22" ht="12.75" customHeight="1" x14ac:dyDescent="0.25">
      <c r="A58" s="14" t="s">
        <v>57</v>
      </c>
      <c r="B58" s="20" t="s">
        <v>91</v>
      </c>
      <c r="C58" s="222">
        <v>150000</v>
      </c>
      <c r="D58" s="222">
        <v>150000</v>
      </c>
      <c r="E58" s="222">
        <v>150000</v>
      </c>
      <c r="F58" s="222"/>
      <c r="G58" s="222"/>
      <c r="H58" s="222">
        <v>21000</v>
      </c>
      <c r="I58" s="222">
        <v>21000</v>
      </c>
      <c r="J58" s="222"/>
      <c r="K58" s="222"/>
      <c r="L58" s="137">
        <f t="shared" si="47"/>
        <v>0.14000000000000001</v>
      </c>
      <c r="M58" s="137">
        <f t="shared" si="48"/>
        <v>0.14000000000000001</v>
      </c>
      <c r="N58" s="137">
        <f t="shared" si="49"/>
        <v>0</v>
      </c>
      <c r="O58" s="222"/>
      <c r="P58" s="304">
        <f t="shared" si="26"/>
        <v>0</v>
      </c>
      <c r="Q58" s="304">
        <f t="shared" si="27"/>
        <v>0</v>
      </c>
      <c r="R58" s="304">
        <f t="shared" si="28"/>
        <v>0</v>
      </c>
      <c r="S58" s="304">
        <f t="shared" si="19"/>
        <v>0</v>
      </c>
      <c r="T58" s="283">
        <f t="shared" si="51"/>
        <v>0</v>
      </c>
      <c r="U58" s="120"/>
      <c r="V58" s="196">
        <f t="shared" si="52"/>
        <v>0</v>
      </c>
    </row>
    <row r="59" spans="1:22" ht="12.75" customHeight="1" x14ac:dyDescent="0.25">
      <c r="A59" s="14"/>
      <c r="B59" s="20" t="s">
        <v>58</v>
      </c>
      <c r="C59" s="222"/>
      <c r="D59" s="222"/>
      <c r="E59" s="222"/>
      <c r="F59" s="222"/>
      <c r="G59" s="222"/>
      <c r="H59" s="222"/>
      <c r="I59" s="222"/>
      <c r="J59" s="222"/>
      <c r="K59" s="222"/>
      <c r="L59" s="137">
        <f t="shared" si="47"/>
        <v>0</v>
      </c>
      <c r="M59" s="137">
        <f t="shared" si="48"/>
        <v>0</v>
      </c>
      <c r="N59" s="137">
        <f t="shared" si="49"/>
        <v>0</v>
      </c>
      <c r="O59" s="222"/>
      <c r="P59" s="222">
        <f t="shared" si="26"/>
        <v>0</v>
      </c>
      <c r="Q59" s="222">
        <f t="shared" si="27"/>
        <v>0</v>
      </c>
      <c r="R59" s="222">
        <f t="shared" si="28"/>
        <v>0</v>
      </c>
      <c r="S59" s="222">
        <f t="shared" si="19"/>
        <v>0</v>
      </c>
      <c r="T59" s="283">
        <f t="shared" si="51"/>
        <v>0</v>
      </c>
      <c r="U59" s="120"/>
      <c r="V59" s="196">
        <f t="shared" si="52"/>
        <v>0</v>
      </c>
    </row>
    <row r="60" spans="1:22" ht="12.75" customHeight="1" x14ac:dyDescent="0.25">
      <c r="A60" s="14" t="s">
        <v>59</v>
      </c>
      <c r="B60" s="20" t="s">
        <v>60</v>
      </c>
      <c r="C60" s="222"/>
      <c r="D60" s="222"/>
      <c r="E60" s="222"/>
      <c r="F60" s="222"/>
      <c r="G60" s="222"/>
      <c r="H60" s="222"/>
      <c r="I60" s="222"/>
      <c r="J60" s="222"/>
      <c r="K60" s="222"/>
      <c r="L60" s="137">
        <f t="shared" si="47"/>
        <v>0</v>
      </c>
      <c r="M60" s="137">
        <f t="shared" si="48"/>
        <v>0</v>
      </c>
      <c r="N60" s="137">
        <f t="shared" si="49"/>
        <v>0</v>
      </c>
      <c r="O60" s="222"/>
      <c r="P60" s="222">
        <f t="shared" si="26"/>
        <v>0</v>
      </c>
      <c r="Q60" s="222">
        <f t="shared" si="27"/>
        <v>0</v>
      </c>
      <c r="R60" s="222">
        <f t="shared" si="28"/>
        <v>0</v>
      </c>
      <c r="S60" s="222">
        <f t="shared" si="19"/>
        <v>0</v>
      </c>
      <c r="T60" s="283">
        <f t="shared" si="51"/>
        <v>0</v>
      </c>
      <c r="U60" s="120"/>
      <c r="V60" s="196">
        <f t="shared" si="52"/>
        <v>0</v>
      </c>
    </row>
    <row r="61" spans="1:22" ht="12.75" customHeight="1" x14ac:dyDescent="0.25">
      <c r="A61" s="20"/>
      <c r="B61" s="20" t="s">
        <v>61</v>
      </c>
      <c r="C61" s="222"/>
      <c r="D61" s="222"/>
      <c r="E61" s="222"/>
      <c r="F61" s="222"/>
      <c r="G61" s="222"/>
      <c r="H61" s="222"/>
      <c r="I61" s="222"/>
      <c r="J61" s="222"/>
      <c r="K61" s="222"/>
      <c r="L61" s="137">
        <f t="shared" si="47"/>
        <v>0</v>
      </c>
      <c r="M61" s="137">
        <f t="shared" si="48"/>
        <v>0</v>
      </c>
      <c r="N61" s="137">
        <f t="shared" si="49"/>
        <v>0</v>
      </c>
      <c r="O61" s="222"/>
      <c r="P61" s="222">
        <f t="shared" si="26"/>
        <v>0</v>
      </c>
      <c r="Q61" s="222">
        <f t="shared" si="27"/>
        <v>0</v>
      </c>
      <c r="R61" s="222">
        <f t="shared" si="28"/>
        <v>0</v>
      </c>
      <c r="S61" s="222">
        <f t="shared" si="19"/>
        <v>0</v>
      </c>
      <c r="T61" s="283">
        <f t="shared" si="51"/>
        <v>0</v>
      </c>
      <c r="U61" s="120"/>
      <c r="V61" s="196">
        <f t="shared" si="52"/>
        <v>0</v>
      </c>
    </row>
    <row r="62" spans="1:22" ht="12.75" customHeight="1" x14ac:dyDescent="0.25">
      <c r="A62" s="14" t="s">
        <v>62</v>
      </c>
      <c r="B62" s="20" t="s">
        <v>63</v>
      </c>
      <c r="C62" s="222">
        <v>50000</v>
      </c>
      <c r="D62" s="222">
        <v>50000</v>
      </c>
      <c r="E62" s="222">
        <v>50000</v>
      </c>
      <c r="F62" s="222"/>
      <c r="G62" s="222"/>
      <c r="H62" s="222">
        <v>19500</v>
      </c>
      <c r="I62" s="222">
        <v>19500</v>
      </c>
      <c r="J62" s="222"/>
      <c r="K62" s="222"/>
      <c r="L62" s="137">
        <f t="shared" si="47"/>
        <v>0.39</v>
      </c>
      <c r="M62" s="137">
        <f t="shared" si="48"/>
        <v>0.39</v>
      </c>
      <c r="N62" s="137">
        <f t="shared" si="49"/>
        <v>0</v>
      </c>
      <c r="O62" s="222"/>
      <c r="P62" s="304">
        <f t="shared" si="26"/>
        <v>0</v>
      </c>
      <c r="Q62" s="304">
        <f t="shared" si="27"/>
        <v>0</v>
      </c>
      <c r="R62" s="304">
        <f t="shared" si="28"/>
        <v>0</v>
      </c>
      <c r="S62" s="304">
        <f t="shared" si="19"/>
        <v>0</v>
      </c>
      <c r="T62" s="283">
        <f t="shared" si="51"/>
        <v>0</v>
      </c>
      <c r="U62" s="120"/>
      <c r="V62" s="196">
        <f t="shared" si="52"/>
        <v>0</v>
      </c>
    </row>
    <row r="63" spans="1:22" ht="25.5" customHeight="1" x14ac:dyDescent="0.25">
      <c r="A63" s="14"/>
      <c r="B63" s="20" t="s">
        <v>102</v>
      </c>
      <c r="C63" s="222"/>
      <c r="D63" s="222"/>
      <c r="E63" s="222"/>
      <c r="F63" s="222"/>
      <c r="G63" s="222"/>
      <c r="H63" s="222"/>
      <c r="I63" s="222"/>
      <c r="J63" s="222"/>
      <c r="K63" s="222"/>
      <c r="L63" s="137">
        <f t="shared" si="47"/>
        <v>0</v>
      </c>
      <c r="M63" s="137">
        <f t="shared" si="48"/>
        <v>0</v>
      </c>
      <c r="N63" s="137">
        <f t="shared" si="49"/>
        <v>0</v>
      </c>
      <c r="O63" s="222"/>
      <c r="P63" s="222">
        <f t="shared" si="26"/>
        <v>0</v>
      </c>
      <c r="Q63" s="222">
        <f t="shared" si="27"/>
        <v>0</v>
      </c>
      <c r="R63" s="222">
        <f t="shared" si="28"/>
        <v>0</v>
      </c>
      <c r="S63" s="222">
        <f t="shared" si="19"/>
        <v>0</v>
      </c>
      <c r="T63" s="283">
        <f t="shared" si="51"/>
        <v>0</v>
      </c>
      <c r="U63" s="120"/>
      <c r="V63" s="196">
        <f t="shared" si="52"/>
        <v>0</v>
      </c>
    </row>
    <row r="64" spans="1:22" ht="12.75" customHeight="1" x14ac:dyDescent="0.25">
      <c r="A64" s="14" t="s">
        <v>64</v>
      </c>
      <c r="B64" s="20" t="s">
        <v>65</v>
      </c>
      <c r="C64" s="624">
        <f>3000000+2000000</f>
        <v>5000000</v>
      </c>
      <c r="D64" s="222">
        <v>4950000</v>
      </c>
      <c r="E64" s="222">
        <v>5350000</v>
      </c>
      <c r="F64" s="222"/>
      <c r="G64" s="222"/>
      <c r="H64" s="222">
        <v>1142004</v>
      </c>
      <c r="I64" s="222">
        <v>5110535</v>
      </c>
      <c r="J64" s="222"/>
      <c r="K64" s="222"/>
      <c r="L64" s="137">
        <f t="shared" si="47"/>
        <v>0.22840079999999999</v>
      </c>
      <c r="M64" s="137">
        <f t="shared" si="48"/>
        <v>1.0324313131313132</v>
      </c>
      <c r="N64" s="137">
        <f t="shared" si="49"/>
        <v>0</v>
      </c>
      <c r="O64" s="222"/>
      <c r="P64" s="304">
        <f t="shared" si="26"/>
        <v>-50000</v>
      </c>
      <c r="Q64" s="304">
        <f t="shared" si="27"/>
        <v>400000</v>
      </c>
      <c r="R64" s="304">
        <f t="shared" si="28"/>
        <v>0</v>
      </c>
      <c r="S64" s="304">
        <f t="shared" si="19"/>
        <v>350000</v>
      </c>
      <c r="T64" s="283">
        <f t="shared" si="51"/>
        <v>7.0000000000000007E-2</v>
      </c>
      <c r="U64" s="120"/>
      <c r="V64" s="196">
        <f t="shared" si="52"/>
        <v>0</v>
      </c>
    </row>
    <row r="65" spans="1:22" ht="40.200000000000003" customHeight="1" x14ac:dyDescent="0.25">
      <c r="A65" s="14"/>
      <c r="B65" s="20" t="s">
        <v>66</v>
      </c>
      <c r="C65" s="222"/>
      <c r="D65" s="222"/>
      <c r="E65" s="222"/>
      <c r="F65" s="222"/>
      <c r="G65" s="222"/>
      <c r="H65" s="222"/>
      <c r="I65" s="222"/>
      <c r="J65" s="222"/>
      <c r="K65" s="222"/>
      <c r="L65" s="137">
        <f t="shared" si="47"/>
        <v>0</v>
      </c>
      <c r="M65" s="137">
        <f t="shared" si="48"/>
        <v>0</v>
      </c>
      <c r="N65" s="137">
        <f t="shared" si="49"/>
        <v>0</v>
      </c>
      <c r="O65" s="222"/>
      <c r="P65" s="222">
        <f t="shared" si="26"/>
        <v>0</v>
      </c>
      <c r="Q65" s="222">
        <f t="shared" si="27"/>
        <v>0</v>
      </c>
      <c r="R65" s="222">
        <f t="shared" si="28"/>
        <v>0</v>
      </c>
      <c r="S65" s="222">
        <f t="shared" si="19"/>
        <v>0</v>
      </c>
      <c r="T65" s="283">
        <f t="shared" ref="T65:T102" si="53">IF(C65=0,0,+S65/C65)</f>
        <v>0</v>
      </c>
      <c r="U65" s="120"/>
      <c r="V65" s="196">
        <f t="shared" ref="V65:V102" si="54">+S65-E65+C65</f>
        <v>0</v>
      </c>
    </row>
    <row r="66" spans="1:22" ht="12.75" customHeight="1" x14ac:dyDescent="0.25">
      <c r="A66" s="38" t="s">
        <v>67</v>
      </c>
      <c r="B66" s="39" t="s">
        <v>68</v>
      </c>
      <c r="C66" s="280">
        <f>SUM(C67:C70)</f>
        <v>75000</v>
      </c>
      <c r="D66" s="280">
        <f t="shared" ref="D66:J66" si="55">SUM(D67:D70)</f>
        <v>125000</v>
      </c>
      <c r="E66" s="280">
        <f t="shared" si="55"/>
        <v>175000</v>
      </c>
      <c r="F66" s="280">
        <f t="shared" si="55"/>
        <v>0</v>
      </c>
      <c r="G66" s="280"/>
      <c r="H66" s="280">
        <f t="shared" si="55"/>
        <v>31658</v>
      </c>
      <c r="I66" s="280">
        <f t="shared" si="55"/>
        <v>62223</v>
      </c>
      <c r="J66" s="280">
        <f t="shared" si="55"/>
        <v>0</v>
      </c>
      <c r="K66" s="222"/>
      <c r="L66" s="137">
        <f t="shared" si="47"/>
        <v>0.42210666666666669</v>
      </c>
      <c r="M66" s="137">
        <f t="shared" si="48"/>
        <v>0.497784</v>
      </c>
      <c r="N66" s="137">
        <f t="shared" si="49"/>
        <v>0</v>
      </c>
      <c r="O66" s="222"/>
      <c r="P66" s="222">
        <f t="shared" si="26"/>
        <v>50000</v>
      </c>
      <c r="Q66" s="222">
        <f t="shared" si="27"/>
        <v>50000</v>
      </c>
      <c r="R66" s="222">
        <f t="shared" si="28"/>
        <v>0</v>
      </c>
      <c r="S66" s="222">
        <f t="shared" si="19"/>
        <v>100000</v>
      </c>
      <c r="T66" s="283">
        <f t="shared" si="53"/>
        <v>1.3333333333333333</v>
      </c>
      <c r="U66" s="120"/>
      <c r="V66" s="196">
        <f t="shared" si="54"/>
        <v>0</v>
      </c>
    </row>
    <row r="67" spans="1:22" ht="12.75" customHeight="1" x14ac:dyDescent="0.25">
      <c r="A67" s="14" t="s">
        <v>69</v>
      </c>
      <c r="B67" s="20" t="s">
        <v>70</v>
      </c>
      <c r="C67" s="222">
        <v>75000</v>
      </c>
      <c r="D67" s="222">
        <v>75000</v>
      </c>
      <c r="E67" s="222">
        <v>75000</v>
      </c>
      <c r="F67" s="222"/>
      <c r="G67" s="222"/>
      <c r="H67" s="222">
        <v>2140</v>
      </c>
      <c r="I67" s="222">
        <v>2140</v>
      </c>
      <c r="J67" s="222"/>
      <c r="K67" s="222"/>
      <c r="L67" s="137">
        <f t="shared" si="47"/>
        <v>2.8533333333333334E-2</v>
      </c>
      <c r="M67" s="137">
        <f t="shared" si="48"/>
        <v>2.8533333333333334E-2</v>
      </c>
      <c r="N67" s="137">
        <f t="shared" si="49"/>
        <v>0</v>
      </c>
      <c r="O67" s="222"/>
      <c r="P67" s="304">
        <f t="shared" si="26"/>
        <v>0</v>
      </c>
      <c r="Q67" s="304">
        <f t="shared" si="27"/>
        <v>0</v>
      </c>
      <c r="R67" s="304">
        <f t="shared" si="28"/>
        <v>0</v>
      </c>
      <c r="S67" s="304">
        <f t="shared" si="19"/>
        <v>0</v>
      </c>
      <c r="T67" s="283">
        <f t="shared" si="53"/>
        <v>0</v>
      </c>
      <c r="U67" s="120"/>
      <c r="V67" s="196">
        <f t="shared" si="54"/>
        <v>0</v>
      </c>
    </row>
    <row r="68" spans="1:22" ht="39.6" customHeight="1" x14ac:dyDescent="0.25">
      <c r="A68" s="14"/>
      <c r="B68" s="20" t="s">
        <v>71</v>
      </c>
      <c r="C68" s="222"/>
      <c r="D68" s="222"/>
      <c r="E68" s="222">
        <v>0</v>
      </c>
      <c r="F68" s="222"/>
      <c r="G68" s="222"/>
      <c r="H68" s="222"/>
      <c r="I68" s="222"/>
      <c r="J68" s="222"/>
      <c r="K68" s="222"/>
      <c r="L68" s="137">
        <f t="shared" si="47"/>
        <v>0</v>
      </c>
      <c r="M68" s="137">
        <f t="shared" si="48"/>
        <v>0</v>
      </c>
      <c r="N68" s="137">
        <f t="shared" si="49"/>
        <v>0</v>
      </c>
      <c r="O68" s="222"/>
      <c r="P68" s="222"/>
      <c r="Q68" s="222"/>
      <c r="R68" s="222"/>
      <c r="S68" s="222">
        <f t="shared" si="19"/>
        <v>0</v>
      </c>
      <c r="T68" s="283">
        <f t="shared" si="53"/>
        <v>0</v>
      </c>
      <c r="U68" s="120"/>
      <c r="V68" s="196">
        <f t="shared" si="54"/>
        <v>0</v>
      </c>
    </row>
    <row r="69" spans="1:22" ht="12.75" customHeight="1" x14ac:dyDescent="0.25">
      <c r="A69" s="14" t="s">
        <v>72</v>
      </c>
      <c r="B69" s="20" t="s">
        <v>100</v>
      </c>
      <c r="C69" s="222">
        <v>0</v>
      </c>
      <c r="D69" s="222">
        <v>50000</v>
      </c>
      <c r="E69" s="222">
        <v>100000</v>
      </c>
      <c r="F69" s="222"/>
      <c r="G69" s="222"/>
      <c r="H69" s="222">
        <v>29518</v>
      </c>
      <c r="I69" s="222">
        <v>60083</v>
      </c>
      <c r="J69" s="222"/>
      <c r="K69" s="222"/>
      <c r="L69" s="137" t="e">
        <f t="shared" si="47"/>
        <v>#DIV/0!</v>
      </c>
      <c r="M69" s="137">
        <f t="shared" si="48"/>
        <v>1.20166</v>
      </c>
      <c r="N69" s="137">
        <f t="shared" si="49"/>
        <v>0</v>
      </c>
      <c r="O69" s="222"/>
      <c r="P69" s="304">
        <f t="shared" ref="P69:P95" si="56">+(D69-C69)*P$10</f>
        <v>50000</v>
      </c>
      <c r="Q69" s="304">
        <f t="shared" ref="Q69:Q95" si="57">+(E69-D69)*Q$10</f>
        <v>50000</v>
      </c>
      <c r="R69" s="304">
        <f t="shared" ref="R69:R95" si="58">+(F69-E69)*R$10</f>
        <v>0</v>
      </c>
      <c r="S69" s="304">
        <f t="shared" si="19"/>
        <v>100000</v>
      </c>
      <c r="T69" s="283">
        <f t="shared" si="53"/>
        <v>0</v>
      </c>
      <c r="U69" s="120"/>
      <c r="V69" s="196">
        <f t="shared" si="54"/>
        <v>0</v>
      </c>
    </row>
    <row r="70" spans="1:22" ht="12.75" customHeight="1" x14ac:dyDescent="0.25">
      <c r="A70" s="14"/>
      <c r="B70" s="20" t="s">
        <v>73</v>
      </c>
      <c r="C70" s="222"/>
      <c r="D70" s="222"/>
      <c r="E70" s="222">
        <v>0</v>
      </c>
      <c r="F70" s="222"/>
      <c r="G70" s="222"/>
      <c r="H70" s="222"/>
      <c r="I70" s="222"/>
      <c r="J70" s="222"/>
      <c r="K70" s="222"/>
      <c r="L70" s="137">
        <f t="shared" si="47"/>
        <v>0</v>
      </c>
      <c r="M70" s="137">
        <f t="shared" si="48"/>
        <v>0</v>
      </c>
      <c r="N70" s="137">
        <f t="shared" si="49"/>
        <v>0</v>
      </c>
      <c r="O70" s="222"/>
      <c r="P70" s="222">
        <f t="shared" si="56"/>
        <v>0</v>
      </c>
      <c r="Q70" s="222">
        <f t="shared" si="57"/>
        <v>0</v>
      </c>
      <c r="R70" s="222">
        <f t="shared" si="58"/>
        <v>0</v>
      </c>
      <c r="S70" s="222">
        <f t="shared" si="19"/>
        <v>0</v>
      </c>
      <c r="T70" s="283">
        <f t="shared" si="53"/>
        <v>0</v>
      </c>
      <c r="U70" s="120"/>
      <c r="V70" s="196">
        <f t="shared" si="54"/>
        <v>0</v>
      </c>
    </row>
    <row r="71" spans="1:22" ht="12.75" customHeight="1" x14ac:dyDescent="0.25">
      <c r="A71" s="38" t="s">
        <v>74</v>
      </c>
      <c r="B71" s="39" t="s">
        <v>75</v>
      </c>
      <c r="C71" s="280">
        <f>SUM(C72:C81)</f>
        <v>1517000</v>
      </c>
      <c r="D71" s="280">
        <f t="shared" ref="D71:J71" si="59">SUM(D72:D81)</f>
        <v>1517000</v>
      </c>
      <c r="E71" s="280">
        <f t="shared" si="59"/>
        <v>2017000</v>
      </c>
      <c r="F71" s="280">
        <f t="shared" si="59"/>
        <v>0</v>
      </c>
      <c r="G71" s="280"/>
      <c r="H71" s="280">
        <f t="shared" si="59"/>
        <v>762086</v>
      </c>
      <c r="I71" s="280">
        <f t="shared" si="59"/>
        <v>1551871</v>
      </c>
      <c r="J71" s="280">
        <f t="shared" si="59"/>
        <v>0</v>
      </c>
      <c r="K71" s="222"/>
      <c r="L71" s="137">
        <f t="shared" si="47"/>
        <v>0.50236387607119315</v>
      </c>
      <c r="M71" s="137">
        <f t="shared" si="48"/>
        <v>1.0229868160843771</v>
      </c>
      <c r="N71" s="137">
        <f t="shared" si="49"/>
        <v>0</v>
      </c>
      <c r="O71" s="222"/>
      <c r="P71" s="222">
        <f t="shared" si="56"/>
        <v>0</v>
      </c>
      <c r="Q71" s="222">
        <f t="shared" si="57"/>
        <v>500000</v>
      </c>
      <c r="R71" s="222">
        <f t="shared" si="58"/>
        <v>0</v>
      </c>
      <c r="S71" s="222">
        <f t="shared" si="19"/>
        <v>500000</v>
      </c>
      <c r="T71" s="283">
        <f t="shared" si="53"/>
        <v>0.32959789057350031</v>
      </c>
      <c r="U71" s="120"/>
      <c r="V71" s="196">
        <f t="shared" si="54"/>
        <v>0</v>
      </c>
    </row>
    <row r="72" spans="1:22" ht="12.75" customHeight="1" x14ac:dyDescent="0.25">
      <c r="A72" s="14" t="s">
        <v>76</v>
      </c>
      <c r="B72" s="20" t="s">
        <v>77</v>
      </c>
      <c r="C72" s="222">
        <v>1500000</v>
      </c>
      <c r="D72" s="222">
        <v>1485000</v>
      </c>
      <c r="E72" s="222">
        <v>1985000</v>
      </c>
      <c r="F72" s="222"/>
      <c r="G72" s="222"/>
      <c r="H72" s="222">
        <v>733373</v>
      </c>
      <c r="I72" s="222">
        <v>1520748</v>
      </c>
      <c r="J72" s="222"/>
      <c r="K72" s="222"/>
      <c r="L72" s="137">
        <f t="shared" si="47"/>
        <v>0.48891533333333331</v>
      </c>
      <c r="M72" s="137">
        <f t="shared" si="48"/>
        <v>1.0240727272727272</v>
      </c>
      <c r="N72" s="137">
        <f t="shared" si="49"/>
        <v>0</v>
      </c>
      <c r="O72" s="222"/>
      <c r="P72" s="304">
        <f t="shared" si="56"/>
        <v>-15000</v>
      </c>
      <c r="Q72" s="304">
        <f t="shared" si="57"/>
        <v>500000</v>
      </c>
      <c r="R72" s="304">
        <f t="shared" si="58"/>
        <v>0</v>
      </c>
      <c r="S72" s="304">
        <f t="shared" si="19"/>
        <v>485000</v>
      </c>
      <c r="T72" s="283">
        <f t="shared" si="53"/>
        <v>0.32333333333333331</v>
      </c>
      <c r="U72" s="120"/>
      <c r="V72" s="196">
        <f t="shared" si="54"/>
        <v>0</v>
      </c>
    </row>
    <row r="73" spans="1:22" ht="12.75" customHeight="1" x14ac:dyDescent="0.25">
      <c r="A73" s="14"/>
      <c r="B73" s="20" t="s">
        <v>78</v>
      </c>
      <c r="C73" s="222"/>
      <c r="D73" s="222"/>
      <c r="E73" s="222"/>
      <c r="F73" s="222"/>
      <c r="G73" s="222"/>
      <c r="H73" s="222"/>
      <c r="I73" s="222"/>
      <c r="J73" s="222"/>
      <c r="K73" s="222"/>
      <c r="L73" s="137">
        <f t="shared" si="47"/>
        <v>0</v>
      </c>
      <c r="M73" s="137">
        <f t="shared" si="48"/>
        <v>0</v>
      </c>
      <c r="N73" s="137">
        <f t="shared" si="49"/>
        <v>0</v>
      </c>
      <c r="O73" s="222"/>
      <c r="P73" s="222">
        <f t="shared" si="56"/>
        <v>0</v>
      </c>
      <c r="Q73" s="222">
        <f t="shared" si="57"/>
        <v>0</v>
      </c>
      <c r="R73" s="222">
        <f t="shared" si="58"/>
        <v>0</v>
      </c>
      <c r="S73" s="222">
        <f t="shared" si="19"/>
        <v>0</v>
      </c>
      <c r="T73" s="283">
        <f t="shared" si="53"/>
        <v>0</v>
      </c>
      <c r="U73" s="120"/>
      <c r="V73" s="196">
        <f t="shared" si="54"/>
        <v>0</v>
      </c>
    </row>
    <row r="74" spans="1:22" ht="12.75" customHeight="1" x14ac:dyDescent="0.25">
      <c r="A74" s="14" t="s">
        <v>79</v>
      </c>
      <c r="B74" s="20" t="s">
        <v>80</v>
      </c>
      <c r="C74" s="222">
        <v>12000</v>
      </c>
      <c r="D74" s="222">
        <v>27000</v>
      </c>
      <c r="E74" s="222">
        <v>27000</v>
      </c>
      <c r="F74" s="222"/>
      <c r="G74" s="222"/>
      <c r="H74" s="222">
        <v>27000</v>
      </c>
      <c r="I74" s="222">
        <v>27000</v>
      </c>
      <c r="J74" s="222"/>
      <c r="K74" s="222"/>
      <c r="L74" s="137">
        <f t="shared" si="47"/>
        <v>2.25</v>
      </c>
      <c r="M74" s="137">
        <f t="shared" si="48"/>
        <v>1</v>
      </c>
      <c r="N74" s="137">
        <f t="shared" si="49"/>
        <v>0</v>
      </c>
      <c r="O74" s="222"/>
      <c r="P74" s="304">
        <f t="shared" si="56"/>
        <v>15000</v>
      </c>
      <c r="Q74" s="304">
        <f t="shared" si="57"/>
        <v>0</v>
      </c>
      <c r="R74" s="304">
        <f t="shared" si="58"/>
        <v>0</v>
      </c>
      <c r="S74" s="304">
        <f t="shared" si="19"/>
        <v>15000</v>
      </c>
      <c r="T74" s="283">
        <f t="shared" si="53"/>
        <v>1.25</v>
      </c>
      <c r="U74" s="120"/>
      <c r="V74" s="196">
        <f t="shared" si="54"/>
        <v>0</v>
      </c>
    </row>
    <row r="75" spans="1:22" ht="12.75" customHeight="1" x14ac:dyDescent="0.25">
      <c r="A75" s="14"/>
      <c r="B75" s="20" t="s">
        <v>101</v>
      </c>
      <c r="C75" s="222"/>
      <c r="D75" s="222"/>
      <c r="E75" s="222"/>
      <c r="F75" s="222"/>
      <c r="G75" s="222"/>
      <c r="H75" s="222"/>
      <c r="I75" s="222"/>
      <c r="J75" s="222"/>
      <c r="K75" s="222"/>
      <c r="L75" s="137">
        <f t="shared" si="47"/>
        <v>0</v>
      </c>
      <c r="M75" s="137">
        <f t="shared" si="48"/>
        <v>0</v>
      </c>
      <c r="N75" s="137">
        <f t="shared" si="49"/>
        <v>0</v>
      </c>
      <c r="O75" s="222"/>
      <c r="P75" s="222">
        <f t="shared" si="56"/>
        <v>0</v>
      </c>
      <c r="Q75" s="222">
        <f t="shared" si="57"/>
        <v>0</v>
      </c>
      <c r="R75" s="222">
        <f t="shared" si="58"/>
        <v>0</v>
      </c>
      <c r="S75" s="222">
        <f t="shared" si="19"/>
        <v>0</v>
      </c>
      <c r="T75" s="283">
        <f t="shared" si="53"/>
        <v>0</v>
      </c>
      <c r="U75" s="120"/>
      <c r="V75" s="196">
        <f t="shared" si="54"/>
        <v>0</v>
      </c>
    </row>
    <row r="76" spans="1:22" ht="12.75" customHeight="1" x14ac:dyDescent="0.25">
      <c r="A76" s="14" t="s">
        <v>81</v>
      </c>
      <c r="B76" s="20" t="s">
        <v>82</v>
      </c>
      <c r="C76" s="222">
        <v>0</v>
      </c>
      <c r="D76" s="222">
        <v>0</v>
      </c>
      <c r="E76" s="222">
        <v>0</v>
      </c>
      <c r="F76" s="222"/>
      <c r="G76" s="222"/>
      <c r="H76" s="222">
        <v>0</v>
      </c>
      <c r="I76" s="222">
        <v>0</v>
      </c>
      <c r="J76" s="222"/>
      <c r="K76" s="222"/>
      <c r="L76" s="137">
        <f t="shared" si="47"/>
        <v>0</v>
      </c>
      <c r="M76" s="137">
        <f t="shared" si="48"/>
        <v>0</v>
      </c>
      <c r="N76" s="137">
        <f t="shared" si="49"/>
        <v>0</v>
      </c>
      <c r="O76" s="222"/>
      <c r="P76" s="222">
        <f t="shared" si="56"/>
        <v>0</v>
      </c>
      <c r="Q76" s="222">
        <f t="shared" si="57"/>
        <v>0</v>
      </c>
      <c r="R76" s="222">
        <f t="shared" si="58"/>
        <v>0</v>
      </c>
      <c r="S76" s="222">
        <f t="shared" si="19"/>
        <v>0</v>
      </c>
      <c r="T76" s="283">
        <f t="shared" si="53"/>
        <v>0</v>
      </c>
      <c r="U76" s="120"/>
      <c r="V76" s="196">
        <f t="shared" si="54"/>
        <v>0</v>
      </c>
    </row>
    <row r="77" spans="1:22" ht="12.75" customHeight="1" x14ac:dyDescent="0.25">
      <c r="A77" s="14"/>
      <c r="B77" s="20" t="s">
        <v>106</v>
      </c>
      <c r="C77" s="222"/>
      <c r="D77" s="222"/>
      <c r="E77" s="222"/>
      <c r="F77" s="222"/>
      <c r="G77" s="222"/>
      <c r="H77" s="222"/>
      <c r="I77" s="222"/>
      <c r="J77" s="222"/>
      <c r="K77" s="222"/>
      <c r="L77" s="137">
        <f t="shared" si="47"/>
        <v>0</v>
      </c>
      <c r="M77" s="137">
        <f t="shared" si="48"/>
        <v>0</v>
      </c>
      <c r="N77" s="137">
        <f t="shared" si="49"/>
        <v>0</v>
      </c>
      <c r="O77" s="222"/>
      <c r="P77" s="222">
        <f t="shared" si="56"/>
        <v>0</v>
      </c>
      <c r="Q77" s="222">
        <f t="shared" si="57"/>
        <v>0</v>
      </c>
      <c r="R77" s="222">
        <f t="shared" si="58"/>
        <v>0</v>
      </c>
      <c r="S77" s="222">
        <f t="shared" si="19"/>
        <v>0</v>
      </c>
      <c r="T77" s="283">
        <f t="shared" si="53"/>
        <v>0</v>
      </c>
      <c r="U77" s="120"/>
      <c r="V77" s="196">
        <f t="shared" si="54"/>
        <v>0</v>
      </c>
    </row>
    <row r="78" spans="1:22" ht="12.75" customHeight="1" x14ac:dyDescent="0.25">
      <c r="A78" s="14" t="s">
        <v>84</v>
      </c>
      <c r="B78" s="20" t="s">
        <v>85</v>
      </c>
      <c r="C78" s="222">
        <v>0</v>
      </c>
      <c r="D78" s="222">
        <v>0</v>
      </c>
      <c r="E78" s="222">
        <v>0</v>
      </c>
      <c r="F78" s="222"/>
      <c r="G78" s="222"/>
      <c r="H78" s="222">
        <v>0</v>
      </c>
      <c r="I78" s="222">
        <v>0</v>
      </c>
      <c r="J78" s="222"/>
      <c r="K78" s="222"/>
      <c r="L78" s="137">
        <f t="shared" si="47"/>
        <v>0</v>
      </c>
      <c r="M78" s="137">
        <f t="shared" si="48"/>
        <v>0</v>
      </c>
      <c r="N78" s="137">
        <f t="shared" si="49"/>
        <v>0</v>
      </c>
      <c r="O78" s="222"/>
      <c r="P78" s="222">
        <f t="shared" si="56"/>
        <v>0</v>
      </c>
      <c r="Q78" s="222">
        <f t="shared" si="57"/>
        <v>0</v>
      </c>
      <c r="R78" s="222">
        <f t="shared" si="58"/>
        <v>0</v>
      </c>
      <c r="S78" s="222">
        <f t="shared" ref="S78:S89" si="60">+P78*P$10+Q78*Q$10+R78*R$10</f>
        <v>0</v>
      </c>
      <c r="T78" s="283">
        <f t="shared" si="53"/>
        <v>0</v>
      </c>
      <c r="U78" s="120"/>
      <c r="V78" s="196">
        <f t="shared" si="54"/>
        <v>0</v>
      </c>
    </row>
    <row r="79" spans="1:22" ht="12.75" customHeight="1" x14ac:dyDescent="0.25">
      <c r="A79" s="14"/>
      <c r="B79" s="20" t="s">
        <v>86</v>
      </c>
      <c r="C79" s="222"/>
      <c r="D79" s="222"/>
      <c r="E79" s="222"/>
      <c r="F79" s="222"/>
      <c r="G79" s="222"/>
      <c r="H79" s="222"/>
      <c r="I79" s="222"/>
      <c r="J79" s="222"/>
      <c r="K79" s="222"/>
      <c r="L79" s="137">
        <f t="shared" si="47"/>
        <v>0</v>
      </c>
      <c r="M79" s="137">
        <f t="shared" si="48"/>
        <v>0</v>
      </c>
      <c r="N79" s="137">
        <f t="shared" si="49"/>
        <v>0</v>
      </c>
      <c r="O79" s="222"/>
      <c r="P79" s="222">
        <f t="shared" si="56"/>
        <v>0</v>
      </c>
      <c r="Q79" s="222">
        <f t="shared" si="57"/>
        <v>0</v>
      </c>
      <c r="R79" s="222">
        <f t="shared" si="58"/>
        <v>0</v>
      </c>
      <c r="S79" s="222">
        <f t="shared" si="60"/>
        <v>0</v>
      </c>
      <c r="T79" s="283">
        <f t="shared" si="53"/>
        <v>0</v>
      </c>
      <c r="U79" s="120"/>
      <c r="V79" s="196">
        <f t="shared" si="54"/>
        <v>0</v>
      </c>
    </row>
    <row r="80" spans="1:22" ht="12.75" customHeight="1" x14ac:dyDescent="0.25">
      <c r="A80" s="14" t="s">
        <v>87</v>
      </c>
      <c r="B80" s="20" t="s">
        <v>88</v>
      </c>
      <c r="C80" s="222">
        <v>5000</v>
      </c>
      <c r="D80" s="222">
        <v>5000</v>
      </c>
      <c r="E80" s="222">
        <v>5000</v>
      </c>
      <c r="F80" s="222"/>
      <c r="G80" s="222"/>
      <c r="H80" s="222">
        <v>1713</v>
      </c>
      <c r="I80" s="222">
        <v>4123</v>
      </c>
      <c r="J80" s="222"/>
      <c r="K80" s="222"/>
      <c r="L80" s="137">
        <f t="shared" si="47"/>
        <v>0.34260000000000002</v>
      </c>
      <c r="M80" s="137">
        <f t="shared" si="48"/>
        <v>0.8246</v>
      </c>
      <c r="N80" s="137">
        <f t="shared" si="49"/>
        <v>0</v>
      </c>
      <c r="O80" s="222"/>
      <c r="P80" s="304">
        <f t="shared" si="56"/>
        <v>0</v>
      </c>
      <c r="Q80" s="304">
        <f t="shared" si="57"/>
        <v>0</v>
      </c>
      <c r="R80" s="304">
        <f t="shared" si="58"/>
        <v>0</v>
      </c>
      <c r="S80" s="304">
        <f t="shared" si="60"/>
        <v>0</v>
      </c>
      <c r="T80" s="283">
        <f t="shared" si="53"/>
        <v>0</v>
      </c>
      <c r="U80" s="120"/>
      <c r="V80" s="196">
        <f t="shared" si="54"/>
        <v>0</v>
      </c>
    </row>
    <row r="81" spans="1:24" ht="38.1" customHeight="1" x14ac:dyDescent="0.25">
      <c r="A81" s="14"/>
      <c r="B81" s="20" t="s">
        <v>92</v>
      </c>
      <c r="C81" s="222"/>
      <c r="D81" s="222"/>
      <c r="E81" s="222"/>
      <c r="F81" s="222"/>
      <c r="G81" s="222"/>
      <c r="H81" s="222"/>
      <c r="I81" s="222"/>
      <c r="J81" s="222"/>
      <c r="K81" s="222"/>
      <c r="L81" s="137"/>
      <c r="M81" s="137"/>
      <c r="N81" s="137"/>
      <c r="O81" s="222"/>
      <c r="P81" s="222">
        <f t="shared" si="56"/>
        <v>0</v>
      </c>
      <c r="Q81" s="222">
        <f t="shared" si="57"/>
        <v>0</v>
      </c>
      <c r="R81" s="222">
        <f t="shared" si="58"/>
        <v>0</v>
      </c>
      <c r="S81" s="222">
        <f t="shared" si="60"/>
        <v>0</v>
      </c>
      <c r="T81" s="283">
        <f t="shared" si="53"/>
        <v>0</v>
      </c>
      <c r="U81" s="120"/>
      <c r="V81" s="196">
        <f t="shared" si="54"/>
        <v>0</v>
      </c>
    </row>
    <row r="82" spans="1:24" ht="12.75" customHeight="1" x14ac:dyDescent="0.25">
      <c r="A82" s="29"/>
      <c r="B82" s="21"/>
      <c r="C82" s="222"/>
      <c r="D82" s="222"/>
      <c r="E82" s="222"/>
      <c r="F82" s="222"/>
      <c r="G82" s="222"/>
      <c r="H82" s="222"/>
      <c r="I82" s="222"/>
      <c r="J82" s="222"/>
      <c r="K82" s="222"/>
      <c r="L82" s="152"/>
      <c r="M82" s="152"/>
      <c r="N82" s="152"/>
      <c r="O82" s="222"/>
      <c r="P82" s="222">
        <f t="shared" si="56"/>
        <v>0</v>
      </c>
      <c r="Q82" s="222">
        <f t="shared" si="57"/>
        <v>0</v>
      </c>
      <c r="R82" s="222">
        <f t="shared" si="58"/>
        <v>0</v>
      </c>
      <c r="S82" s="222">
        <f t="shared" si="60"/>
        <v>0</v>
      </c>
      <c r="T82" s="283">
        <f t="shared" si="53"/>
        <v>0</v>
      </c>
      <c r="U82" s="120"/>
      <c r="V82" s="196">
        <f t="shared" si="54"/>
        <v>0</v>
      </c>
    </row>
    <row r="83" spans="1:24" s="42" customFormat="1" x14ac:dyDescent="0.25">
      <c r="A83" s="4" t="s">
        <v>158</v>
      </c>
      <c r="B83" s="3" t="s">
        <v>159</v>
      </c>
      <c r="C83" s="310">
        <f>+C84</f>
        <v>200000</v>
      </c>
      <c r="D83" s="310">
        <f t="shared" ref="D83:F83" si="61">SUM(D84:D85)</f>
        <v>272400</v>
      </c>
      <c r="E83" s="310">
        <f t="shared" si="61"/>
        <v>272400</v>
      </c>
      <c r="F83" s="310">
        <f t="shared" si="61"/>
        <v>0</v>
      </c>
      <c r="G83" s="310"/>
      <c r="H83" s="310">
        <f t="shared" ref="H83:J83" si="62">SUM(H84:H85)</f>
        <v>225840</v>
      </c>
      <c r="I83" s="310">
        <f t="shared" si="62"/>
        <v>225840</v>
      </c>
      <c r="J83" s="310">
        <f t="shared" si="62"/>
        <v>0</v>
      </c>
      <c r="K83" s="310"/>
      <c r="L83" s="85">
        <f t="shared" ref="L83:L89" si="63">IF(H83&gt;0,H83/C83,0)</f>
        <v>1.1292</v>
      </c>
      <c r="M83" s="85">
        <f t="shared" ref="M83:M89" si="64">IF(I83&gt;0,I83/D83,0)</f>
        <v>0.82907488986784139</v>
      </c>
      <c r="N83" s="85">
        <f t="shared" ref="N83:N89" si="65">IF(J83&gt;0,J83/E83,0)</f>
        <v>0</v>
      </c>
      <c r="O83" s="310"/>
      <c r="P83" s="310">
        <f t="shared" si="56"/>
        <v>72400</v>
      </c>
      <c r="Q83" s="310">
        <f t="shared" si="57"/>
        <v>0</v>
      </c>
      <c r="R83" s="310">
        <f t="shared" si="58"/>
        <v>0</v>
      </c>
      <c r="S83" s="310">
        <f t="shared" si="60"/>
        <v>72400</v>
      </c>
      <c r="T83" s="283">
        <f t="shared" ref="T83:T88" si="66">IF(C83=0,0,+S83/C83)</f>
        <v>0.36199999999999999</v>
      </c>
      <c r="U83" s="120"/>
      <c r="V83" s="196">
        <f t="shared" ref="V83:V88" si="67">+S83-E83+C83</f>
        <v>0</v>
      </c>
    </row>
    <row r="84" spans="1:24" x14ac:dyDescent="0.25">
      <c r="A84" s="43"/>
      <c r="B84" s="44"/>
      <c r="C84" s="221">
        <v>200000</v>
      </c>
      <c r="D84" s="222">
        <v>272400</v>
      </c>
      <c r="E84" s="222">
        <v>272400</v>
      </c>
      <c r="F84" s="222"/>
      <c r="G84" s="222"/>
      <c r="H84" s="222">
        <v>225840</v>
      </c>
      <c r="I84" s="222">
        <v>225840</v>
      </c>
      <c r="J84" s="222"/>
      <c r="K84" s="222"/>
      <c r="L84" s="176">
        <f t="shared" si="63"/>
        <v>1.1292</v>
      </c>
      <c r="M84" s="176">
        <f t="shared" si="64"/>
        <v>0.82907488986784139</v>
      </c>
      <c r="N84" s="176">
        <f t="shared" si="65"/>
        <v>0</v>
      </c>
      <c r="O84" s="222"/>
      <c r="P84" s="304">
        <f t="shared" si="56"/>
        <v>72400</v>
      </c>
      <c r="Q84" s="304">
        <f t="shared" si="57"/>
        <v>0</v>
      </c>
      <c r="R84" s="304">
        <f t="shared" si="58"/>
        <v>0</v>
      </c>
      <c r="S84" s="304">
        <f t="shared" si="60"/>
        <v>72400</v>
      </c>
      <c r="T84" s="283">
        <f t="shared" si="66"/>
        <v>0.36199999999999999</v>
      </c>
      <c r="U84" s="120"/>
      <c r="V84" s="196">
        <f t="shared" si="67"/>
        <v>0</v>
      </c>
    </row>
    <row r="85" spans="1:24" hidden="1" x14ac:dyDescent="0.25">
      <c r="A85" s="14"/>
      <c r="B85" s="20"/>
      <c r="C85" s="221"/>
      <c r="D85" s="222"/>
      <c r="E85" s="222"/>
      <c r="F85" s="222"/>
      <c r="G85" s="222"/>
      <c r="H85" s="222"/>
      <c r="I85" s="222"/>
      <c r="J85" s="222"/>
      <c r="K85" s="222"/>
      <c r="L85" s="176">
        <f t="shared" si="63"/>
        <v>0</v>
      </c>
      <c r="M85" s="176">
        <f t="shared" si="64"/>
        <v>0</v>
      </c>
      <c r="N85" s="176">
        <f t="shared" si="65"/>
        <v>0</v>
      </c>
      <c r="O85" s="222"/>
      <c r="P85" s="304">
        <f t="shared" si="56"/>
        <v>0</v>
      </c>
      <c r="Q85" s="304">
        <f t="shared" si="57"/>
        <v>0</v>
      </c>
      <c r="R85" s="304">
        <f t="shared" si="58"/>
        <v>0</v>
      </c>
      <c r="S85" s="304">
        <f t="shared" si="60"/>
        <v>0</v>
      </c>
      <c r="T85" s="283">
        <f t="shared" si="66"/>
        <v>0</v>
      </c>
      <c r="U85" s="120"/>
      <c r="V85" s="196">
        <f t="shared" si="67"/>
        <v>0</v>
      </c>
    </row>
    <row r="86" spans="1:24" s="42" customFormat="1" x14ac:dyDescent="0.25">
      <c r="A86" s="4" t="s">
        <v>173</v>
      </c>
      <c r="B86" s="3" t="s">
        <v>174</v>
      </c>
      <c r="C86" s="310">
        <f>SUM(C87:C88)</f>
        <v>0</v>
      </c>
      <c r="D86" s="310">
        <f t="shared" ref="D86:F86" si="68">SUM(D87:D88)</f>
        <v>0</v>
      </c>
      <c r="E86" s="310">
        <f t="shared" si="68"/>
        <v>0</v>
      </c>
      <c r="F86" s="310">
        <f t="shared" si="68"/>
        <v>0</v>
      </c>
      <c r="G86" s="310"/>
      <c r="H86" s="310">
        <f t="shared" ref="H86:J86" si="69">SUM(H87:H88)</f>
        <v>0</v>
      </c>
      <c r="I86" s="310">
        <f t="shared" si="69"/>
        <v>0</v>
      </c>
      <c r="J86" s="310">
        <f t="shared" si="69"/>
        <v>0</v>
      </c>
      <c r="K86" s="310"/>
      <c r="L86" s="85">
        <f t="shared" si="63"/>
        <v>0</v>
      </c>
      <c r="M86" s="85">
        <f t="shared" si="64"/>
        <v>0</v>
      </c>
      <c r="N86" s="85">
        <f t="shared" si="65"/>
        <v>0</v>
      </c>
      <c r="O86" s="310"/>
      <c r="P86" s="310">
        <f t="shared" si="56"/>
        <v>0</v>
      </c>
      <c r="Q86" s="310">
        <f t="shared" si="57"/>
        <v>0</v>
      </c>
      <c r="R86" s="310">
        <f t="shared" si="58"/>
        <v>0</v>
      </c>
      <c r="S86" s="310">
        <f t="shared" si="60"/>
        <v>0</v>
      </c>
      <c r="T86" s="283">
        <f t="shared" si="66"/>
        <v>0</v>
      </c>
      <c r="U86" s="120"/>
      <c r="V86" s="196">
        <f t="shared" si="67"/>
        <v>0</v>
      </c>
    </row>
    <row r="87" spans="1:24" x14ac:dyDescent="0.25">
      <c r="A87" s="43"/>
      <c r="B87" s="44"/>
      <c r="C87" s="221">
        <v>0</v>
      </c>
      <c r="D87" s="222">
        <v>0</v>
      </c>
      <c r="E87" s="222">
        <v>0</v>
      </c>
      <c r="F87" s="222"/>
      <c r="G87" s="222"/>
      <c r="H87" s="222">
        <v>0</v>
      </c>
      <c r="I87" s="222">
        <v>0</v>
      </c>
      <c r="J87" s="222"/>
      <c r="K87" s="222"/>
      <c r="L87" s="176">
        <f t="shared" si="63"/>
        <v>0</v>
      </c>
      <c r="M87" s="176">
        <f t="shared" si="64"/>
        <v>0</v>
      </c>
      <c r="N87" s="176">
        <f t="shared" si="65"/>
        <v>0</v>
      </c>
      <c r="O87" s="222"/>
      <c r="P87" s="304">
        <f t="shared" si="56"/>
        <v>0</v>
      </c>
      <c r="Q87" s="304">
        <f t="shared" si="57"/>
        <v>0</v>
      </c>
      <c r="R87" s="304">
        <f t="shared" si="58"/>
        <v>0</v>
      </c>
      <c r="S87" s="304">
        <f t="shared" si="60"/>
        <v>0</v>
      </c>
      <c r="T87" s="283">
        <f t="shared" si="66"/>
        <v>0</v>
      </c>
      <c r="U87" s="120"/>
      <c r="V87" s="196">
        <f t="shared" si="67"/>
        <v>0</v>
      </c>
    </row>
    <row r="88" spans="1:24" hidden="1" x14ac:dyDescent="0.25">
      <c r="A88" s="14"/>
      <c r="B88" s="20"/>
      <c r="C88" s="221"/>
      <c r="D88" s="222"/>
      <c r="E88" s="222"/>
      <c r="F88" s="222"/>
      <c r="G88" s="222"/>
      <c r="H88" s="222"/>
      <c r="I88" s="222"/>
      <c r="J88" s="222"/>
      <c r="K88" s="222"/>
      <c r="L88" s="176">
        <f t="shared" si="63"/>
        <v>0</v>
      </c>
      <c r="M88" s="176">
        <f t="shared" si="64"/>
        <v>0</v>
      </c>
      <c r="N88" s="176">
        <f t="shared" si="65"/>
        <v>0</v>
      </c>
      <c r="O88" s="222"/>
      <c r="P88" s="304">
        <f t="shared" si="56"/>
        <v>0</v>
      </c>
      <c r="Q88" s="304">
        <f t="shared" si="57"/>
        <v>0</v>
      </c>
      <c r="R88" s="304">
        <f t="shared" si="58"/>
        <v>0</v>
      </c>
      <c r="S88" s="304">
        <f t="shared" si="60"/>
        <v>0</v>
      </c>
      <c r="T88" s="283">
        <f t="shared" si="66"/>
        <v>0</v>
      </c>
      <c r="U88" s="120"/>
      <c r="V88" s="196">
        <f t="shared" si="67"/>
        <v>0</v>
      </c>
    </row>
    <row r="89" spans="1:24" ht="18" customHeight="1" x14ac:dyDescent="0.25">
      <c r="A89" s="7"/>
      <c r="B89" s="474" t="s">
        <v>377</v>
      </c>
      <c r="C89" s="481">
        <f>C13+C29+C32+C83+C86</f>
        <v>30262000</v>
      </c>
      <c r="D89" s="481">
        <f t="shared" ref="D89:J89" si="70">D13+D29+D32+D83+D86</f>
        <v>30262000</v>
      </c>
      <c r="E89" s="481">
        <f t="shared" si="70"/>
        <v>33536000</v>
      </c>
      <c r="F89" s="481">
        <f t="shared" si="70"/>
        <v>0</v>
      </c>
      <c r="G89" s="481"/>
      <c r="H89" s="481">
        <f t="shared" si="70"/>
        <v>12553765</v>
      </c>
      <c r="I89" s="481">
        <f t="shared" si="70"/>
        <v>23234951</v>
      </c>
      <c r="J89" s="481">
        <f t="shared" si="70"/>
        <v>0</v>
      </c>
      <c r="K89" s="217"/>
      <c r="L89" s="85">
        <f t="shared" si="63"/>
        <v>0.41483593285308307</v>
      </c>
      <c r="M89" s="85">
        <f t="shared" si="64"/>
        <v>0.76779297468772723</v>
      </c>
      <c r="N89" s="85">
        <f t="shared" si="65"/>
        <v>0</v>
      </c>
      <c r="O89" s="217"/>
      <c r="P89" s="217">
        <f t="shared" si="56"/>
        <v>0</v>
      </c>
      <c r="Q89" s="217">
        <f t="shared" si="57"/>
        <v>3274000</v>
      </c>
      <c r="R89" s="217">
        <f t="shared" si="58"/>
        <v>0</v>
      </c>
      <c r="S89" s="217">
        <f t="shared" si="60"/>
        <v>3274000</v>
      </c>
      <c r="T89" s="283">
        <f t="shared" si="53"/>
        <v>0.10818848721168461</v>
      </c>
      <c r="U89" s="120"/>
      <c r="V89" s="196">
        <f t="shared" si="54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847"/>
      <c r="M90" s="98"/>
      <c r="N90" s="98"/>
      <c r="O90" s="98"/>
      <c r="P90" s="98"/>
      <c r="Q90" s="98"/>
      <c r="R90" s="98"/>
      <c r="S90" s="98"/>
      <c r="T90" s="98"/>
      <c r="U90" s="22"/>
      <c r="V90" s="196">
        <f t="shared" si="54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ht="12.75" customHeight="1" x14ac:dyDescent="0.25">
      <c r="A93" s="4" t="s">
        <v>241</v>
      </c>
      <c r="B93" s="3" t="s">
        <v>398</v>
      </c>
      <c r="C93" s="220">
        <v>0</v>
      </c>
      <c r="D93" s="307">
        <f>+D94</f>
        <v>0</v>
      </c>
      <c r="E93" s="307">
        <f>+E94</f>
        <v>0</v>
      </c>
      <c r="F93" s="307">
        <f>+F94</f>
        <v>0</v>
      </c>
      <c r="G93" s="307"/>
      <c r="H93" s="307">
        <f>+H94</f>
        <v>0</v>
      </c>
      <c r="I93" s="307">
        <f>+I94</f>
        <v>0</v>
      </c>
      <c r="J93" s="307">
        <f>+J94</f>
        <v>0</v>
      </c>
      <c r="K93" s="307"/>
      <c r="L93" s="85">
        <f t="shared" ref="L93:L102" si="71">IF(H93&gt;0,H93/C93,0)</f>
        <v>0</v>
      </c>
      <c r="M93" s="85">
        <f t="shared" ref="M93:M102" si="72">IF(I93&gt;0,I93/D93,0)</f>
        <v>0</v>
      </c>
      <c r="N93" s="85">
        <f t="shared" ref="N93:N102" si="73">IF(J93&gt;0,J93/E93,0)</f>
        <v>0</v>
      </c>
      <c r="O93" s="307"/>
      <c r="P93" s="307">
        <f t="shared" si="56"/>
        <v>0</v>
      </c>
      <c r="Q93" s="307">
        <f t="shared" si="57"/>
        <v>0</v>
      </c>
      <c r="R93" s="307">
        <f t="shared" si="58"/>
        <v>0</v>
      </c>
      <c r="S93" s="307">
        <f t="shared" ref="S93:S102" si="74">+P93*P$10+Q93*Q$10+R93*R$10</f>
        <v>0</v>
      </c>
      <c r="T93" s="283">
        <f t="shared" si="53"/>
        <v>0</v>
      </c>
      <c r="U93" s="120"/>
      <c r="V93" s="196">
        <f t="shared" si="54"/>
        <v>0</v>
      </c>
    </row>
    <row r="94" spans="1:24" ht="12.75" customHeight="1" x14ac:dyDescent="0.25">
      <c r="A94" s="43" t="s">
        <v>261</v>
      </c>
      <c r="B94" s="44" t="s">
        <v>397</v>
      </c>
      <c r="C94" s="308">
        <v>0</v>
      </c>
      <c r="D94" s="309">
        <v>0</v>
      </c>
      <c r="E94" s="309">
        <v>0</v>
      </c>
      <c r="F94" s="309"/>
      <c r="G94" s="309"/>
      <c r="H94" s="309">
        <v>0</v>
      </c>
      <c r="I94" s="309">
        <f>+H94</f>
        <v>0</v>
      </c>
      <c r="J94" s="309"/>
      <c r="K94" s="309"/>
      <c r="L94" s="176">
        <f t="shared" si="71"/>
        <v>0</v>
      </c>
      <c r="M94" s="176">
        <f t="shared" si="72"/>
        <v>0</v>
      </c>
      <c r="N94" s="176">
        <f t="shared" si="73"/>
        <v>0</v>
      </c>
      <c r="O94" s="309"/>
      <c r="P94" s="304">
        <f t="shared" si="56"/>
        <v>0</v>
      </c>
      <c r="Q94" s="304">
        <f t="shared" si="57"/>
        <v>0</v>
      </c>
      <c r="R94" s="304">
        <f t="shared" si="58"/>
        <v>0</v>
      </c>
      <c r="S94" s="304">
        <f t="shared" si="74"/>
        <v>0</v>
      </c>
      <c r="T94" s="283">
        <f t="shared" si="53"/>
        <v>0</v>
      </c>
      <c r="U94" s="120"/>
      <c r="V94" s="196">
        <f t="shared" si="54"/>
        <v>0</v>
      </c>
    </row>
    <row r="95" spans="1:24" s="42" customFormat="1" ht="15" customHeight="1" x14ac:dyDescent="0.25">
      <c r="A95" s="4" t="s">
        <v>284</v>
      </c>
      <c r="B95" s="3" t="s">
        <v>285</v>
      </c>
      <c r="C95" s="220">
        <f>SUM(C96:C98)</f>
        <v>1221000</v>
      </c>
      <c r="D95" s="307">
        <f>+D96+D97+D98</f>
        <v>1221000</v>
      </c>
      <c r="E95" s="307">
        <f>+E96+E97+E98</f>
        <v>1221000</v>
      </c>
      <c r="F95" s="307">
        <f>+F96+F97+F98</f>
        <v>0</v>
      </c>
      <c r="G95" s="307"/>
      <c r="H95" s="307">
        <f>+H96+H97+H98</f>
        <v>718358</v>
      </c>
      <c r="I95" s="307">
        <f>+I96+I97+I98</f>
        <v>943177</v>
      </c>
      <c r="J95" s="307">
        <f>+J96+J97+J98</f>
        <v>0</v>
      </c>
      <c r="K95" s="307"/>
      <c r="L95" s="85">
        <f t="shared" si="71"/>
        <v>0.58833579033579031</v>
      </c>
      <c r="M95" s="85">
        <f t="shared" si="72"/>
        <v>0.77246273546273547</v>
      </c>
      <c r="N95" s="85">
        <f t="shared" si="73"/>
        <v>0</v>
      </c>
      <c r="O95" s="307"/>
      <c r="P95" s="307">
        <f t="shared" si="56"/>
        <v>0</v>
      </c>
      <c r="Q95" s="307">
        <f t="shared" si="57"/>
        <v>0</v>
      </c>
      <c r="R95" s="307">
        <f t="shared" si="58"/>
        <v>0</v>
      </c>
      <c r="S95" s="307">
        <f t="shared" si="74"/>
        <v>0</v>
      </c>
      <c r="T95" s="283">
        <f t="shared" si="53"/>
        <v>0</v>
      </c>
      <c r="U95" s="120"/>
      <c r="V95" s="196">
        <f t="shared" si="54"/>
        <v>0</v>
      </c>
    </row>
    <row r="96" spans="1:24" s="8" customFormat="1" x14ac:dyDescent="0.25">
      <c r="A96" s="14" t="s">
        <v>287</v>
      </c>
      <c r="B96" s="20" t="s">
        <v>288</v>
      </c>
      <c r="C96" s="308">
        <v>1200000</v>
      </c>
      <c r="D96" s="308">
        <v>1200000</v>
      </c>
      <c r="E96" s="308">
        <v>1200000</v>
      </c>
      <c r="F96" s="309"/>
      <c r="G96" s="309"/>
      <c r="H96" s="309">
        <v>716400</v>
      </c>
      <c r="I96" s="309">
        <v>940000</v>
      </c>
      <c r="J96" s="309"/>
      <c r="K96" s="309"/>
      <c r="L96" s="176">
        <f t="shared" si="71"/>
        <v>0.59699999999999998</v>
      </c>
      <c r="M96" s="176">
        <f t="shared" si="72"/>
        <v>0.78333333333333333</v>
      </c>
      <c r="N96" s="176">
        <f t="shared" si="73"/>
        <v>0</v>
      </c>
      <c r="O96" s="309"/>
      <c r="P96" s="304">
        <f t="shared" ref="P96:P102" si="75">+(D96-C96)*P$10</f>
        <v>0</v>
      </c>
      <c r="Q96" s="304">
        <f t="shared" ref="Q96:Q102" si="76">+(E96-D96)*Q$10</f>
        <v>0</v>
      </c>
      <c r="R96" s="304">
        <f t="shared" ref="R96:R102" si="77">+(F96-E96)*R$10</f>
        <v>0</v>
      </c>
      <c r="S96" s="304">
        <f t="shared" si="74"/>
        <v>0</v>
      </c>
      <c r="T96" s="283">
        <f t="shared" si="53"/>
        <v>0</v>
      </c>
      <c r="U96" s="120"/>
      <c r="V96" s="196">
        <f t="shared" si="54"/>
        <v>0</v>
      </c>
    </row>
    <row r="97" spans="1:22" x14ac:dyDescent="0.25">
      <c r="A97" s="14" t="s">
        <v>298</v>
      </c>
      <c r="B97" s="20" t="s">
        <v>299</v>
      </c>
      <c r="C97" s="221">
        <v>11000</v>
      </c>
      <c r="D97" s="221">
        <v>11000</v>
      </c>
      <c r="E97" s="221">
        <v>11000</v>
      </c>
      <c r="F97" s="222"/>
      <c r="G97" s="222"/>
      <c r="H97" s="222"/>
      <c r="I97" s="222">
        <v>0</v>
      </c>
      <c r="J97" s="222"/>
      <c r="K97" s="222"/>
      <c r="L97" s="176">
        <f t="shared" si="71"/>
        <v>0</v>
      </c>
      <c r="M97" s="176">
        <f t="shared" si="72"/>
        <v>0</v>
      </c>
      <c r="N97" s="176">
        <f t="shared" si="73"/>
        <v>0</v>
      </c>
      <c r="O97" s="222"/>
      <c r="P97" s="304">
        <f t="shared" si="75"/>
        <v>0</v>
      </c>
      <c r="Q97" s="304">
        <f t="shared" si="76"/>
        <v>0</v>
      </c>
      <c r="R97" s="304">
        <f t="shared" si="77"/>
        <v>0</v>
      </c>
      <c r="S97" s="304">
        <f t="shared" si="74"/>
        <v>0</v>
      </c>
      <c r="T97" s="283">
        <f t="shared" si="53"/>
        <v>0</v>
      </c>
      <c r="U97" s="120"/>
      <c r="V97" s="196">
        <f t="shared" si="54"/>
        <v>0</v>
      </c>
    </row>
    <row r="98" spans="1:22" ht="27" customHeight="1" x14ac:dyDescent="0.25">
      <c r="A98" s="485" t="s">
        <v>546</v>
      </c>
      <c r="B98" s="485" t="s">
        <v>547</v>
      </c>
      <c r="C98" s="221">
        <v>10000</v>
      </c>
      <c r="D98" s="221">
        <v>10000</v>
      </c>
      <c r="E98" s="221">
        <v>10000</v>
      </c>
      <c r="F98" s="222"/>
      <c r="G98" s="222"/>
      <c r="H98" s="222">
        <f>49+1909</f>
        <v>1958</v>
      </c>
      <c r="I98" s="222">
        <f>134+3043</f>
        <v>3177</v>
      </c>
      <c r="J98" s="222"/>
      <c r="K98" s="222"/>
      <c r="L98" s="176">
        <f t="shared" si="71"/>
        <v>0.1958</v>
      </c>
      <c r="M98" s="176">
        <f t="shared" si="72"/>
        <v>0.31769999999999998</v>
      </c>
      <c r="N98" s="176">
        <f t="shared" si="73"/>
        <v>0</v>
      </c>
      <c r="O98" s="222"/>
      <c r="P98" s="304">
        <f t="shared" si="75"/>
        <v>0</v>
      </c>
      <c r="Q98" s="304">
        <f t="shared" si="76"/>
        <v>0</v>
      </c>
      <c r="R98" s="304">
        <f t="shared" si="77"/>
        <v>0</v>
      </c>
      <c r="S98" s="304">
        <f t="shared" si="74"/>
        <v>0</v>
      </c>
      <c r="T98" s="283">
        <f t="shared" si="53"/>
        <v>0</v>
      </c>
      <c r="U98" s="120"/>
      <c r="V98" s="196">
        <f t="shared" si="54"/>
        <v>0</v>
      </c>
    </row>
    <row r="99" spans="1:22" s="42" customFormat="1" x14ac:dyDescent="0.25">
      <c r="A99" s="4" t="s">
        <v>333</v>
      </c>
      <c r="B99" s="3" t="s">
        <v>334</v>
      </c>
      <c r="C99" s="310">
        <f>SUM(C100:C101)</f>
        <v>29041000</v>
      </c>
      <c r="D99" s="310">
        <f t="shared" ref="D99:J99" si="78">SUM(D100:D101)</f>
        <v>29041000</v>
      </c>
      <c r="E99" s="310">
        <f t="shared" si="78"/>
        <v>32315000</v>
      </c>
      <c r="F99" s="310">
        <f t="shared" si="78"/>
        <v>0</v>
      </c>
      <c r="G99" s="310"/>
      <c r="H99" s="310">
        <f t="shared" si="78"/>
        <v>12202714</v>
      </c>
      <c r="I99" s="310">
        <f t="shared" si="78"/>
        <v>25083522</v>
      </c>
      <c r="J99" s="310">
        <f t="shared" si="78"/>
        <v>0</v>
      </c>
      <c r="K99" s="310"/>
      <c r="L99" s="85">
        <f t="shared" si="71"/>
        <v>0.4201891808133329</v>
      </c>
      <c r="M99" s="85">
        <f t="shared" si="72"/>
        <v>0.86372790193175164</v>
      </c>
      <c r="N99" s="85">
        <f t="shared" si="73"/>
        <v>0</v>
      </c>
      <c r="O99" s="310"/>
      <c r="P99" s="310">
        <f t="shared" si="75"/>
        <v>0</v>
      </c>
      <c r="Q99" s="310">
        <f t="shared" si="76"/>
        <v>3274000</v>
      </c>
      <c r="R99" s="310">
        <f t="shared" si="77"/>
        <v>0</v>
      </c>
      <c r="S99" s="310">
        <f t="shared" si="74"/>
        <v>3274000</v>
      </c>
      <c r="T99" s="283">
        <f t="shared" si="53"/>
        <v>0.11273716469818533</v>
      </c>
      <c r="U99" s="120"/>
      <c r="V99" s="196">
        <f t="shared" si="54"/>
        <v>0</v>
      </c>
    </row>
    <row r="100" spans="1:22" x14ac:dyDescent="0.25">
      <c r="A100" s="43" t="s">
        <v>359</v>
      </c>
      <c r="B100" s="44" t="s">
        <v>389</v>
      </c>
      <c r="C100" s="221">
        <f>C105</f>
        <v>28334588</v>
      </c>
      <c r="D100" s="222">
        <v>28334588</v>
      </c>
      <c r="E100" s="222">
        <v>31608588</v>
      </c>
      <c r="F100" s="222"/>
      <c r="G100" s="222"/>
      <c r="H100" s="222">
        <v>11496302</v>
      </c>
      <c r="I100" s="222">
        <v>24377110</v>
      </c>
      <c r="J100" s="222"/>
      <c r="K100" s="222"/>
      <c r="L100" s="176">
        <f t="shared" si="71"/>
        <v>0.40573386844375503</v>
      </c>
      <c r="M100" s="176">
        <f t="shared" si="72"/>
        <v>0.86033049077685553</v>
      </c>
      <c r="N100" s="176">
        <f t="shared" si="73"/>
        <v>0</v>
      </c>
      <c r="O100" s="222"/>
      <c r="P100" s="304">
        <f t="shared" si="75"/>
        <v>0</v>
      </c>
      <c r="Q100" s="304">
        <f t="shared" si="76"/>
        <v>3274000</v>
      </c>
      <c r="R100" s="304">
        <f t="shared" si="77"/>
        <v>0</v>
      </c>
      <c r="S100" s="304">
        <f t="shared" si="74"/>
        <v>3274000</v>
      </c>
      <c r="T100" s="283">
        <f t="shared" si="53"/>
        <v>0.11554782444692685</v>
      </c>
      <c r="U100" s="120"/>
      <c r="V100" s="196">
        <f t="shared" si="54"/>
        <v>0</v>
      </c>
    </row>
    <row r="101" spans="1:22" x14ac:dyDescent="0.25">
      <c r="A101" s="14" t="s">
        <v>347</v>
      </c>
      <c r="B101" s="20" t="s">
        <v>348</v>
      </c>
      <c r="C101" s="581">
        <v>706412</v>
      </c>
      <c r="D101" s="222">
        <v>706412</v>
      </c>
      <c r="E101" s="222">
        <v>706412</v>
      </c>
      <c r="F101" s="222"/>
      <c r="G101" s="222"/>
      <c r="H101" s="222">
        <v>706412</v>
      </c>
      <c r="I101" s="222">
        <v>706412</v>
      </c>
      <c r="J101" s="222"/>
      <c r="K101" s="222"/>
      <c r="L101" s="176">
        <f t="shared" si="71"/>
        <v>1</v>
      </c>
      <c r="M101" s="176">
        <f t="shared" si="72"/>
        <v>1</v>
      </c>
      <c r="N101" s="176">
        <f t="shared" si="73"/>
        <v>0</v>
      </c>
      <c r="O101" s="222"/>
      <c r="P101" s="304">
        <f t="shared" si="75"/>
        <v>0</v>
      </c>
      <c r="Q101" s="304">
        <f t="shared" si="76"/>
        <v>0</v>
      </c>
      <c r="R101" s="304">
        <f t="shared" si="77"/>
        <v>0</v>
      </c>
      <c r="S101" s="304">
        <f t="shared" si="74"/>
        <v>0</v>
      </c>
      <c r="T101" s="283">
        <f t="shared" si="53"/>
        <v>0</v>
      </c>
      <c r="U101" s="120"/>
      <c r="V101" s="196">
        <f t="shared" si="54"/>
        <v>0</v>
      </c>
    </row>
    <row r="102" spans="1:22" ht="23.25" customHeight="1" x14ac:dyDescent="0.25">
      <c r="A102" s="5"/>
      <c r="B102" s="5" t="s">
        <v>376</v>
      </c>
      <c r="C102" s="217">
        <f>+C93+C95+C99</f>
        <v>30262000</v>
      </c>
      <c r="D102" s="217">
        <f>+D93+D95+D99</f>
        <v>30262000</v>
      </c>
      <c r="E102" s="217">
        <f>+E93+E95+E99</f>
        <v>33536000</v>
      </c>
      <c r="F102" s="217">
        <f>+F93+F95+F99</f>
        <v>0</v>
      </c>
      <c r="G102" s="217"/>
      <c r="H102" s="217">
        <f>+H93+H95+H99</f>
        <v>12921072</v>
      </c>
      <c r="I102" s="217">
        <f>+I93+I95+I99</f>
        <v>26026699</v>
      </c>
      <c r="J102" s="217">
        <f>+J93+J95+J99</f>
        <v>0</v>
      </c>
      <c r="K102" s="217"/>
      <c r="L102" s="85">
        <f t="shared" si="71"/>
        <v>0.42697349811644969</v>
      </c>
      <c r="M102" s="85">
        <f t="shared" si="72"/>
        <v>0.8600455687000198</v>
      </c>
      <c r="N102" s="85">
        <f t="shared" si="73"/>
        <v>0</v>
      </c>
      <c r="O102" s="217"/>
      <c r="P102" s="217">
        <f t="shared" si="75"/>
        <v>0</v>
      </c>
      <c r="Q102" s="217">
        <f t="shared" si="76"/>
        <v>3274000</v>
      </c>
      <c r="R102" s="217">
        <f t="shared" si="77"/>
        <v>0</v>
      </c>
      <c r="S102" s="217">
        <f t="shared" si="74"/>
        <v>3274000</v>
      </c>
      <c r="T102" s="283">
        <f t="shared" si="53"/>
        <v>0.10818848721168461</v>
      </c>
      <c r="U102" s="120"/>
      <c r="V102" s="196">
        <f t="shared" si="54"/>
        <v>0</v>
      </c>
    </row>
    <row r="103" spans="1:22" x14ac:dyDescent="0.25">
      <c r="C103" s="282"/>
      <c r="D103" s="281"/>
      <c r="E103" s="281"/>
      <c r="F103" s="281"/>
      <c r="G103" s="281"/>
      <c r="H103" s="281"/>
      <c r="I103" s="281"/>
      <c r="J103" s="281"/>
      <c r="K103" s="281"/>
      <c r="O103" s="281"/>
      <c r="P103" s="281"/>
      <c r="Q103" s="281"/>
      <c r="R103" s="281"/>
      <c r="S103" s="281"/>
    </row>
    <row r="104" spans="1:22" x14ac:dyDescent="0.25">
      <c r="C104" s="282"/>
      <c r="D104" s="282"/>
      <c r="E104" s="282"/>
      <c r="F104" s="282"/>
      <c r="G104" s="282"/>
      <c r="H104" s="282"/>
      <c r="I104" s="282"/>
      <c r="J104" s="282"/>
      <c r="K104" s="282"/>
      <c r="O104" s="282"/>
      <c r="P104" s="282"/>
      <c r="Q104" s="282"/>
      <c r="R104" s="282"/>
      <c r="S104" s="282"/>
    </row>
    <row r="105" spans="1:22" x14ac:dyDescent="0.25">
      <c r="C105" s="282">
        <f>+C89-C95-C101</f>
        <v>28334588</v>
      </c>
      <c r="D105" s="282"/>
      <c r="E105" s="282"/>
      <c r="F105" s="282"/>
      <c r="G105" s="282"/>
      <c r="H105" s="282"/>
      <c r="I105" s="282"/>
      <c r="J105" s="282"/>
      <c r="K105" s="282"/>
      <c r="O105" s="282"/>
      <c r="P105" s="282"/>
      <c r="Q105" s="282"/>
      <c r="R105" s="282"/>
      <c r="S105" s="282"/>
    </row>
    <row r="106" spans="1:22" x14ac:dyDescent="0.25">
      <c r="C106" s="282"/>
      <c r="D106" s="282"/>
      <c r="E106" s="282"/>
      <c r="F106" s="282"/>
      <c r="G106" s="282"/>
      <c r="H106" s="282"/>
      <c r="I106" s="282"/>
      <c r="J106" s="282"/>
      <c r="K106" s="282"/>
      <c r="O106" s="282"/>
      <c r="P106" s="282"/>
      <c r="Q106" s="282"/>
      <c r="R106" s="282"/>
      <c r="S106" s="282"/>
    </row>
    <row r="107" spans="1:22" x14ac:dyDescent="0.25">
      <c r="A107" s="59"/>
      <c r="B107" s="59" t="s">
        <v>544</v>
      </c>
      <c r="C107" s="282">
        <f>+' 2. Önk. Bevételek'!C18</f>
        <v>10194250</v>
      </c>
      <c r="D107" s="282"/>
      <c r="E107" s="282"/>
      <c r="F107" s="282"/>
      <c r="G107" s="282"/>
      <c r="H107" s="282"/>
      <c r="I107" s="282"/>
      <c r="J107" s="282"/>
      <c r="K107" s="282"/>
      <c r="O107" s="282"/>
      <c r="P107" s="282"/>
      <c r="Q107" s="282"/>
      <c r="R107" s="282"/>
      <c r="S107" s="282"/>
    </row>
    <row r="108" spans="1:22" x14ac:dyDescent="0.25">
      <c r="B108" s="59" t="s">
        <v>545</v>
      </c>
      <c r="C108" s="282">
        <f>+C100-C107</f>
        <v>18140338</v>
      </c>
      <c r="D108" s="282"/>
      <c r="E108" s="282"/>
      <c r="F108" s="282"/>
      <c r="G108" s="282"/>
      <c r="H108" s="282"/>
      <c r="I108" s="282"/>
      <c r="J108" s="282"/>
      <c r="K108" s="282"/>
      <c r="O108" s="282"/>
      <c r="P108" s="282"/>
      <c r="Q108" s="282"/>
      <c r="R108" s="282"/>
      <c r="S108" s="282"/>
    </row>
    <row r="109" spans="1:22" x14ac:dyDescent="0.25">
      <c r="C109" s="282"/>
      <c r="D109" s="282"/>
      <c r="E109" s="282"/>
      <c r="F109" s="282"/>
      <c r="G109" s="282"/>
      <c r="H109" s="282"/>
      <c r="I109" s="282"/>
      <c r="J109" s="282"/>
      <c r="K109" s="282"/>
      <c r="O109" s="282"/>
      <c r="P109" s="282"/>
      <c r="Q109" s="282"/>
      <c r="R109" s="282"/>
      <c r="S109" s="282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69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A89" zoomScale="115" zoomScaleNormal="100" zoomScaleSheetLayoutView="115" workbookViewId="0">
      <selection activeCell="B3" sqref="B3"/>
    </sheetView>
  </sheetViews>
  <sheetFormatPr defaultRowHeight="12.75" customHeight="1" x14ac:dyDescent="0.25"/>
  <cols>
    <col min="1" max="1" width="6.44140625" style="13" bestFit="1" customWidth="1"/>
    <col min="2" max="2" width="48.5546875" style="13" customWidth="1"/>
    <col min="3" max="5" width="15.5546875" style="13" customWidth="1"/>
    <col min="6" max="6" width="15.5546875" style="13" hidden="1" customWidth="1"/>
    <col min="7" max="7" width="1.5546875" style="13" customWidth="1"/>
    <col min="8" max="9" width="15.5546875" style="13" customWidth="1"/>
    <col min="10" max="10" width="15.5546875" style="13" hidden="1" customWidth="1"/>
    <col min="11" max="11" width="1.5546875" style="13" customWidth="1"/>
    <col min="12" max="13" width="10.5546875" style="13" customWidth="1"/>
    <col min="14" max="14" width="10.5546875" style="13" hidden="1" customWidth="1"/>
    <col min="15" max="15" width="1.5546875" style="13" customWidth="1"/>
    <col min="16" max="17" width="14.5546875" style="13" customWidth="1"/>
    <col min="18" max="18" width="14.5546875" style="13" hidden="1" customWidth="1"/>
    <col min="19" max="19" width="14.5546875" style="13" customWidth="1"/>
    <col min="21" max="21" width="0.6640625" customWidth="1"/>
    <col min="23" max="23" width="14.5546875" bestFit="1" customWidth="1"/>
  </cols>
  <sheetData>
    <row r="1" spans="1:27" ht="24.6" x14ac:dyDescent="0.4">
      <c r="A1" s="301" t="s">
        <v>430</v>
      </c>
      <c r="B1" s="229"/>
      <c r="C1" s="229"/>
      <c r="D1" s="229"/>
      <c r="G1" s="228"/>
      <c r="H1" s="227"/>
      <c r="I1" s="231"/>
      <c r="J1" s="225" t="str">
        <f>+'1. Sülysáp összesen'!J1</f>
        <v>2019. ÉV KÖLTSÉGVETÉS</v>
      </c>
      <c r="K1" s="231"/>
      <c r="L1" s="227"/>
      <c r="M1" s="227"/>
      <c r="N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7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7" ht="13.2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88"/>
      <c r="P4" s="88"/>
      <c r="Q4" s="88"/>
      <c r="R4" s="88"/>
      <c r="S4" s="88"/>
      <c r="T4" s="88"/>
      <c r="U4" s="269"/>
      <c r="V4" s="255"/>
      <c r="W4" s="122"/>
      <c r="X4" s="122"/>
    </row>
    <row r="5" spans="1:27" ht="20.100000000000001" customHeight="1" x14ac:dyDescent="0.3">
      <c r="A5" s="251"/>
      <c r="B5" s="251" t="s">
        <v>377</v>
      </c>
      <c r="C5" s="252">
        <f>+C89</f>
        <v>106343000</v>
      </c>
      <c r="D5" s="252">
        <f t="shared" ref="D5:E5" si="0">+D89</f>
        <v>106343000</v>
      </c>
      <c r="E5" s="252">
        <f t="shared" si="0"/>
        <v>106343000</v>
      </c>
      <c r="F5" s="252">
        <f>+F89</f>
        <v>0</v>
      </c>
      <c r="G5" s="252"/>
      <c r="H5" s="252">
        <f>+H89</f>
        <v>53458479</v>
      </c>
      <c r="I5" s="252">
        <f t="shared" ref="I5:J5" si="1">+I89</f>
        <v>71780982</v>
      </c>
      <c r="J5" s="252">
        <f t="shared" si="1"/>
        <v>0</v>
      </c>
      <c r="K5" s="89"/>
      <c r="L5" s="701">
        <f t="shared" ref="L5:N6" si="2">IF(H5&gt;0,H5/C5,0)</f>
        <v>0.50269861674017091</v>
      </c>
      <c r="M5" s="701">
        <f t="shared" si="2"/>
        <v>0.67499489388112055</v>
      </c>
      <c r="N5" s="701">
        <f t="shared" si="2"/>
        <v>0</v>
      </c>
      <c r="O5" s="89"/>
      <c r="P5" s="252">
        <f>+P89</f>
        <v>0</v>
      </c>
      <c r="Q5" s="252">
        <f>+Q89</f>
        <v>0</v>
      </c>
      <c r="R5" s="252">
        <f>+R89</f>
        <v>0</v>
      </c>
      <c r="S5" s="252">
        <f>+S89</f>
        <v>0</v>
      </c>
      <c r="T5" s="133">
        <f>IF(C5=0,0,+S5/C5)</f>
        <v>0</v>
      </c>
      <c r="U5" s="118"/>
      <c r="V5" s="199">
        <f t="shared" ref="V5:V7" si="3">+S5-E5+C5</f>
        <v>0</v>
      </c>
      <c r="W5" s="122"/>
      <c r="X5" s="122"/>
    </row>
    <row r="6" spans="1:27" ht="20.100000000000001" customHeight="1" x14ac:dyDescent="0.3">
      <c r="A6" s="253"/>
      <c r="B6" s="253" t="s">
        <v>376</v>
      </c>
      <c r="C6" s="254">
        <f>+C102</f>
        <v>106343000</v>
      </c>
      <c r="D6" s="254">
        <f t="shared" ref="D6:J6" si="4">+D102</f>
        <v>106343000</v>
      </c>
      <c r="E6" s="254">
        <f t="shared" si="4"/>
        <v>106343000</v>
      </c>
      <c r="F6" s="254">
        <f t="shared" si="4"/>
        <v>0</v>
      </c>
      <c r="G6" s="254"/>
      <c r="H6" s="254">
        <f t="shared" si="4"/>
        <v>57190921</v>
      </c>
      <c r="I6" s="254">
        <f t="shared" si="4"/>
        <v>76531358</v>
      </c>
      <c r="J6" s="254">
        <f t="shared" si="4"/>
        <v>0</v>
      </c>
      <c r="K6" s="67"/>
      <c r="L6" s="701">
        <f t="shared" si="2"/>
        <v>0.53779676142294275</v>
      </c>
      <c r="M6" s="701">
        <f t="shared" si="2"/>
        <v>0.71966521538794281</v>
      </c>
      <c r="N6" s="701">
        <f t="shared" si="2"/>
        <v>0</v>
      </c>
      <c r="O6" s="67"/>
      <c r="P6" s="254">
        <f>+P102</f>
        <v>0</v>
      </c>
      <c r="Q6" s="254">
        <f t="shared" ref="Q6:S6" si="5">+Q102</f>
        <v>0</v>
      </c>
      <c r="R6" s="254">
        <f t="shared" si="5"/>
        <v>0</v>
      </c>
      <c r="S6" s="254">
        <f t="shared" si="5"/>
        <v>0</v>
      </c>
      <c r="T6" s="31">
        <f>IF(C6=0,0,+S6/C6)</f>
        <v>0</v>
      </c>
      <c r="U6" s="118"/>
      <c r="V6" s="199">
        <f t="shared" si="3"/>
        <v>0</v>
      </c>
      <c r="W6" s="122"/>
      <c r="X6" s="122"/>
    </row>
    <row r="7" spans="1:27" ht="20.100000000000001" customHeight="1" x14ac:dyDescent="0.3">
      <c r="A7" s="253"/>
      <c r="B7" s="253" t="s">
        <v>411</v>
      </c>
      <c r="C7" s="254">
        <f>+C6-C5</f>
        <v>0</v>
      </c>
      <c r="D7" s="254">
        <f t="shared" ref="D7:H7" si="6">+D6-D5</f>
        <v>0</v>
      </c>
      <c r="E7" s="254">
        <f t="shared" si="6"/>
        <v>0</v>
      </c>
      <c r="F7" s="254">
        <f t="shared" si="6"/>
        <v>0</v>
      </c>
      <c r="G7" s="254"/>
      <c r="H7" s="254">
        <f t="shared" si="6"/>
        <v>3732442</v>
      </c>
      <c r="I7" s="254">
        <f>+I6-I5</f>
        <v>4750376</v>
      </c>
      <c r="J7" s="254">
        <f t="shared" ref="J7" si="7">+J6-J5</f>
        <v>0</v>
      </c>
      <c r="K7" s="67"/>
      <c r="L7" s="701"/>
      <c r="M7" s="701"/>
      <c r="N7" s="701"/>
      <c r="O7" s="67"/>
      <c r="P7" s="254">
        <f t="shared" ref="P7:S7" si="8">+P6-P5</f>
        <v>0</v>
      </c>
      <c r="Q7" s="254">
        <f t="shared" si="8"/>
        <v>0</v>
      </c>
      <c r="R7" s="254">
        <f t="shared" si="8"/>
        <v>0</v>
      </c>
      <c r="S7" s="254">
        <f t="shared" si="8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7" ht="13.2" x14ac:dyDescent="0.25">
      <c r="A8" s="237"/>
      <c r="B8" s="238"/>
      <c r="C8" s="671"/>
      <c r="D8" s="672"/>
      <c r="E8" s="672"/>
      <c r="F8" s="672"/>
      <c r="G8" s="673"/>
      <c r="H8" s="673"/>
      <c r="I8" s="673"/>
      <c r="J8" s="673"/>
      <c r="K8" s="673"/>
      <c r="L8" s="653"/>
      <c r="M8" s="653"/>
      <c r="N8" s="653"/>
      <c r="O8" s="94"/>
      <c r="P8" s="81"/>
      <c r="Q8" s="81"/>
      <c r="R8" s="81"/>
      <c r="S8" s="81"/>
      <c r="T8" s="152"/>
      <c r="U8" s="120"/>
      <c r="V8" s="196"/>
      <c r="W8" s="122"/>
      <c r="X8" s="122"/>
    </row>
    <row r="9" spans="1:27" ht="15.6" x14ac:dyDescent="0.3">
      <c r="A9" s="62"/>
      <c r="B9" s="239"/>
      <c r="C9" s="912" t="s">
        <v>410</v>
      </c>
      <c r="D9" s="920"/>
      <c r="E9" s="920"/>
      <c r="F9" s="921"/>
      <c r="G9" s="154"/>
      <c r="H9" s="912" t="s">
        <v>409</v>
      </c>
      <c r="I9" s="920"/>
      <c r="J9" s="920"/>
      <c r="K9" s="920"/>
      <c r="L9" s="920"/>
      <c r="M9" s="920"/>
      <c r="N9" s="921"/>
      <c r="O9" s="154"/>
      <c r="P9" s="912" t="s">
        <v>406</v>
      </c>
      <c r="Q9" s="920"/>
      <c r="R9" s="920"/>
      <c r="S9" s="920"/>
      <c r="T9" s="921"/>
      <c r="U9" s="200"/>
      <c r="V9" s="196"/>
      <c r="W9" s="122"/>
      <c r="X9" s="122"/>
    </row>
    <row r="10" spans="1:27" ht="13.2" x14ac:dyDescent="0.25">
      <c r="A10" s="270"/>
      <c r="B10" s="269"/>
      <c r="C10" s="235"/>
      <c r="D10" s="88"/>
      <c r="E10" s="88"/>
      <c r="F10" s="236"/>
      <c r="G10" s="134"/>
      <c r="H10" s="909" t="s">
        <v>422</v>
      </c>
      <c r="I10" s="922"/>
      <c r="J10" s="923"/>
      <c r="K10" s="134"/>
      <c r="L10" s="909" t="s">
        <v>421</v>
      </c>
      <c r="M10" s="922"/>
      <c r="N10" s="923"/>
      <c r="O10" s="134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7" ht="61.2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510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  <c r="W11" s="122"/>
      <c r="X11" s="122"/>
    </row>
    <row r="12" spans="1:27" ht="12.75" customHeight="1" x14ac:dyDescent="0.25">
      <c r="A12" s="14"/>
      <c r="B12" s="20"/>
      <c r="C12" s="311"/>
      <c r="D12" s="312"/>
      <c r="E12" s="312"/>
      <c r="F12" s="312"/>
      <c r="G12" s="312"/>
      <c r="H12" s="312"/>
      <c r="I12" s="312"/>
      <c r="J12" s="312"/>
      <c r="K12" s="312"/>
      <c r="L12" s="649"/>
      <c r="M12" s="649"/>
      <c r="N12" s="649"/>
      <c r="O12" s="312"/>
      <c r="P12" s="312"/>
      <c r="Q12" s="312"/>
      <c r="R12" s="312"/>
      <c r="S12" s="312"/>
    </row>
    <row r="13" spans="1:27" ht="12.75" customHeight="1" x14ac:dyDescent="0.25">
      <c r="A13" s="7" t="s">
        <v>0</v>
      </c>
      <c r="B13" s="5" t="s">
        <v>3</v>
      </c>
      <c r="C13" s="313">
        <f>+C14+C24</f>
        <v>29372000</v>
      </c>
      <c r="D13" s="313">
        <f t="shared" ref="D13:I13" si="9">+D14+D24</f>
        <v>29372000</v>
      </c>
      <c r="E13" s="313">
        <f t="shared" si="9"/>
        <v>29372000</v>
      </c>
      <c r="F13" s="313">
        <f t="shared" si="9"/>
        <v>0</v>
      </c>
      <c r="G13" s="313"/>
      <c r="H13" s="313">
        <f t="shared" si="9"/>
        <v>14524060</v>
      </c>
      <c r="I13" s="313">
        <f t="shared" si="9"/>
        <v>22067739</v>
      </c>
      <c r="J13" s="313">
        <f t="shared" ref="J13" si="10">SUM(J14:J28)</f>
        <v>0</v>
      </c>
      <c r="K13" s="313"/>
      <c r="L13" s="650">
        <f t="shared" ref="L13" si="11">+H13/C13</f>
        <v>0.49448658586408822</v>
      </c>
      <c r="M13" s="650">
        <f t="shared" ref="M13:N13" si="12">+I13/D13</f>
        <v>0.75131890916519128</v>
      </c>
      <c r="N13" s="650">
        <f t="shared" si="12"/>
        <v>0</v>
      </c>
      <c r="O13" s="313"/>
      <c r="P13" s="314">
        <f t="shared" ref="P13:P14" si="13">+(D13-C13)*P$10</f>
        <v>0</v>
      </c>
      <c r="Q13" s="314">
        <f t="shared" ref="Q13:Q14" si="14">+(E13-D13)*Q$10</f>
        <v>0</v>
      </c>
      <c r="R13" s="314">
        <f t="shared" ref="R13:R14" si="15">+(F13-E13)*R$10</f>
        <v>0</v>
      </c>
      <c r="S13" s="314">
        <f t="shared" ref="S13:S14" si="16">+P13*P$10+Q13*Q$10+R13*R$10</f>
        <v>0</v>
      </c>
      <c r="T13" s="284">
        <f>IF('8. WAMKK'!C13=0,0,+S13/'8. WAMKK'!C13)</f>
        <v>0</v>
      </c>
      <c r="U13" s="120"/>
      <c r="V13" s="196">
        <f t="shared" ref="V13:V71" si="17">+S13-E13+C13</f>
        <v>0</v>
      </c>
    </row>
    <row r="14" spans="1:27" ht="12.75" customHeight="1" x14ac:dyDescent="0.25">
      <c r="A14" s="38" t="s">
        <v>1</v>
      </c>
      <c r="B14" s="20"/>
      <c r="C14" s="813">
        <f>SUM(C15:C23)</f>
        <v>28892000</v>
      </c>
      <c r="D14" s="813">
        <f t="shared" ref="D14:I14" si="18">SUM(D15:D23)</f>
        <v>28892000</v>
      </c>
      <c r="E14" s="813">
        <f t="shared" si="18"/>
        <v>28892000</v>
      </c>
      <c r="F14" s="813">
        <f t="shared" si="18"/>
        <v>0</v>
      </c>
      <c r="G14" s="813"/>
      <c r="H14" s="813">
        <f t="shared" si="18"/>
        <v>14214460</v>
      </c>
      <c r="I14" s="813">
        <f t="shared" si="18"/>
        <v>21606389</v>
      </c>
      <c r="J14" s="312"/>
      <c r="K14" s="312"/>
      <c r="L14" s="814">
        <f t="shared" ref="L14" si="19">IF(H14&gt;0,H14/C14,0)</f>
        <v>0.49198601689048871</v>
      </c>
      <c r="M14" s="814">
        <f t="shared" ref="M14" si="20">IF(I14&gt;0,I14/D14,0)</f>
        <v>0.74783292953066594</v>
      </c>
      <c r="N14" s="649"/>
      <c r="O14" s="312"/>
      <c r="P14" s="312">
        <f t="shared" si="13"/>
        <v>0</v>
      </c>
      <c r="Q14" s="312">
        <f t="shared" si="14"/>
        <v>0</v>
      </c>
      <c r="R14" s="312">
        <f t="shared" si="15"/>
        <v>0</v>
      </c>
      <c r="S14" s="312">
        <f t="shared" si="16"/>
        <v>0</v>
      </c>
      <c r="T14" s="283">
        <f>IF('8. WAMKK'!C14=0,0,+S14/'8. WAMKK'!C14)</f>
        <v>0</v>
      </c>
      <c r="U14" s="120"/>
      <c r="V14" s="196">
        <f t="shared" si="17"/>
        <v>0</v>
      </c>
    </row>
    <row r="15" spans="1:27" ht="12.75" customHeight="1" x14ac:dyDescent="0.25">
      <c r="A15" s="14" t="s">
        <v>2</v>
      </c>
      <c r="B15" s="485" t="s">
        <v>400</v>
      </c>
      <c r="C15" s="311">
        <f>26966000-500000</f>
        <v>26466000</v>
      </c>
      <c r="D15" s="311">
        <f>26966000-500000</f>
        <v>26466000</v>
      </c>
      <c r="E15" s="165">
        <v>26466000</v>
      </c>
      <c r="F15" s="165"/>
      <c r="G15" s="165"/>
      <c r="H15" s="165">
        <v>13517853</v>
      </c>
      <c r="I15" s="165">
        <v>20196558</v>
      </c>
      <c r="J15" s="165"/>
      <c r="K15" s="165"/>
      <c r="L15" s="651">
        <f t="shared" ref="L15:L27" si="21">IF(H15&gt;0,H15/C15,0)</f>
        <v>0.51076297891634548</v>
      </c>
      <c r="M15" s="651">
        <f t="shared" ref="M15:M27" si="22">IF(I15&gt;0,I15/D15,0)</f>
        <v>0.76311335298118343</v>
      </c>
      <c r="N15" s="651">
        <f t="shared" ref="N15:N27" si="23">IF(J15&gt;0,J15/E15,0)</f>
        <v>0</v>
      </c>
      <c r="O15" s="165"/>
      <c r="P15" s="304">
        <f>+(D15-C15)*P$10</f>
        <v>0</v>
      </c>
      <c r="Q15" s="304">
        <f t="shared" ref="Q15:R15" si="24">+(E15-D15)*Q$10</f>
        <v>0</v>
      </c>
      <c r="R15" s="304">
        <f t="shared" si="24"/>
        <v>0</v>
      </c>
      <c r="S15" s="304">
        <f>+P15*P$10+Q15*Q$10+R15*R$10</f>
        <v>0</v>
      </c>
      <c r="T15" s="283">
        <f>IF('8. WAMKK'!C15=0,0,+S15/'8. WAMKK'!C15)</f>
        <v>0</v>
      </c>
      <c r="U15" s="120"/>
      <c r="V15" s="196">
        <f t="shared" si="17"/>
        <v>0</v>
      </c>
    </row>
    <row r="16" spans="1:27" ht="12.75" customHeight="1" x14ac:dyDescent="0.25">
      <c r="A16" s="14" t="s">
        <v>12</v>
      </c>
      <c r="B16" s="20" t="s">
        <v>4</v>
      </c>
      <c r="C16" s="311"/>
      <c r="D16" s="311"/>
      <c r="E16" s="165"/>
      <c r="F16" s="165"/>
      <c r="G16" s="165"/>
      <c r="H16" s="165"/>
      <c r="I16" s="165"/>
      <c r="J16" s="165"/>
      <c r="K16" s="165"/>
      <c r="L16" s="651">
        <f t="shared" si="21"/>
        <v>0</v>
      </c>
      <c r="M16" s="651">
        <f t="shared" si="22"/>
        <v>0</v>
      </c>
      <c r="N16" s="651">
        <f t="shared" si="23"/>
        <v>0</v>
      </c>
      <c r="O16" s="165"/>
      <c r="P16" s="165">
        <f t="shared" ref="P16:P79" si="25">+(D16-C16)*P$10</f>
        <v>0</v>
      </c>
      <c r="Q16" s="165">
        <f t="shared" ref="Q16:Q79" si="26">+(E16-D16)*Q$10</f>
        <v>0</v>
      </c>
      <c r="R16" s="165">
        <f t="shared" ref="R16:R79" si="27">+(F16-E16)*R$10</f>
        <v>0</v>
      </c>
      <c r="S16" s="165">
        <f t="shared" ref="S16:S79" si="28">+P16*P$10+Q16*Q$10+R16*R$10</f>
        <v>0</v>
      </c>
      <c r="T16" s="283">
        <f>IF('8. WAMKK'!C16=0,0,+S16/'8. WAMKK'!C16)</f>
        <v>0</v>
      </c>
      <c r="U16" s="120"/>
      <c r="V16" s="196">
        <f t="shared" si="17"/>
        <v>0</v>
      </c>
    </row>
    <row r="17" spans="1:22" ht="12.75" customHeight="1" x14ac:dyDescent="0.25">
      <c r="A17" s="14" t="s">
        <v>13</v>
      </c>
      <c r="B17" s="20" t="s">
        <v>5</v>
      </c>
      <c r="C17" s="311"/>
      <c r="D17" s="311"/>
      <c r="E17" s="165"/>
      <c r="F17" s="165"/>
      <c r="G17" s="165"/>
      <c r="H17" s="165"/>
      <c r="I17" s="165"/>
      <c r="J17" s="165"/>
      <c r="K17" s="165"/>
      <c r="L17" s="651">
        <f t="shared" si="21"/>
        <v>0</v>
      </c>
      <c r="M17" s="651">
        <f t="shared" si="22"/>
        <v>0</v>
      </c>
      <c r="N17" s="651">
        <f t="shared" si="23"/>
        <v>0</v>
      </c>
      <c r="O17" s="165"/>
      <c r="P17" s="165">
        <f t="shared" si="25"/>
        <v>0</v>
      </c>
      <c r="Q17" s="165">
        <f t="shared" si="26"/>
        <v>0</v>
      </c>
      <c r="R17" s="165">
        <f t="shared" si="27"/>
        <v>0</v>
      </c>
      <c r="S17" s="165">
        <f t="shared" si="28"/>
        <v>0</v>
      </c>
      <c r="T17" s="283">
        <f>IF('8. WAMKK'!C17=0,0,+S17/'8. WAMKK'!C17)</f>
        <v>0</v>
      </c>
      <c r="U17" s="120"/>
      <c r="V17" s="196">
        <f t="shared" si="17"/>
        <v>0</v>
      </c>
    </row>
    <row r="18" spans="1:22" ht="12.75" customHeight="1" x14ac:dyDescent="0.25">
      <c r="A18" s="532" t="s">
        <v>385</v>
      </c>
      <c r="B18" s="20" t="s">
        <v>6</v>
      </c>
      <c r="C18" s="311">
        <v>576000</v>
      </c>
      <c r="D18" s="311">
        <v>576000</v>
      </c>
      <c r="E18" s="311">
        <v>576000</v>
      </c>
      <c r="F18" s="165"/>
      <c r="G18" s="165"/>
      <c r="H18" s="165">
        <v>576000</v>
      </c>
      <c r="I18" s="165">
        <v>576000</v>
      </c>
      <c r="J18" s="165"/>
      <c r="K18" s="165"/>
      <c r="L18" s="651">
        <f t="shared" si="21"/>
        <v>1</v>
      </c>
      <c r="M18" s="651">
        <f t="shared" si="22"/>
        <v>1</v>
      </c>
      <c r="N18" s="651">
        <f t="shared" si="23"/>
        <v>0</v>
      </c>
      <c r="O18" s="165"/>
      <c r="P18" s="304">
        <f t="shared" si="25"/>
        <v>0</v>
      </c>
      <c r="Q18" s="304">
        <f t="shared" si="26"/>
        <v>0</v>
      </c>
      <c r="R18" s="304">
        <f t="shared" si="27"/>
        <v>0</v>
      </c>
      <c r="S18" s="304">
        <f t="shared" si="28"/>
        <v>0</v>
      </c>
      <c r="T18" s="283">
        <f>IF('8. WAMKK'!C18=0,0,+S18/'8. WAMKK'!C18)</f>
        <v>0</v>
      </c>
      <c r="U18" s="120"/>
      <c r="V18" s="196">
        <f t="shared" si="17"/>
        <v>0</v>
      </c>
    </row>
    <row r="19" spans="1:22" ht="12.75" customHeight="1" x14ac:dyDescent="0.25">
      <c r="A19" s="14" t="s">
        <v>14</v>
      </c>
      <c r="B19" s="20" t="s">
        <v>7</v>
      </c>
      <c r="C19" s="311">
        <f>5000*12*13</f>
        <v>780000</v>
      </c>
      <c r="D19" s="311">
        <f>5000*12*13</f>
        <v>780000</v>
      </c>
      <c r="E19" s="311">
        <f>237933+542067</f>
        <v>780000</v>
      </c>
      <c r="F19" s="165"/>
      <c r="G19" s="165"/>
      <c r="H19" s="165">
        <v>0</v>
      </c>
      <c r="I19" s="165">
        <v>542067</v>
      </c>
      <c r="J19" s="165"/>
      <c r="K19" s="165"/>
      <c r="L19" s="651">
        <f t="shared" si="21"/>
        <v>0</v>
      </c>
      <c r="M19" s="651">
        <f t="shared" si="22"/>
        <v>0.69495769230769233</v>
      </c>
      <c r="N19" s="651">
        <f t="shared" si="23"/>
        <v>0</v>
      </c>
      <c r="O19" s="165"/>
      <c r="P19" s="304">
        <f t="shared" si="25"/>
        <v>0</v>
      </c>
      <c r="Q19" s="304">
        <f t="shared" si="26"/>
        <v>0</v>
      </c>
      <c r="R19" s="304">
        <f t="shared" si="27"/>
        <v>0</v>
      </c>
      <c r="S19" s="304">
        <f t="shared" si="28"/>
        <v>0</v>
      </c>
      <c r="T19" s="283">
        <f>IF('8. WAMKK'!C19=0,0,+S19/'8. WAMKK'!C19)</f>
        <v>0</v>
      </c>
      <c r="U19" s="120"/>
      <c r="V19" s="196">
        <f t="shared" si="17"/>
        <v>0</v>
      </c>
    </row>
    <row r="20" spans="1:22" ht="12.75" customHeight="1" x14ac:dyDescent="0.25">
      <c r="A20" s="14" t="s">
        <v>15</v>
      </c>
      <c r="B20" s="20" t="s">
        <v>8</v>
      </c>
      <c r="C20" s="311">
        <f>13*40000</f>
        <v>520000</v>
      </c>
      <c r="D20" s="311">
        <f>13*40000</f>
        <v>520000</v>
      </c>
      <c r="E20" s="311">
        <f>13*40000</f>
        <v>520000</v>
      </c>
      <c r="F20" s="165"/>
      <c r="G20" s="165"/>
      <c r="H20" s="165">
        <v>0</v>
      </c>
      <c r="I20" s="165"/>
      <c r="J20" s="165"/>
      <c r="K20" s="165"/>
      <c r="L20" s="651">
        <f t="shared" si="21"/>
        <v>0</v>
      </c>
      <c r="M20" s="651">
        <f t="shared" si="22"/>
        <v>0</v>
      </c>
      <c r="N20" s="651">
        <f t="shared" si="23"/>
        <v>0</v>
      </c>
      <c r="O20" s="165"/>
      <c r="P20" s="165">
        <f t="shared" si="25"/>
        <v>0</v>
      </c>
      <c r="Q20" s="165">
        <f t="shared" si="26"/>
        <v>0</v>
      </c>
      <c r="R20" s="165">
        <f t="shared" si="27"/>
        <v>0</v>
      </c>
      <c r="S20" s="165">
        <f t="shared" si="28"/>
        <v>0</v>
      </c>
      <c r="T20" s="283">
        <f>IF('8. WAMKK'!C20=0,0,+S20/'8. WAMKK'!C20)</f>
        <v>0</v>
      </c>
      <c r="U20" s="120"/>
      <c r="V20" s="196">
        <f t="shared" si="17"/>
        <v>0</v>
      </c>
    </row>
    <row r="21" spans="1:22" ht="12.75" customHeight="1" x14ac:dyDescent="0.25">
      <c r="A21" s="14" t="s">
        <v>16</v>
      </c>
      <c r="B21" s="20" t="s">
        <v>9</v>
      </c>
      <c r="C21" s="311">
        <v>50000</v>
      </c>
      <c r="D21" s="311">
        <v>50000</v>
      </c>
      <c r="E21" s="311">
        <v>50000</v>
      </c>
      <c r="F21" s="165"/>
      <c r="G21" s="165"/>
      <c r="H21" s="165">
        <v>13390</v>
      </c>
      <c r="I21" s="165">
        <v>35635</v>
      </c>
      <c r="J21" s="165"/>
      <c r="K21" s="165"/>
      <c r="L21" s="651">
        <f t="shared" si="21"/>
        <v>0.26779999999999998</v>
      </c>
      <c r="M21" s="651">
        <f t="shared" si="22"/>
        <v>0.7127</v>
      </c>
      <c r="N21" s="651">
        <f t="shared" si="23"/>
        <v>0</v>
      </c>
      <c r="O21" s="165"/>
      <c r="P21" s="304">
        <f t="shared" si="25"/>
        <v>0</v>
      </c>
      <c r="Q21" s="304">
        <f t="shared" si="26"/>
        <v>0</v>
      </c>
      <c r="R21" s="304">
        <f t="shared" si="27"/>
        <v>0</v>
      </c>
      <c r="S21" s="304">
        <f t="shared" si="28"/>
        <v>0</v>
      </c>
      <c r="T21" s="283">
        <f>IF('8. WAMKK'!C21=0,0,+S21/'8. WAMKK'!C21)</f>
        <v>0</v>
      </c>
      <c r="U21" s="120"/>
      <c r="V21" s="196">
        <f t="shared" si="17"/>
        <v>0</v>
      </c>
    </row>
    <row r="22" spans="1:22" ht="12.75" customHeight="1" x14ac:dyDescent="0.25">
      <c r="A22" s="14" t="s">
        <v>17</v>
      </c>
      <c r="B22" s="20" t="s">
        <v>10</v>
      </c>
      <c r="C22" s="311">
        <v>0</v>
      </c>
      <c r="D22" s="311">
        <v>0</v>
      </c>
      <c r="E22" s="311">
        <v>0</v>
      </c>
      <c r="F22" s="165"/>
      <c r="G22" s="165"/>
      <c r="H22" s="165"/>
      <c r="I22" s="165"/>
      <c r="J22" s="165"/>
      <c r="K22" s="165"/>
      <c r="L22" s="651">
        <f t="shared" si="21"/>
        <v>0</v>
      </c>
      <c r="M22" s="651">
        <f t="shared" si="22"/>
        <v>0</v>
      </c>
      <c r="N22" s="651">
        <f t="shared" si="23"/>
        <v>0</v>
      </c>
      <c r="O22" s="165"/>
      <c r="P22" s="165">
        <f t="shared" si="25"/>
        <v>0</v>
      </c>
      <c r="Q22" s="165">
        <f t="shared" si="26"/>
        <v>0</v>
      </c>
      <c r="R22" s="165">
        <f t="shared" si="27"/>
        <v>0</v>
      </c>
      <c r="S22" s="165">
        <f t="shared" si="28"/>
        <v>0</v>
      </c>
      <c r="T22" s="283">
        <f>IF('8. WAMKK'!C22=0,0,+S22/'8. WAMKK'!C22)</f>
        <v>0</v>
      </c>
      <c r="U22" s="120"/>
      <c r="V22" s="196">
        <f t="shared" si="17"/>
        <v>0</v>
      </c>
    </row>
    <row r="23" spans="1:22" ht="12.75" customHeight="1" x14ac:dyDescent="0.25">
      <c r="A23" s="14" t="s">
        <v>18</v>
      </c>
      <c r="B23" s="20" t="s">
        <v>11</v>
      </c>
      <c r="C23" s="311">
        <v>500000</v>
      </c>
      <c r="D23" s="311">
        <v>500000</v>
      </c>
      <c r="E23" s="311">
        <v>500000</v>
      </c>
      <c r="F23" s="165"/>
      <c r="G23" s="165"/>
      <c r="H23" s="165">
        <v>107217</v>
      </c>
      <c r="I23" s="165">
        <v>256129</v>
      </c>
      <c r="J23" s="165"/>
      <c r="K23" s="165"/>
      <c r="L23" s="651">
        <f t="shared" si="21"/>
        <v>0.21443400000000001</v>
      </c>
      <c r="M23" s="651">
        <f t="shared" si="22"/>
        <v>0.51225799999999999</v>
      </c>
      <c r="N23" s="651">
        <f t="shared" si="23"/>
        <v>0</v>
      </c>
      <c r="O23" s="165"/>
      <c r="P23" s="165">
        <f t="shared" si="25"/>
        <v>0</v>
      </c>
      <c r="Q23" s="165">
        <f t="shared" si="26"/>
        <v>0</v>
      </c>
      <c r="R23" s="165">
        <f t="shared" si="27"/>
        <v>0</v>
      </c>
      <c r="S23" s="165">
        <f t="shared" si="28"/>
        <v>0</v>
      </c>
      <c r="T23" s="283">
        <f>IF('8. WAMKK'!C23=0,0,+S23/'8. WAMKK'!C23)</f>
        <v>0</v>
      </c>
      <c r="U23" s="120"/>
      <c r="V23" s="196">
        <f t="shared" si="17"/>
        <v>0</v>
      </c>
    </row>
    <row r="24" spans="1:22" ht="12.75" customHeight="1" x14ac:dyDescent="0.25">
      <c r="A24" s="38" t="s">
        <v>19</v>
      </c>
      <c r="B24" s="39"/>
      <c r="C24" s="813">
        <f>SUM(C25:C27)</f>
        <v>480000</v>
      </c>
      <c r="D24" s="813">
        <f t="shared" ref="D24:I24" si="29">SUM(D25:D27)</f>
        <v>480000</v>
      </c>
      <c r="E24" s="813">
        <f t="shared" si="29"/>
        <v>480000</v>
      </c>
      <c r="F24" s="813">
        <f t="shared" si="29"/>
        <v>0</v>
      </c>
      <c r="G24" s="813"/>
      <c r="H24" s="813">
        <f t="shared" si="29"/>
        <v>309600</v>
      </c>
      <c r="I24" s="813">
        <f t="shared" si="29"/>
        <v>461350</v>
      </c>
      <c r="J24" s="165"/>
      <c r="K24" s="165"/>
      <c r="L24" s="814">
        <f t="shared" si="21"/>
        <v>0.64500000000000002</v>
      </c>
      <c r="M24" s="814">
        <f t="shared" si="22"/>
        <v>0.96114583333333337</v>
      </c>
      <c r="N24" s="651">
        <f t="shared" si="23"/>
        <v>0</v>
      </c>
      <c r="O24" s="165"/>
      <c r="P24" s="165">
        <f t="shared" si="25"/>
        <v>0</v>
      </c>
      <c r="Q24" s="165">
        <f t="shared" si="26"/>
        <v>0</v>
      </c>
      <c r="R24" s="165">
        <f t="shared" si="27"/>
        <v>0</v>
      </c>
      <c r="S24" s="165">
        <f t="shared" si="28"/>
        <v>0</v>
      </c>
      <c r="T24" s="283">
        <f>IF('8. WAMKK'!C24=0,0,+S24/'8. WAMKK'!C24)</f>
        <v>0</v>
      </c>
      <c r="U24" s="120"/>
      <c r="V24" s="196">
        <f t="shared" si="17"/>
        <v>0</v>
      </c>
    </row>
    <row r="25" spans="1:22" ht="12.75" customHeight="1" x14ac:dyDescent="0.25">
      <c r="A25" s="14" t="s">
        <v>20</v>
      </c>
      <c r="B25" s="485" t="s">
        <v>21</v>
      </c>
      <c r="C25" s="813"/>
      <c r="D25" s="558"/>
      <c r="E25" s="558"/>
      <c r="F25" s="558"/>
      <c r="G25" s="558"/>
      <c r="H25" s="558"/>
      <c r="I25" s="558"/>
      <c r="J25" s="165"/>
      <c r="K25" s="165"/>
      <c r="L25" s="651">
        <f t="shared" si="21"/>
        <v>0</v>
      </c>
      <c r="M25" s="651">
        <f t="shared" si="22"/>
        <v>0</v>
      </c>
      <c r="N25" s="651">
        <f t="shared" si="23"/>
        <v>0</v>
      </c>
      <c r="O25" s="165"/>
      <c r="P25" s="165">
        <f t="shared" si="25"/>
        <v>0</v>
      </c>
      <c r="Q25" s="165">
        <f t="shared" si="26"/>
        <v>0</v>
      </c>
      <c r="R25" s="165">
        <f t="shared" si="27"/>
        <v>0</v>
      </c>
      <c r="S25" s="165">
        <f t="shared" si="28"/>
        <v>0</v>
      </c>
      <c r="T25" s="283">
        <f>IF('8. WAMKK'!C25=0,0,+S25/'8. WAMKK'!C25)</f>
        <v>0</v>
      </c>
      <c r="U25" s="120"/>
      <c r="V25" s="196">
        <f t="shared" si="17"/>
        <v>0</v>
      </c>
    </row>
    <row r="26" spans="1:22" ht="12.75" customHeight="1" x14ac:dyDescent="0.25">
      <c r="A26" s="14" t="s">
        <v>22</v>
      </c>
      <c r="B26" s="20" t="s">
        <v>23</v>
      </c>
      <c r="C26" s="311">
        <f>4*10000*12</f>
        <v>480000</v>
      </c>
      <c r="D26" s="165">
        <v>480000</v>
      </c>
      <c r="E26" s="165">
        <v>480000</v>
      </c>
      <c r="F26" s="165"/>
      <c r="G26" s="165"/>
      <c r="H26" s="165">
        <v>309600</v>
      </c>
      <c r="I26" s="165">
        <v>461350</v>
      </c>
      <c r="J26" s="165"/>
      <c r="K26" s="165"/>
      <c r="L26" s="651">
        <f t="shared" si="21"/>
        <v>0.64500000000000002</v>
      </c>
      <c r="M26" s="651">
        <f t="shared" si="22"/>
        <v>0.96114583333333337</v>
      </c>
      <c r="N26" s="651">
        <f t="shared" si="23"/>
        <v>0</v>
      </c>
      <c r="O26" s="165"/>
      <c r="P26" s="165">
        <f t="shared" si="25"/>
        <v>0</v>
      </c>
      <c r="Q26" s="165">
        <f t="shared" si="26"/>
        <v>0</v>
      </c>
      <c r="R26" s="165">
        <f t="shared" si="27"/>
        <v>0</v>
      </c>
      <c r="S26" s="165">
        <f t="shared" si="28"/>
        <v>0</v>
      </c>
      <c r="T26" s="283">
        <f>IF('8. WAMKK'!C26=0,0,+S26/'8. WAMKK'!C26)</f>
        <v>0</v>
      </c>
      <c r="U26" s="120"/>
      <c r="V26" s="196">
        <f t="shared" si="17"/>
        <v>0</v>
      </c>
    </row>
    <row r="27" spans="1:22" ht="12.75" customHeight="1" x14ac:dyDescent="0.25">
      <c r="A27" s="14" t="s">
        <v>24</v>
      </c>
      <c r="B27" s="20" t="s">
        <v>25</v>
      </c>
      <c r="C27" s="311"/>
      <c r="D27" s="165"/>
      <c r="E27" s="165"/>
      <c r="F27" s="165"/>
      <c r="G27" s="165"/>
      <c r="H27" s="165"/>
      <c r="I27" s="165"/>
      <c r="J27" s="165"/>
      <c r="K27" s="165"/>
      <c r="L27" s="651">
        <f t="shared" si="21"/>
        <v>0</v>
      </c>
      <c r="M27" s="651">
        <f t="shared" si="22"/>
        <v>0</v>
      </c>
      <c r="N27" s="651">
        <f t="shared" si="23"/>
        <v>0</v>
      </c>
      <c r="O27" s="165"/>
      <c r="P27" s="165">
        <f t="shared" si="25"/>
        <v>0</v>
      </c>
      <c r="Q27" s="165">
        <f t="shared" si="26"/>
        <v>0</v>
      </c>
      <c r="R27" s="165">
        <f t="shared" si="27"/>
        <v>0</v>
      </c>
      <c r="S27" s="165">
        <f t="shared" si="28"/>
        <v>0</v>
      </c>
      <c r="T27" s="283">
        <f>IF('8. WAMKK'!C27=0,0,+S27/'8. WAMKK'!C27)</f>
        <v>0</v>
      </c>
      <c r="U27" s="120"/>
      <c r="V27" s="196">
        <f t="shared" si="17"/>
        <v>0</v>
      </c>
    </row>
    <row r="28" spans="1:22" ht="12.75" customHeight="1" x14ac:dyDescent="0.25">
      <c r="A28" s="14"/>
      <c r="B28" s="14"/>
      <c r="C28" s="311"/>
      <c r="D28" s="165"/>
      <c r="E28" s="165"/>
      <c r="F28" s="165"/>
      <c r="G28" s="165"/>
      <c r="H28" s="165"/>
      <c r="I28" s="165"/>
      <c r="J28" s="165"/>
      <c r="K28" s="165"/>
      <c r="L28" s="652"/>
      <c r="M28" s="652"/>
      <c r="N28" s="652"/>
      <c r="O28" s="165"/>
      <c r="P28" s="165">
        <f t="shared" si="25"/>
        <v>0</v>
      </c>
      <c r="Q28" s="165">
        <f t="shared" si="26"/>
        <v>0</v>
      </c>
      <c r="R28" s="165">
        <f t="shared" si="27"/>
        <v>0</v>
      </c>
      <c r="S28" s="165">
        <f t="shared" si="28"/>
        <v>0</v>
      </c>
      <c r="T28" s="283">
        <f>IF('8. WAMKK'!C28=0,0,+S28/'8. WAMKK'!C28)</f>
        <v>0</v>
      </c>
      <c r="U28" s="120"/>
      <c r="V28" s="196">
        <f t="shared" si="17"/>
        <v>0</v>
      </c>
    </row>
    <row r="29" spans="1:22" ht="12.75" customHeight="1" x14ac:dyDescent="0.25">
      <c r="A29" s="7" t="s">
        <v>26</v>
      </c>
      <c r="B29" s="5" t="s">
        <v>27</v>
      </c>
      <c r="C29" s="313">
        <f>SUM(C30)</f>
        <v>5600000</v>
      </c>
      <c r="D29" s="313">
        <f>SUM(D30)</f>
        <v>5600000</v>
      </c>
      <c r="E29" s="313">
        <f>SUM(E30)</f>
        <v>5600000</v>
      </c>
      <c r="F29" s="313">
        <f>SUM(F30)</f>
        <v>0</v>
      </c>
      <c r="G29" s="313"/>
      <c r="H29" s="313">
        <f>SUM(H30)</f>
        <v>3351913</v>
      </c>
      <c r="I29" s="313">
        <f>+I30</f>
        <v>4719990</v>
      </c>
      <c r="J29" s="313">
        <f>+J30</f>
        <v>0</v>
      </c>
      <c r="K29" s="313"/>
      <c r="L29" s="650">
        <f t="shared" ref="L29:L32" si="30">+H29/C29</f>
        <v>0.59855589285714283</v>
      </c>
      <c r="M29" s="650">
        <f t="shared" ref="M29:N32" si="31">+I29/D29</f>
        <v>0.8428553571428572</v>
      </c>
      <c r="N29" s="650">
        <f t="shared" si="31"/>
        <v>0</v>
      </c>
      <c r="O29" s="313"/>
      <c r="P29" s="313">
        <f t="shared" si="25"/>
        <v>0</v>
      </c>
      <c r="Q29" s="313">
        <f t="shared" si="26"/>
        <v>0</v>
      </c>
      <c r="R29" s="313">
        <f t="shared" si="27"/>
        <v>0</v>
      </c>
      <c r="S29" s="313">
        <f t="shared" si="28"/>
        <v>0</v>
      </c>
      <c r="T29" s="284">
        <f>IF('8. WAMKK'!C29=0,0,+S29/'8. WAMKK'!C29)</f>
        <v>0</v>
      </c>
      <c r="U29" s="120"/>
      <c r="V29" s="196">
        <f t="shared" si="17"/>
        <v>0</v>
      </c>
    </row>
    <row r="30" spans="1:22" ht="12.75" customHeight="1" x14ac:dyDescent="0.25">
      <c r="A30" s="14"/>
      <c r="B30" s="20" t="s">
        <v>28</v>
      </c>
      <c r="C30" s="311">
        <v>5600000</v>
      </c>
      <c r="D30" s="165">
        <v>5600000</v>
      </c>
      <c r="E30" s="165">
        <v>5600000</v>
      </c>
      <c r="F30" s="165"/>
      <c r="G30" s="165"/>
      <c r="H30" s="165">
        <v>3351913</v>
      </c>
      <c r="I30" s="165">
        <v>4719990</v>
      </c>
      <c r="J30" s="165"/>
      <c r="K30" s="165"/>
      <c r="L30" s="651">
        <f t="shared" ref="L30" si="32">IF(H30&gt;0,H30/C30,0)</f>
        <v>0.59855589285714283</v>
      </c>
      <c r="M30" s="651">
        <f t="shared" ref="M30" si="33">IF(I30&gt;0,I30/D30,0)</f>
        <v>0.8428553571428572</v>
      </c>
      <c r="N30" s="651">
        <f t="shared" ref="N30" si="34">IF(J30&gt;0,J30/E30,0)</f>
        <v>0</v>
      </c>
      <c r="O30" s="165"/>
      <c r="P30" s="165">
        <f t="shared" si="25"/>
        <v>0</v>
      </c>
      <c r="Q30" s="165">
        <f t="shared" si="26"/>
        <v>0</v>
      </c>
      <c r="R30" s="165">
        <f t="shared" si="27"/>
        <v>0</v>
      </c>
      <c r="S30" s="165">
        <f t="shared" si="28"/>
        <v>0</v>
      </c>
      <c r="T30" s="283">
        <f>IF('8. WAMKK'!C30=0,0,+S30/'8. WAMKK'!C30)</f>
        <v>0</v>
      </c>
      <c r="U30" s="120"/>
      <c r="V30" s="196">
        <f t="shared" si="17"/>
        <v>0</v>
      </c>
    </row>
    <row r="31" spans="1:22" ht="12.75" customHeight="1" x14ac:dyDescent="0.25">
      <c r="A31" s="14"/>
      <c r="B31" s="14"/>
      <c r="C31" s="588"/>
      <c r="D31" s="165"/>
      <c r="E31" s="165"/>
      <c r="F31" s="165"/>
      <c r="G31" s="165"/>
      <c r="H31" s="165"/>
      <c r="I31" s="165"/>
      <c r="J31" s="165"/>
      <c r="K31" s="165"/>
      <c r="L31" s="652"/>
      <c r="M31" s="652"/>
      <c r="N31" s="652"/>
      <c r="O31" s="165"/>
      <c r="P31" s="165">
        <f t="shared" si="25"/>
        <v>0</v>
      </c>
      <c r="Q31" s="165">
        <f t="shared" si="26"/>
        <v>0</v>
      </c>
      <c r="R31" s="165">
        <f t="shared" si="27"/>
        <v>0</v>
      </c>
      <c r="S31" s="165">
        <f t="shared" si="28"/>
        <v>0</v>
      </c>
      <c r="T31" s="283">
        <f>IF('8. WAMKK'!C31=0,0,+S31/'8. WAMKK'!C31)</f>
        <v>0</v>
      </c>
      <c r="U31" s="120"/>
      <c r="V31" s="196">
        <f t="shared" si="17"/>
        <v>0</v>
      </c>
    </row>
    <row r="32" spans="1:22" ht="12.75" customHeight="1" x14ac:dyDescent="0.25">
      <c r="A32" s="7" t="s">
        <v>29</v>
      </c>
      <c r="B32" s="5" t="s">
        <v>30</v>
      </c>
      <c r="C32" s="273">
        <f t="shared" ref="C32:F32" si="35">+C33+C41+C48+C66+C71</f>
        <v>71371000</v>
      </c>
      <c r="D32" s="273">
        <f t="shared" si="35"/>
        <v>71371000</v>
      </c>
      <c r="E32" s="273">
        <f t="shared" si="35"/>
        <v>71371000</v>
      </c>
      <c r="F32" s="273">
        <f t="shared" si="35"/>
        <v>0</v>
      </c>
      <c r="G32" s="314"/>
      <c r="H32" s="273">
        <f t="shared" ref="H32:I32" si="36">+H33+H41+H48+H66+H71</f>
        <v>35582506</v>
      </c>
      <c r="I32" s="273">
        <f t="shared" si="36"/>
        <v>44993253</v>
      </c>
      <c r="J32" s="314">
        <f>SUM(J33:J81)</f>
        <v>0</v>
      </c>
      <c r="K32" s="314"/>
      <c r="L32" s="650">
        <f t="shared" si="30"/>
        <v>0.49855692087822784</v>
      </c>
      <c r="M32" s="650">
        <f t="shared" si="31"/>
        <v>0.63041365540625749</v>
      </c>
      <c r="N32" s="650">
        <f t="shared" si="31"/>
        <v>0</v>
      </c>
      <c r="O32" s="314"/>
      <c r="P32" s="314">
        <f t="shared" si="25"/>
        <v>0</v>
      </c>
      <c r="Q32" s="314">
        <f t="shared" si="26"/>
        <v>0</v>
      </c>
      <c r="R32" s="314">
        <f t="shared" si="27"/>
        <v>0</v>
      </c>
      <c r="S32" s="314">
        <f t="shared" si="28"/>
        <v>0</v>
      </c>
      <c r="T32" s="284">
        <f>IF('8. WAMKK'!C32=0,0,+S32/'8. WAMKK'!C32)</f>
        <v>0</v>
      </c>
      <c r="U32" s="120"/>
      <c r="V32" s="196">
        <f t="shared" si="17"/>
        <v>0</v>
      </c>
    </row>
    <row r="33" spans="1:22" s="42" customFormat="1" ht="12.75" customHeight="1" x14ac:dyDescent="0.25">
      <c r="A33" s="38" t="s">
        <v>31</v>
      </c>
      <c r="B33" s="39" t="s">
        <v>32</v>
      </c>
      <c r="C33" s="277">
        <f>SUM(C34:C40)</f>
        <v>55006000</v>
      </c>
      <c r="D33" s="277">
        <f t="shared" ref="D33:F33" si="37">SUM(D34:D40)</f>
        <v>55006000</v>
      </c>
      <c r="E33" s="277">
        <f t="shared" si="37"/>
        <v>54955323</v>
      </c>
      <c r="F33" s="277">
        <f t="shared" si="37"/>
        <v>0</v>
      </c>
      <c r="G33" s="558"/>
      <c r="H33" s="277">
        <f>SUM(H34:H40)</f>
        <v>28160870</v>
      </c>
      <c r="I33" s="277">
        <f>SUM(I34:I40)</f>
        <v>35172371</v>
      </c>
      <c r="J33" s="558"/>
      <c r="K33" s="558"/>
      <c r="L33" s="652">
        <f t="shared" ref="L33:L42" si="38">IF(H33&gt;0,H33/C33,0)</f>
        <v>0.51195996800349053</v>
      </c>
      <c r="M33" s="652">
        <f t="shared" ref="M33:M42" si="39">IF(I33&gt;0,I33/D33,0)</f>
        <v>0.63942789877467909</v>
      </c>
      <c r="N33" s="652">
        <f t="shared" ref="N33:N42" si="40">IF(J33&gt;0,J33/E33,0)</f>
        <v>0</v>
      </c>
      <c r="O33" s="558"/>
      <c r="P33" s="558">
        <f t="shared" si="25"/>
        <v>0</v>
      </c>
      <c r="Q33" s="558">
        <f t="shared" si="26"/>
        <v>-50677</v>
      </c>
      <c r="R33" s="558">
        <f t="shared" si="27"/>
        <v>0</v>
      </c>
      <c r="S33" s="558">
        <f t="shared" si="28"/>
        <v>-50677</v>
      </c>
      <c r="T33" s="283">
        <f>IF('8. WAMKK'!C33=0,0,+S33/'8. WAMKK'!C33)</f>
        <v>-1.6347419354838709E-2</v>
      </c>
      <c r="U33" s="121"/>
      <c r="V33" s="559">
        <f t="shared" si="17"/>
        <v>0</v>
      </c>
    </row>
    <row r="34" spans="1:22" ht="12.75" customHeight="1" x14ac:dyDescent="0.25">
      <c r="A34" s="14" t="s">
        <v>33</v>
      </c>
      <c r="B34" s="20" t="s">
        <v>35</v>
      </c>
      <c r="C34" s="165">
        <v>6000</v>
      </c>
      <c r="D34" s="165">
        <v>6000</v>
      </c>
      <c r="E34" s="165">
        <v>6000</v>
      </c>
      <c r="F34" s="165"/>
      <c r="G34" s="165"/>
      <c r="H34" s="165">
        <v>5619</v>
      </c>
      <c r="I34" s="165">
        <v>5619</v>
      </c>
      <c r="J34" s="165"/>
      <c r="K34" s="165"/>
      <c r="L34" s="653">
        <f t="shared" si="38"/>
        <v>0.9365</v>
      </c>
      <c r="M34" s="653">
        <f t="shared" si="39"/>
        <v>0.9365</v>
      </c>
      <c r="N34" s="653">
        <f t="shared" si="40"/>
        <v>0</v>
      </c>
      <c r="O34" s="165"/>
      <c r="P34" s="165">
        <f t="shared" si="25"/>
        <v>0</v>
      </c>
      <c r="Q34" s="165">
        <f t="shared" si="26"/>
        <v>0</v>
      </c>
      <c r="R34" s="165">
        <f t="shared" si="27"/>
        <v>0</v>
      </c>
      <c r="S34" s="165">
        <f t="shared" si="28"/>
        <v>0</v>
      </c>
      <c r="T34" s="283">
        <f>IF('8. WAMKK'!C34=0,0,+S34/'8. WAMKK'!C34)</f>
        <v>0</v>
      </c>
      <c r="U34" s="120"/>
      <c r="V34" s="196">
        <f t="shared" si="17"/>
        <v>0</v>
      </c>
    </row>
    <row r="35" spans="1:22" ht="12.75" customHeight="1" x14ac:dyDescent="0.25">
      <c r="A35" s="14"/>
      <c r="B35" s="20" t="s">
        <v>89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653">
        <f t="shared" si="38"/>
        <v>0</v>
      </c>
      <c r="M35" s="653">
        <f t="shared" si="39"/>
        <v>0</v>
      </c>
      <c r="N35" s="653">
        <f t="shared" si="40"/>
        <v>0</v>
      </c>
      <c r="O35" s="165"/>
      <c r="P35" s="165">
        <f t="shared" si="25"/>
        <v>0</v>
      </c>
      <c r="Q35" s="165">
        <f t="shared" si="26"/>
        <v>0</v>
      </c>
      <c r="R35" s="165">
        <f t="shared" si="27"/>
        <v>0</v>
      </c>
      <c r="S35" s="165">
        <f t="shared" si="28"/>
        <v>0</v>
      </c>
      <c r="T35" s="283">
        <f>IF('8. WAMKK'!C35=0,0,+S35/'8. WAMKK'!C35)</f>
        <v>0</v>
      </c>
      <c r="U35" s="120"/>
      <c r="V35" s="196">
        <f t="shared" si="17"/>
        <v>0</v>
      </c>
    </row>
    <row r="36" spans="1:22" ht="12.75" customHeight="1" x14ac:dyDescent="0.25">
      <c r="A36" s="14" t="s">
        <v>34</v>
      </c>
      <c r="B36" s="20" t="s">
        <v>36</v>
      </c>
      <c r="C36" s="580">
        <v>55000000</v>
      </c>
      <c r="D36" s="556">
        <v>55000000</v>
      </c>
      <c r="E36" s="165">
        <v>54949323</v>
      </c>
      <c r="F36" s="165"/>
      <c r="G36" s="165"/>
      <c r="H36" s="165">
        <v>28155251</v>
      </c>
      <c r="I36" s="165">
        <v>35166752</v>
      </c>
      <c r="J36" s="165"/>
      <c r="K36" s="165"/>
      <c r="L36" s="653">
        <f t="shared" si="38"/>
        <v>0.51191365454545457</v>
      </c>
      <c r="M36" s="653">
        <f t="shared" si="39"/>
        <v>0.63939549090909087</v>
      </c>
      <c r="N36" s="653">
        <f t="shared" si="40"/>
        <v>0</v>
      </c>
      <c r="O36" s="165"/>
      <c r="P36" s="165">
        <f t="shared" si="25"/>
        <v>0</v>
      </c>
      <c r="Q36" s="165">
        <f t="shared" si="26"/>
        <v>-50677</v>
      </c>
      <c r="R36" s="165">
        <f t="shared" si="27"/>
        <v>0</v>
      </c>
      <c r="S36" s="165">
        <f t="shared" si="28"/>
        <v>-50677</v>
      </c>
      <c r="T36" s="283">
        <f>IF('8. WAMKK'!C36=0,0,+S36/'8. WAMKK'!C36)</f>
        <v>-2.4131904761904761E-2</v>
      </c>
      <c r="U36" s="120"/>
      <c r="V36" s="196">
        <f t="shared" si="17"/>
        <v>0</v>
      </c>
    </row>
    <row r="37" spans="1:22" ht="12.75" customHeight="1" x14ac:dyDescent="0.25">
      <c r="A37" s="14"/>
      <c r="B37" s="20" t="s">
        <v>105</v>
      </c>
      <c r="C37" s="165"/>
      <c r="D37" s="165"/>
      <c r="E37" s="165"/>
      <c r="F37" s="165"/>
      <c r="G37" s="165"/>
      <c r="H37" s="165"/>
      <c r="I37" s="165"/>
      <c r="J37" s="165"/>
      <c r="K37" s="165"/>
      <c r="L37" s="653">
        <f t="shared" si="38"/>
        <v>0</v>
      </c>
      <c r="M37" s="653">
        <f t="shared" si="39"/>
        <v>0</v>
      </c>
      <c r="N37" s="653">
        <f t="shared" si="40"/>
        <v>0</v>
      </c>
      <c r="O37" s="165"/>
      <c r="P37" s="165">
        <f t="shared" si="25"/>
        <v>0</v>
      </c>
      <c r="Q37" s="165">
        <f t="shared" si="26"/>
        <v>0</v>
      </c>
      <c r="R37" s="165">
        <f t="shared" si="27"/>
        <v>0</v>
      </c>
      <c r="S37" s="165">
        <f t="shared" si="28"/>
        <v>0</v>
      </c>
      <c r="T37" s="283">
        <f>IF('8. WAMKK'!C37=0,0,+S37/'8. WAMKK'!C37)</f>
        <v>0</v>
      </c>
      <c r="U37" s="120"/>
      <c r="V37" s="196">
        <f t="shared" si="17"/>
        <v>0</v>
      </c>
    </row>
    <row r="38" spans="1:22" ht="12.75" customHeight="1" x14ac:dyDescent="0.25">
      <c r="A38" s="14"/>
      <c r="B38" s="20" t="s">
        <v>95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653">
        <f t="shared" si="38"/>
        <v>0</v>
      </c>
      <c r="M38" s="653">
        <f t="shared" si="39"/>
        <v>0</v>
      </c>
      <c r="N38" s="653">
        <f t="shared" si="40"/>
        <v>0</v>
      </c>
      <c r="O38" s="165"/>
      <c r="P38" s="165">
        <f t="shared" si="25"/>
        <v>0</v>
      </c>
      <c r="Q38" s="165">
        <f t="shared" si="26"/>
        <v>0</v>
      </c>
      <c r="R38" s="165">
        <f t="shared" si="27"/>
        <v>0</v>
      </c>
      <c r="S38" s="165">
        <f t="shared" si="28"/>
        <v>0</v>
      </c>
      <c r="T38" s="283">
        <f>IF('8. WAMKK'!C38=0,0,+S38/'8. WAMKK'!C38)</f>
        <v>0</v>
      </c>
      <c r="U38" s="120"/>
      <c r="V38" s="196">
        <f t="shared" si="17"/>
        <v>0</v>
      </c>
    </row>
    <row r="39" spans="1:22" ht="12.75" customHeight="1" x14ac:dyDescent="0.25">
      <c r="A39" s="14"/>
      <c r="B39" s="20" t="s">
        <v>94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653">
        <f t="shared" si="38"/>
        <v>0</v>
      </c>
      <c r="M39" s="653">
        <f t="shared" si="39"/>
        <v>0</v>
      </c>
      <c r="N39" s="653">
        <f t="shared" si="40"/>
        <v>0</v>
      </c>
      <c r="O39" s="165"/>
      <c r="P39" s="165">
        <f t="shared" si="25"/>
        <v>0</v>
      </c>
      <c r="Q39" s="165">
        <f t="shared" si="26"/>
        <v>0</v>
      </c>
      <c r="R39" s="165">
        <f t="shared" si="27"/>
        <v>0</v>
      </c>
      <c r="S39" s="165">
        <f t="shared" si="28"/>
        <v>0</v>
      </c>
      <c r="T39" s="283">
        <f>IF('8. WAMKK'!C39=0,0,+S39/'8. WAMKK'!C39)</f>
        <v>0</v>
      </c>
      <c r="U39" s="120"/>
      <c r="V39" s="196">
        <f t="shared" si="17"/>
        <v>0</v>
      </c>
    </row>
    <row r="40" spans="1:22" ht="12.75" customHeight="1" x14ac:dyDescent="0.25">
      <c r="A40" s="14"/>
      <c r="B40" s="20" t="s">
        <v>93</v>
      </c>
      <c r="C40" s="165"/>
      <c r="D40" s="165"/>
      <c r="E40" s="165"/>
      <c r="F40" s="165"/>
      <c r="G40" s="165"/>
      <c r="H40" s="165"/>
      <c r="I40" s="165"/>
      <c r="J40" s="165"/>
      <c r="K40" s="165"/>
      <c r="L40" s="653">
        <f t="shared" si="38"/>
        <v>0</v>
      </c>
      <c r="M40" s="653">
        <f t="shared" si="39"/>
        <v>0</v>
      </c>
      <c r="N40" s="653">
        <f t="shared" si="40"/>
        <v>0</v>
      </c>
      <c r="O40" s="165"/>
      <c r="P40" s="165">
        <f t="shared" si="25"/>
        <v>0</v>
      </c>
      <c r="Q40" s="165">
        <f t="shared" si="26"/>
        <v>0</v>
      </c>
      <c r="R40" s="165">
        <f t="shared" si="27"/>
        <v>0</v>
      </c>
      <c r="S40" s="165">
        <f t="shared" si="28"/>
        <v>0</v>
      </c>
      <c r="T40" s="283">
        <f>IF('8. WAMKK'!C40=0,0,+S40/'8. WAMKK'!C40)</f>
        <v>0</v>
      </c>
      <c r="U40" s="120"/>
      <c r="V40" s="196">
        <f t="shared" si="17"/>
        <v>0</v>
      </c>
    </row>
    <row r="41" spans="1:22" s="42" customFormat="1" ht="12.75" customHeight="1" x14ac:dyDescent="0.25">
      <c r="A41" s="38" t="s">
        <v>37</v>
      </c>
      <c r="B41" s="39" t="s">
        <v>38</v>
      </c>
      <c r="C41" s="277">
        <f>SUM(C42:C47)</f>
        <v>60000</v>
      </c>
      <c r="D41" s="277">
        <f t="shared" ref="D41:F41" si="41">SUM(D42:D47)</f>
        <v>80630</v>
      </c>
      <c r="E41" s="277">
        <f t="shared" si="41"/>
        <v>80630</v>
      </c>
      <c r="F41" s="277">
        <f t="shared" si="41"/>
        <v>0</v>
      </c>
      <c r="G41" s="558"/>
      <c r="H41" s="277">
        <f>SUM(H42:H47)</f>
        <v>46617</v>
      </c>
      <c r="I41" s="277">
        <f>SUM(I42:I47)</f>
        <v>57832</v>
      </c>
      <c r="J41" s="558"/>
      <c r="K41" s="558"/>
      <c r="L41" s="654">
        <f t="shared" si="38"/>
        <v>0.77695000000000003</v>
      </c>
      <c r="M41" s="654">
        <f t="shared" si="39"/>
        <v>0.71725164330894209</v>
      </c>
      <c r="N41" s="654">
        <f t="shared" si="40"/>
        <v>0</v>
      </c>
      <c r="O41" s="558"/>
      <c r="P41" s="558">
        <f t="shared" si="25"/>
        <v>20630</v>
      </c>
      <c r="Q41" s="558">
        <f t="shared" si="26"/>
        <v>0</v>
      </c>
      <c r="R41" s="558">
        <f t="shared" si="27"/>
        <v>0</v>
      </c>
      <c r="S41" s="558">
        <f t="shared" si="28"/>
        <v>20630</v>
      </c>
      <c r="T41" s="283">
        <f>IF('8. WAMKK'!C41=0,0,+S41/'8. WAMKK'!C41)</f>
        <v>0</v>
      </c>
      <c r="U41" s="121"/>
      <c r="V41" s="559">
        <f t="shared" si="17"/>
        <v>0</v>
      </c>
    </row>
    <row r="42" spans="1:22" ht="12.75" customHeight="1" x14ac:dyDescent="0.25">
      <c r="A42" s="14" t="s">
        <v>39</v>
      </c>
      <c r="B42" s="20" t="s">
        <v>40</v>
      </c>
      <c r="C42" s="165">
        <v>0</v>
      </c>
      <c r="D42" s="165">
        <v>20630</v>
      </c>
      <c r="E42" s="165">
        <v>20630</v>
      </c>
      <c r="F42" s="165"/>
      <c r="G42" s="165"/>
      <c r="H42" s="165">
        <v>20630</v>
      </c>
      <c r="I42" s="165">
        <v>20630</v>
      </c>
      <c r="J42" s="165"/>
      <c r="K42" s="165"/>
      <c r="L42" s="653" t="e">
        <f t="shared" si="38"/>
        <v>#DIV/0!</v>
      </c>
      <c r="M42" s="653">
        <f t="shared" si="39"/>
        <v>1</v>
      </c>
      <c r="N42" s="653">
        <f t="shared" si="40"/>
        <v>0</v>
      </c>
      <c r="O42" s="165"/>
      <c r="P42" s="165">
        <f t="shared" si="25"/>
        <v>20630</v>
      </c>
      <c r="Q42" s="165">
        <f t="shared" si="26"/>
        <v>0</v>
      </c>
      <c r="R42" s="165">
        <f t="shared" si="27"/>
        <v>0</v>
      </c>
      <c r="S42" s="165">
        <f t="shared" si="28"/>
        <v>20630</v>
      </c>
      <c r="T42" s="283">
        <f>IF('8. WAMKK'!C42=0,0,+S42/'8. WAMKK'!C42)</f>
        <v>0</v>
      </c>
      <c r="U42" s="120"/>
      <c r="V42" s="196">
        <f t="shared" si="17"/>
        <v>0</v>
      </c>
    </row>
    <row r="43" spans="1:22" ht="25.5" customHeight="1" x14ac:dyDescent="0.25">
      <c r="A43" s="14"/>
      <c r="B43" s="20" t="s">
        <v>41</v>
      </c>
      <c r="C43" s="165"/>
      <c r="D43" s="165"/>
      <c r="E43" s="165"/>
      <c r="F43" s="165"/>
      <c r="G43" s="165"/>
      <c r="H43" s="165"/>
      <c r="I43" s="165"/>
      <c r="J43" s="165"/>
      <c r="K43" s="165"/>
      <c r="L43" s="653">
        <f t="shared" ref="L43:L50" si="42">IF(H43&gt;0,H43/C43,0)</f>
        <v>0</v>
      </c>
      <c r="M43" s="653">
        <f t="shared" ref="M43:M50" si="43">IF(I43&gt;0,I43/D43,0)</f>
        <v>0</v>
      </c>
      <c r="N43" s="653">
        <f t="shared" ref="N43:N50" si="44">IF(J43&gt;0,J43/E43,0)</f>
        <v>0</v>
      </c>
      <c r="O43" s="165"/>
      <c r="P43" s="165">
        <f t="shared" si="25"/>
        <v>0</v>
      </c>
      <c r="Q43" s="165">
        <f t="shared" si="26"/>
        <v>0</v>
      </c>
      <c r="R43" s="165">
        <f t="shared" si="27"/>
        <v>0</v>
      </c>
      <c r="S43" s="165">
        <f t="shared" si="28"/>
        <v>0</v>
      </c>
      <c r="T43" s="283">
        <f>IF('8. WAMKK'!C43=0,0,+S43/'8. WAMKK'!C43)</f>
        <v>0</v>
      </c>
      <c r="U43" s="120"/>
      <c r="V43" s="196">
        <f t="shared" si="17"/>
        <v>0</v>
      </c>
    </row>
    <row r="44" spans="1:22" ht="12.75" customHeight="1" x14ac:dyDescent="0.25">
      <c r="A44" s="14"/>
      <c r="B44" s="20" t="s">
        <v>42</v>
      </c>
      <c r="C44" s="165"/>
      <c r="D44" s="165"/>
      <c r="E44" s="165"/>
      <c r="F44" s="165"/>
      <c r="G44" s="165"/>
      <c r="H44" s="165"/>
      <c r="I44" s="165"/>
      <c r="J44" s="165"/>
      <c r="K44" s="165"/>
      <c r="L44" s="653">
        <f t="shared" si="42"/>
        <v>0</v>
      </c>
      <c r="M44" s="653">
        <f t="shared" si="43"/>
        <v>0</v>
      </c>
      <c r="N44" s="653">
        <f t="shared" si="44"/>
        <v>0</v>
      </c>
      <c r="O44" s="165"/>
      <c r="P44" s="165">
        <f t="shared" si="25"/>
        <v>0</v>
      </c>
      <c r="Q44" s="165">
        <f t="shared" si="26"/>
        <v>0</v>
      </c>
      <c r="R44" s="165">
        <f t="shared" si="27"/>
        <v>0</v>
      </c>
      <c r="S44" s="165">
        <f t="shared" si="28"/>
        <v>0</v>
      </c>
      <c r="T44" s="283">
        <f>IF('8. WAMKK'!C44=0,0,+S44/'8. WAMKK'!C44)</f>
        <v>0</v>
      </c>
      <c r="U44" s="120"/>
      <c r="V44" s="196">
        <f t="shared" si="17"/>
        <v>0</v>
      </c>
    </row>
    <row r="45" spans="1:22" ht="12.75" customHeight="1" x14ac:dyDescent="0.25">
      <c r="A45" s="14"/>
      <c r="B45" s="20" t="s">
        <v>43</v>
      </c>
      <c r="C45" s="165"/>
      <c r="D45" s="165"/>
      <c r="E45" s="165"/>
      <c r="F45" s="165"/>
      <c r="G45" s="165"/>
      <c r="H45" s="165"/>
      <c r="I45" s="165"/>
      <c r="J45" s="165"/>
      <c r="K45" s="165"/>
      <c r="L45" s="653">
        <f t="shared" si="42"/>
        <v>0</v>
      </c>
      <c r="M45" s="653">
        <f t="shared" si="43"/>
        <v>0</v>
      </c>
      <c r="N45" s="653">
        <f t="shared" si="44"/>
        <v>0</v>
      </c>
      <c r="O45" s="165"/>
      <c r="P45" s="165">
        <f t="shared" si="25"/>
        <v>0</v>
      </c>
      <c r="Q45" s="165">
        <f t="shared" si="26"/>
        <v>0</v>
      </c>
      <c r="R45" s="165">
        <f t="shared" si="27"/>
        <v>0</v>
      </c>
      <c r="S45" s="165">
        <f t="shared" si="28"/>
        <v>0</v>
      </c>
      <c r="T45" s="283">
        <f>IF('8. WAMKK'!C45=0,0,+S45/'8. WAMKK'!C45)</f>
        <v>0</v>
      </c>
      <c r="U45" s="120"/>
      <c r="V45" s="196">
        <f t="shared" si="17"/>
        <v>0</v>
      </c>
    </row>
    <row r="46" spans="1:22" ht="12.75" customHeight="1" x14ac:dyDescent="0.25">
      <c r="A46" s="14" t="s">
        <v>44</v>
      </c>
      <c r="B46" s="20" t="s">
        <v>45</v>
      </c>
      <c r="C46" s="165">
        <v>60000</v>
      </c>
      <c r="D46" s="165">
        <v>60000</v>
      </c>
      <c r="E46" s="165">
        <v>60000</v>
      </c>
      <c r="F46" s="165"/>
      <c r="G46" s="165"/>
      <c r="H46" s="165">
        <v>25987</v>
      </c>
      <c r="I46" s="165">
        <v>37202</v>
      </c>
      <c r="J46" s="165"/>
      <c r="K46" s="165"/>
      <c r="L46" s="653">
        <f t="shared" si="42"/>
        <v>0.43311666666666665</v>
      </c>
      <c r="M46" s="653">
        <f t="shared" si="43"/>
        <v>0.62003333333333333</v>
      </c>
      <c r="N46" s="653">
        <f t="shared" si="44"/>
        <v>0</v>
      </c>
      <c r="O46" s="165"/>
      <c r="P46" s="165">
        <f t="shared" si="25"/>
        <v>0</v>
      </c>
      <c r="Q46" s="165">
        <f t="shared" si="26"/>
        <v>0</v>
      </c>
      <c r="R46" s="165">
        <f t="shared" si="27"/>
        <v>0</v>
      </c>
      <c r="S46" s="165">
        <f t="shared" si="28"/>
        <v>0</v>
      </c>
      <c r="T46" s="283">
        <f>IF('8. WAMKK'!C46=0,0,+S46/'8. WAMKK'!C46)</f>
        <v>0</v>
      </c>
      <c r="U46" s="120"/>
      <c r="V46" s="196">
        <f t="shared" si="17"/>
        <v>0</v>
      </c>
    </row>
    <row r="47" spans="1:22" ht="12.75" customHeight="1" x14ac:dyDescent="0.25">
      <c r="A47" s="14"/>
      <c r="B47" s="20" t="s">
        <v>46</v>
      </c>
      <c r="C47" s="165"/>
      <c r="D47" s="165"/>
      <c r="E47" s="165"/>
      <c r="F47" s="165"/>
      <c r="G47" s="165"/>
      <c r="H47" s="165"/>
      <c r="I47" s="165"/>
      <c r="J47" s="165"/>
      <c r="K47" s="165"/>
      <c r="L47" s="653">
        <f t="shared" si="42"/>
        <v>0</v>
      </c>
      <c r="M47" s="653">
        <f t="shared" si="43"/>
        <v>0</v>
      </c>
      <c r="N47" s="653">
        <f t="shared" si="44"/>
        <v>0</v>
      </c>
      <c r="O47" s="165"/>
      <c r="P47" s="165">
        <f t="shared" si="25"/>
        <v>0</v>
      </c>
      <c r="Q47" s="165">
        <f t="shared" si="26"/>
        <v>0</v>
      </c>
      <c r="R47" s="165">
        <f t="shared" si="27"/>
        <v>0</v>
      </c>
      <c r="S47" s="165">
        <f t="shared" si="28"/>
        <v>0</v>
      </c>
      <c r="T47" s="283">
        <f>IF('8. WAMKK'!C47=0,0,+S47/'8. WAMKK'!C47)</f>
        <v>0</v>
      </c>
      <c r="U47" s="120"/>
      <c r="V47" s="196">
        <f t="shared" si="17"/>
        <v>0</v>
      </c>
    </row>
    <row r="48" spans="1:22" s="42" customFormat="1" ht="12.75" customHeight="1" x14ac:dyDescent="0.25">
      <c r="A48" s="38" t="s">
        <v>47</v>
      </c>
      <c r="B48" s="39" t="s">
        <v>48</v>
      </c>
      <c r="C48" s="277">
        <f>SUM(C49:C65)</f>
        <v>2500000</v>
      </c>
      <c r="D48" s="277">
        <f t="shared" ref="D48:F48" si="45">SUM(D49:D65)</f>
        <v>2479370</v>
      </c>
      <c r="E48" s="277">
        <f t="shared" si="45"/>
        <v>2530047</v>
      </c>
      <c r="F48" s="277">
        <f t="shared" si="45"/>
        <v>0</v>
      </c>
      <c r="G48" s="558"/>
      <c r="H48" s="277">
        <f>SUM(H49:H65)</f>
        <v>1634529</v>
      </c>
      <c r="I48" s="277">
        <f>SUM(I49:I65)</f>
        <v>2225864</v>
      </c>
      <c r="J48" s="558"/>
      <c r="K48" s="558"/>
      <c r="L48" s="661">
        <f t="shared" si="42"/>
        <v>0.65381160000000005</v>
      </c>
      <c r="M48" s="661">
        <f t="shared" si="43"/>
        <v>0.89775386489309783</v>
      </c>
      <c r="N48" s="661">
        <f t="shared" si="44"/>
        <v>0</v>
      </c>
      <c r="O48" s="558"/>
      <c r="P48" s="558">
        <f t="shared" ref="P48:R48" si="46">SUM(P49:P65)</f>
        <v>-20630</v>
      </c>
      <c r="Q48" s="558">
        <f t="shared" si="46"/>
        <v>50677</v>
      </c>
      <c r="R48" s="558">
        <f t="shared" si="46"/>
        <v>0</v>
      </c>
      <c r="S48" s="558">
        <f t="shared" si="28"/>
        <v>30047</v>
      </c>
      <c r="T48" s="283">
        <f>IF('8. WAMKK'!C48=0,0,+S48/'8. WAMKK'!C48)</f>
        <v>3.5770238095238095E-3</v>
      </c>
      <c r="U48" s="121"/>
      <c r="V48" s="559">
        <f t="shared" si="17"/>
        <v>0</v>
      </c>
    </row>
    <row r="49" spans="1:22" ht="12.75" customHeight="1" x14ac:dyDescent="0.25">
      <c r="A49" s="14" t="s">
        <v>49</v>
      </c>
      <c r="B49" s="20" t="s">
        <v>50</v>
      </c>
      <c r="C49" s="165">
        <v>700000</v>
      </c>
      <c r="D49" s="165">
        <v>700000</v>
      </c>
      <c r="E49" s="165">
        <v>700000</v>
      </c>
      <c r="F49" s="165"/>
      <c r="G49" s="165"/>
      <c r="H49" s="165">
        <v>400604</v>
      </c>
      <c r="I49" s="165">
        <v>583040</v>
      </c>
      <c r="J49" s="165"/>
      <c r="K49" s="165"/>
      <c r="L49" s="653">
        <f t="shared" si="42"/>
        <v>0.57229142857142856</v>
      </c>
      <c r="M49" s="653">
        <f t="shared" si="43"/>
        <v>0.83291428571428572</v>
      </c>
      <c r="N49" s="653">
        <f t="shared" si="44"/>
        <v>0</v>
      </c>
      <c r="O49" s="165"/>
      <c r="P49" s="165">
        <f t="shared" si="25"/>
        <v>0</v>
      </c>
      <c r="Q49" s="165">
        <f t="shared" si="26"/>
        <v>0</v>
      </c>
      <c r="R49" s="165">
        <f t="shared" si="27"/>
        <v>0</v>
      </c>
      <c r="S49" s="165">
        <f t="shared" si="28"/>
        <v>0</v>
      </c>
      <c r="T49" s="283">
        <f>IF('8. WAMKK'!C49=0,0,+S49/'8. WAMKK'!C49)</f>
        <v>0</v>
      </c>
      <c r="U49" s="120"/>
      <c r="V49" s="196">
        <f t="shared" si="17"/>
        <v>0</v>
      </c>
    </row>
    <row r="50" spans="1:22" ht="12.75" customHeight="1" x14ac:dyDescent="0.25">
      <c r="A50" s="14" t="s">
        <v>103</v>
      </c>
      <c r="B50" s="20" t="s">
        <v>97</v>
      </c>
      <c r="C50" s="165"/>
      <c r="D50" s="165"/>
      <c r="E50" s="165"/>
      <c r="F50" s="165"/>
      <c r="G50" s="165"/>
      <c r="H50" s="165"/>
      <c r="I50" s="165"/>
      <c r="J50" s="165"/>
      <c r="K50" s="165"/>
      <c r="L50" s="653">
        <f t="shared" si="42"/>
        <v>0</v>
      </c>
      <c r="M50" s="653">
        <f t="shared" si="43"/>
        <v>0</v>
      </c>
      <c r="N50" s="653">
        <f t="shared" si="44"/>
        <v>0</v>
      </c>
      <c r="O50" s="165"/>
      <c r="P50" s="165">
        <f t="shared" si="25"/>
        <v>0</v>
      </c>
      <c r="Q50" s="165">
        <f t="shared" si="26"/>
        <v>0</v>
      </c>
      <c r="R50" s="165">
        <f t="shared" si="27"/>
        <v>0</v>
      </c>
      <c r="S50" s="165">
        <f t="shared" si="28"/>
        <v>0</v>
      </c>
      <c r="T50" s="283">
        <f>IF('8. WAMKK'!C50=0,0,+S50/'8. WAMKK'!C50)</f>
        <v>0</v>
      </c>
      <c r="U50" s="120"/>
      <c r="V50" s="196">
        <f t="shared" si="17"/>
        <v>0</v>
      </c>
    </row>
    <row r="51" spans="1:22" ht="12.75" customHeight="1" x14ac:dyDescent="0.25">
      <c r="A51" s="14"/>
      <c r="B51" s="20" t="s">
        <v>98</v>
      </c>
      <c r="C51" s="165"/>
      <c r="D51" s="165"/>
      <c r="E51" s="165"/>
      <c r="F51" s="165"/>
      <c r="G51" s="165"/>
      <c r="H51" s="165"/>
      <c r="I51" s="165"/>
      <c r="J51" s="165"/>
      <c r="K51" s="165"/>
      <c r="L51" s="653">
        <f t="shared" ref="L51:L65" si="47">IF(H51&gt;0,H51/C51,0)</f>
        <v>0</v>
      </c>
      <c r="M51" s="653">
        <f t="shared" ref="M51:M65" si="48">IF(I51&gt;0,I51/D51,0)</f>
        <v>0</v>
      </c>
      <c r="N51" s="653">
        <f t="shared" ref="N51:N65" si="49">IF(J51&gt;0,J51/E51,0)</f>
        <v>0</v>
      </c>
      <c r="O51" s="165"/>
      <c r="P51" s="165">
        <f t="shared" si="25"/>
        <v>0</v>
      </c>
      <c r="Q51" s="165">
        <f t="shared" si="26"/>
        <v>0</v>
      </c>
      <c r="R51" s="165">
        <f t="shared" si="27"/>
        <v>0</v>
      </c>
      <c r="S51" s="165">
        <f t="shared" si="28"/>
        <v>0</v>
      </c>
      <c r="T51" s="283">
        <f>IF('8. WAMKK'!C51=0,0,+S51/'8. WAMKK'!C51)</f>
        <v>0</v>
      </c>
      <c r="U51" s="120"/>
      <c r="V51" s="196">
        <f t="shared" si="17"/>
        <v>0</v>
      </c>
    </row>
    <row r="52" spans="1:22" ht="12.75" customHeight="1" x14ac:dyDescent="0.25">
      <c r="A52" s="14"/>
      <c r="B52" s="20" t="s">
        <v>99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653">
        <f t="shared" si="47"/>
        <v>0</v>
      </c>
      <c r="M52" s="653">
        <f t="shared" si="48"/>
        <v>0</v>
      </c>
      <c r="N52" s="653">
        <f t="shared" si="49"/>
        <v>0</v>
      </c>
      <c r="O52" s="165"/>
      <c r="P52" s="165">
        <f t="shared" si="25"/>
        <v>0</v>
      </c>
      <c r="Q52" s="165">
        <f t="shared" si="26"/>
        <v>0</v>
      </c>
      <c r="R52" s="165">
        <f t="shared" si="27"/>
        <v>0</v>
      </c>
      <c r="S52" s="165">
        <f t="shared" si="28"/>
        <v>0</v>
      </c>
      <c r="T52" s="283">
        <f>IF('8. WAMKK'!C52=0,0,+S52/'8. WAMKK'!C52)</f>
        <v>0</v>
      </c>
      <c r="U52" s="120"/>
      <c r="V52" s="196">
        <f t="shared" si="17"/>
        <v>0</v>
      </c>
    </row>
    <row r="53" spans="1:22" ht="12.75" customHeight="1" x14ac:dyDescent="0.25">
      <c r="A53" s="14" t="s">
        <v>51</v>
      </c>
      <c r="B53" s="20" t="s">
        <v>52</v>
      </c>
      <c r="C53" s="165"/>
      <c r="D53" s="165"/>
      <c r="E53" s="165"/>
      <c r="F53" s="165"/>
      <c r="G53" s="165"/>
      <c r="H53" s="165"/>
      <c r="I53" s="165"/>
      <c r="J53" s="165"/>
      <c r="K53" s="165"/>
      <c r="L53" s="653">
        <f t="shared" si="47"/>
        <v>0</v>
      </c>
      <c r="M53" s="653">
        <f t="shared" si="48"/>
        <v>0</v>
      </c>
      <c r="N53" s="653">
        <f t="shared" si="49"/>
        <v>0</v>
      </c>
      <c r="O53" s="165"/>
      <c r="P53" s="165">
        <f t="shared" si="25"/>
        <v>0</v>
      </c>
      <c r="Q53" s="165">
        <f t="shared" si="26"/>
        <v>0</v>
      </c>
      <c r="R53" s="165">
        <f t="shared" si="27"/>
        <v>0</v>
      </c>
      <c r="S53" s="165">
        <f t="shared" si="28"/>
        <v>0</v>
      </c>
      <c r="T53" s="283">
        <f>IF('8. WAMKK'!C53=0,0,+S53/'8. WAMKK'!C53)</f>
        <v>0</v>
      </c>
      <c r="U53" s="120"/>
      <c r="V53" s="196">
        <f t="shared" si="17"/>
        <v>0</v>
      </c>
    </row>
    <row r="54" spans="1:22" ht="12.75" customHeight="1" x14ac:dyDescent="0.25">
      <c r="A54" s="14"/>
      <c r="B54" s="20" t="s">
        <v>90</v>
      </c>
      <c r="C54" s="165"/>
      <c r="D54" s="165"/>
      <c r="E54" s="165"/>
      <c r="F54" s="165"/>
      <c r="G54" s="165"/>
      <c r="H54" s="165"/>
      <c r="I54" s="165"/>
      <c r="J54" s="165"/>
      <c r="K54" s="165"/>
      <c r="L54" s="653">
        <f t="shared" si="47"/>
        <v>0</v>
      </c>
      <c r="M54" s="653">
        <f t="shared" si="48"/>
        <v>0</v>
      </c>
      <c r="N54" s="653">
        <f t="shared" si="49"/>
        <v>0</v>
      </c>
      <c r="O54" s="165"/>
      <c r="P54" s="165">
        <f t="shared" si="25"/>
        <v>0</v>
      </c>
      <c r="Q54" s="165">
        <f t="shared" si="26"/>
        <v>0</v>
      </c>
      <c r="R54" s="165">
        <f t="shared" si="27"/>
        <v>0</v>
      </c>
      <c r="S54" s="165">
        <f t="shared" si="28"/>
        <v>0</v>
      </c>
      <c r="T54" s="283">
        <f>IF('8. WAMKK'!C54=0,0,+S54/'8. WAMKK'!C54)</f>
        <v>0</v>
      </c>
      <c r="U54" s="120"/>
      <c r="V54" s="196">
        <f t="shared" si="17"/>
        <v>0</v>
      </c>
    </row>
    <row r="55" spans="1:22" ht="12.75" customHeight="1" x14ac:dyDescent="0.25">
      <c r="A55" s="14"/>
      <c r="B55" s="20" t="s">
        <v>53</v>
      </c>
      <c r="C55" s="165"/>
      <c r="D55" s="165"/>
      <c r="E55" s="165"/>
      <c r="F55" s="165"/>
      <c r="G55" s="165"/>
      <c r="H55" s="165"/>
      <c r="I55" s="165"/>
      <c r="J55" s="165"/>
      <c r="K55" s="165"/>
      <c r="L55" s="653">
        <f t="shared" si="47"/>
        <v>0</v>
      </c>
      <c r="M55" s="653">
        <f t="shared" si="48"/>
        <v>0</v>
      </c>
      <c r="N55" s="653">
        <f t="shared" si="49"/>
        <v>0</v>
      </c>
      <c r="O55" s="165"/>
      <c r="P55" s="165">
        <f t="shared" si="25"/>
        <v>0</v>
      </c>
      <c r="Q55" s="165">
        <f t="shared" si="26"/>
        <v>0</v>
      </c>
      <c r="R55" s="165">
        <f t="shared" si="27"/>
        <v>0</v>
      </c>
      <c r="S55" s="165">
        <f t="shared" si="28"/>
        <v>0</v>
      </c>
      <c r="T55" s="283">
        <f>IF('8. WAMKK'!C55=0,0,+S55/'8. WAMKK'!C55)</f>
        <v>0</v>
      </c>
      <c r="U55" s="120"/>
      <c r="V55" s="196">
        <f t="shared" si="17"/>
        <v>0</v>
      </c>
    </row>
    <row r="56" spans="1:22" ht="12.75" customHeight="1" x14ac:dyDescent="0.25">
      <c r="A56" s="14" t="s">
        <v>54</v>
      </c>
      <c r="B56" s="20" t="s">
        <v>55</v>
      </c>
      <c r="C56" s="165"/>
      <c r="D56" s="165"/>
      <c r="E56" s="165"/>
      <c r="F56" s="165"/>
      <c r="G56" s="165"/>
      <c r="H56" s="165"/>
      <c r="I56" s="165"/>
      <c r="J56" s="165"/>
      <c r="K56" s="165"/>
      <c r="L56" s="653">
        <f t="shared" si="47"/>
        <v>0</v>
      </c>
      <c r="M56" s="653">
        <f t="shared" si="48"/>
        <v>0</v>
      </c>
      <c r="N56" s="653">
        <f t="shared" si="49"/>
        <v>0</v>
      </c>
      <c r="O56" s="165"/>
      <c r="P56" s="165">
        <f t="shared" si="25"/>
        <v>0</v>
      </c>
      <c r="Q56" s="165">
        <f t="shared" si="26"/>
        <v>0</v>
      </c>
      <c r="R56" s="165">
        <f t="shared" si="27"/>
        <v>0</v>
      </c>
      <c r="S56" s="165">
        <f t="shared" si="28"/>
        <v>0</v>
      </c>
      <c r="T56" s="283">
        <f>IF('8. WAMKK'!C56=0,0,+S56/'8. WAMKK'!C56)</f>
        <v>0</v>
      </c>
      <c r="U56" s="120"/>
      <c r="V56" s="196">
        <f t="shared" si="17"/>
        <v>0</v>
      </c>
    </row>
    <row r="57" spans="1:22" ht="12.75" customHeight="1" x14ac:dyDescent="0.25">
      <c r="A57" s="14"/>
      <c r="B57" s="20" t="s">
        <v>56</v>
      </c>
      <c r="C57" s="165"/>
      <c r="D57" s="165"/>
      <c r="E57" s="165"/>
      <c r="F57" s="165"/>
      <c r="G57" s="165"/>
      <c r="H57" s="165"/>
      <c r="I57" s="165"/>
      <c r="J57" s="165"/>
      <c r="K57" s="165"/>
      <c r="L57" s="653">
        <f t="shared" si="47"/>
        <v>0</v>
      </c>
      <c r="M57" s="653">
        <f t="shared" si="48"/>
        <v>0</v>
      </c>
      <c r="N57" s="653">
        <f t="shared" si="49"/>
        <v>0</v>
      </c>
      <c r="O57" s="165"/>
      <c r="P57" s="165">
        <f t="shared" si="25"/>
        <v>0</v>
      </c>
      <c r="Q57" s="165">
        <f t="shared" si="26"/>
        <v>0</v>
      </c>
      <c r="R57" s="165">
        <f t="shared" si="27"/>
        <v>0</v>
      </c>
      <c r="S57" s="165">
        <f t="shared" si="28"/>
        <v>0</v>
      </c>
      <c r="T57" s="283">
        <f>IF('8. WAMKK'!C57=0,0,+S57/'8. WAMKK'!C57)</f>
        <v>0</v>
      </c>
      <c r="U57" s="120"/>
      <c r="V57" s="196">
        <f t="shared" si="17"/>
        <v>0</v>
      </c>
    </row>
    <row r="58" spans="1:22" ht="12.75" customHeight="1" x14ac:dyDescent="0.25">
      <c r="A58" s="14" t="s">
        <v>57</v>
      </c>
      <c r="B58" s="20" t="s">
        <v>91</v>
      </c>
      <c r="C58" s="165">
        <v>500000</v>
      </c>
      <c r="D58" s="165">
        <v>500000</v>
      </c>
      <c r="E58" s="165">
        <v>500000</v>
      </c>
      <c r="F58" s="165"/>
      <c r="G58" s="165"/>
      <c r="H58" s="165">
        <v>314302</v>
      </c>
      <c r="I58" s="165">
        <v>445874</v>
      </c>
      <c r="J58" s="165"/>
      <c r="K58" s="165"/>
      <c r="L58" s="653">
        <f t="shared" si="47"/>
        <v>0.62860400000000005</v>
      </c>
      <c r="M58" s="653">
        <f t="shared" si="48"/>
        <v>0.89174799999999999</v>
      </c>
      <c r="N58" s="653">
        <f t="shared" si="49"/>
        <v>0</v>
      </c>
      <c r="O58" s="165"/>
      <c r="P58" s="165">
        <f t="shared" si="25"/>
        <v>0</v>
      </c>
      <c r="Q58" s="165">
        <f t="shared" si="26"/>
        <v>0</v>
      </c>
      <c r="R58" s="165">
        <f t="shared" si="27"/>
        <v>0</v>
      </c>
      <c r="S58" s="165">
        <f t="shared" si="28"/>
        <v>0</v>
      </c>
      <c r="T58" s="283">
        <f>IF('8. WAMKK'!C58=0,0,+S58/'8. WAMKK'!C58)</f>
        <v>0</v>
      </c>
      <c r="U58" s="120"/>
      <c r="V58" s="196">
        <f t="shared" si="17"/>
        <v>0</v>
      </c>
    </row>
    <row r="59" spans="1:22" ht="12.75" customHeight="1" x14ac:dyDescent="0.25">
      <c r="A59" s="14"/>
      <c r="B59" s="20" t="s">
        <v>58</v>
      </c>
      <c r="C59" s="315"/>
      <c r="D59" s="165"/>
      <c r="E59" s="165"/>
      <c r="F59" s="165"/>
      <c r="G59" s="165"/>
      <c r="H59" s="165"/>
      <c r="I59" s="165"/>
      <c r="J59" s="165"/>
      <c r="K59" s="165"/>
      <c r="L59" s="653">
        <f t="shared" si="47"/>
        <v>0</v>
      </c>
      <c r="M59" s="653">
        <f t="shared" si="48"/>
        <v>0</v>
      </c>
      <c r="N59" s="653">
        <f t="shared" si="49"/>
        <v>0</v>
      </c>
      <c r="O59" s="165"/>
      <c r="P59" s="165">
        <f t="shared" si="25"/>
        <v>0</v>
      </c>
      <c r="Q59" s="165">
        <f t="shared" si="26"/>
        <v>0</v>
      </c>
      <c r="R59" s="165">
        <f t="shared" si="27"/>
        <v>0</v>
      </c>
      <c r="S59" s="165">
        <f t="shared" si="28"/>
        <v>0</v>
      </c>
      <c r="T59" s="283">
        <f>IF('8. WAMKK'!C59=0,0,+S59/'8. WAMKK'!C59)</f>
        <v>0</v>
      </c>
      <c r="U59" s="120"/>
      <c r="V59" s="196">
        <f t="shared" si="17"/>
        <v>0</v>
      </c>
    </row>
    <row r="60" spans="1:22" ht="12.75" customHeight="1" x14ac:dyDescent="0.25">
      <c r="A60" s="14" t="s">
        <v>59</v>
      </c>
      <c r="B60" s="20" t="s">
        <v>60</v>
      </c>
      <c r="C60" s="165"/>
      <c r="D60" s="165"/>
      <c r="E60" s="165"/>
      <c r="F60" s="165"/>
      <c r="G60" s="165"/>
      <c r="H60" s="165"/>
      <c r="I60" s="165"/>
      <c r="J60" s="165"/>
      <c r="K60" s="165"/>
      <c r="L60" s="653">
        <f t="shared" si="47"/>
        <v>0</v>
      </c>
      <c r="M60" s="653">
        <f t="shared" si="48"/>
        <v>0</v>
      </c>
      <c r="N60" s="653">
        <f t="shared" si="49"/>
        <v>0</v>
      </c>
      <c r="O60" s="165"/>
      <c r="P60" s="165">
        <f t="shared" si="25"/>
        <v>0</v>
      </c>
      <c r="Q60" s="165">
        <f t="shared" si="26"/>
        <v>0</v>
      </c>
      <c r="R60" s="165">
        <f t="shared" si="27"/>
        <v>0</v>
      </c>
      <c r="S60" s="165">
        <f t="shared" si="28"/>
        <v>0</v>
      </c>
      <c r="T60" s="283">
        <f>IF('8. WAMKK'!C60=0,0,+S60/'8. WAMKK'!C60)</f>
        <v>0</v>
      </c>
      <c r="U60" s="120"/>
      <c r="V60" s="196">
        <f t="shared" si="17"/>
        <v>0</v>
      </c>
    </row>
    <row r="61" spans="1:22" ht="24.75" customHeight="1" x14ac:dyDescent="0.25">
      <c r="A61" s="20"/>
      <c r="B61" s="20" t="s">
        <v>61</v>
      </c>
      <c r="C61" s="165"/>
      <c r="D61" s="165"/>
      <c r="E61" s="165"/>
      <c r="F61" s="165"/>
      <c r="G61" s="165"/>
      <c r="H61" s="165"/>
      <c r="I61" s="165"/>
      <c r="J61" s="165"/>
      <c r="K61" s="165"/>
      <c r="L61" s="653">
        <f t="shared" si="47"/>
        <v>0</v>
      </c>
      <c r="M61" s="653">
        <f t="shared" si="48"/>
        <v>0</v>
      </c>
      <c r="N61" s="653">
        <f t="shared" si="49"/>
        <v>0</v>
      </c>
      <c r="O61" s="165"/>
      <c r="P61" s="165">
        <f t="shared" si="25"/>
        <v>0</v>
      </c>
      <c r="Q61" s="165">
        <f t="shared" si="26"/>
        <v>0</v>
      </c>
      <c r="R61" s="165">
        <f t="shared" si="27"/>
        <v>0</v>
      </c>
      <c r="S61" s="165">
        <f t="shared" si="28"/>
        <v>0</v>
      </c>
      <c r="T61" s="283">
        <f>IF('8. WAMKK'!C61=0,0,+S61/'8. WAMKK'!C61)</f>
        <v>0</v>
      </c>
      <c r="U61" s="120"/>
      <c r="V61" s="196">
        <f t="shared" si="17"/>
        <v>0</v>
      </c>
    </row>
    <row r="62" spans="1:22" ht="12.75" customHeight="1" x14ac:dyDescent="0.25">
      <c r="A62" s="14" t="s">
        <v>62</v>
      </c>
      <c r="B62" s="485" t="s">
        <v>63</v>
      </c>
      <c r="C62" s="165">
        <v>300000</v>
      </c>
      <c r="D62" s="165">
        <v>300000</v>
      </c>
      <c r="E62" s="165">
        <v>300000</v>
      </c>
      <c r="F62" s="165"/>
      <c r="G62" s="165"/>
      <c r="H62" s="165">
        <v>280700</v>
      </c>
      <c r="I62" s="165">
        <v>280700</v>
      </c>
      <c r="J62" s="165"/>
      <c r="K62" s="165"/>
      <c r="L62" s="653">
        <f t="shared" si="47"/>
        <v>0.93566666666666665</v>
      </c>
      <c r="M62" s="653">
        <f t="shared" si="48"/>
        <v>0.93566666666666665</v>
      </c>
      <c r="N62" s="653">
        <f t="shared" si="49"/>
        <v>0</v>
      </c>
      <c r="O62" s="165"/>
      <c r="P62" s="165">
        <f t="shared" si="25"/>
        <v>0</v>
      </c>
      <c r="Q62" s="165">
        <f t="shared" si="26"/>
        <v>0</v>
      </c>
      <c r="R62" s="165">
        <f t="shared" si="27"/>
        <v>0</v>
      </c>
      <c r="S62" s="165">
        <f t="shared" si="28"/>
        <v>0</v>
      </c>
      <c r="T62" s="283">
        <f>IF('8. WAMKK'!C62=0,0,+S62/'8. WAMKK'!C62)</f>
        <v>0</v>
      </c>
      <c r="U62" s="120"/>
      <c r="V62" s="196">
        <f t="shared" si="17"/>
        <v>0</v>
      </c>
    </row>
    <row r="63" spans="1:22" ht="39.75" customHeight="1" x14ac:dyDescent="0.25">
      <c r="A63" s="14"/>
      <c r="B63" s="20" t="s">
        <v>102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653">
        <f t="shared" si="47"/>
        <v>0</v>
      </c>
      <c r="M63" s="653">
        <f t="shared" si="48"/>
        <v>0</v>
      </c>
      <c r="N63" s="653">
        <f t="shared" si="49"/>
        <v>0</v>
      </c>
      <c r="O63" s="165"/>
      <c r="P63" s="165">
        <f t="shared" si="25"/>
        <v>0</v>
      </c>
      <c r="Q63" s="165">
        <f t="shared" si="26"/>
        <v>0</v>
      </c>
      <c r="R63" s="165">
        <f t="shared" si="27"/>
        <v>0</v>
      </c>
      <c r="S63" s="165">
        <f t="shared" si="28"/>
        <v>0</v>
      </c>
      <c r="T63" s="283">
        <f>IF('8. WAMKK'!C63=0,0,+S63/'8. WAMKK'!C63)</f>
        <v>0</v>
      </c>
      <c r="U63" s="120"/>
      <c r="V63" s="196">
        <f t="shared" si="17"/>
        <v>0</v>
      </c>
    </row>
    <row r="64" spans="1:22" ht="12.75" customHeight="1" x14ac:dyDescent="0.25">
      <c r="A64" s="14" t="s">
        <v>64</v>
      </c>
      <c r="B64" s="20" t="s">
        <v>65</v>
      </c>
      <c r="C64" s="165">
        <v>1000000</v>
      </c>
      <c r="D64" s="165">
        <v>979370</v>
      </c>
      <c r="E64" s="165">
        <v>1030047</v>
      </c>
      <c r="F64" s="165"/>
      <c r="G64" s="165"/>
      <c r="H64" s="165">
        <v>638923</v>
      </c>
      <c r="I64" s="165">
        <v>916250</v>
      </c>
      <c r="J64" s="165"/>
      <c r="K64" s="165"/>
      <c r="L64" s="653">
        <f t="shared" si="47"/>
        <v>0.63892300000000002</v>
      </c>
      <c r="M64" s="653">
        <f t="shared" si="48"/>
        <v>0.93555040485209884</v>
      </c>
      <c r="N64" s="653">
        <f t="shared" si="49"/>
        <v>0</v>
      </c>
      <c r="O64" s="165"/>
      <c r="P64" s="165">
        <f t="shared" si="25"/>
        <v>-20630</v>
      </c>
      <c r="Q64" s="165">
        <f t="shared" si="26"/>
        <v>50677</v>
      </c>
      <c r="R64" s="165">
        <f t="shared" si="27"/>
        <v>0</v>
      </c>
      <c r="S64" s="165">
        <f t="shared" si="28"/>
        <v>30047</v>
      </c>
      <c r="T64" s="283">
        <f>IF('8. WAMKK'!C64=0,0,+S64/'8. WAMKK'!C64)</f>
        <v>6.0093999999999998E-3</v>
      </c>
      <c r="U64" s="120"/>
      <c r="V64" s="196">
        <f t="shared" si="17"/>
        <v>0</v>
      </c>
    </row>
    <row r="65" spans="1:22" ht="39" customHeight="1" x14ac:dyDescent="0.25">
      <c r="A65" s="14"/>
      <c r="B65" s="20" t="s">
        <v>66</v>
      </c>
      <c r="C65" s="165"/>
      <c r="D65" s="165"/>
      <c r="E65" s="165"/>
      <c r="F65" s="165"/>
      <c r="G65" s="165"/>
      <c r="H65" s="165"/>
      <c r="I65" s="165"/>
      <c r="J65" s="165"/>
      <c r="K65" s="165"/>
      <c r="L65" s="653">
        <f t="shared" si="47"/>
        <v>0</v>
      </c>
      <c r="M65" s="653">
        <f t="shared" si="48"/>
        <v>0</v>
      </c>
      <c r="N65" s="653">
        <f t="shared" si="49"/>
        <v>0</v>
      </c>
      <c r="O65" s="165"/>
      <c r="P65" s="165">
        <f t="shared" si="25"/>
        <v>0</v>
      </c>
      <c r="Q65" s="165">
        <f t="shared" si="26"/>
        <v>0</v>
      </c>
      <c r="R65" s="165">
        <f t="shared" si="27"/>
        <v>0</v>
      </c>
      <c r="S65" s="165">
        <f t="shared" si="28"/>
        <v>0</v>
      </c>
      <c r="T65" s="283">
        <f>IF('8. WAMKK'!C65=0,0,+S65/'8. WAMKK'!C65)</f>
        <v>0</v>
      </c>
      <c r="U65" s="120"/>
      <c r="V65" s="196">
        <f t="shared" si="17"/>
        <v>0</v>
      </c>
    </row>
    <row r="66" spans="1:22" s="42" customFormat="1" ht="12.75" customHeight="1" x14ac:dyDescent="0.25">
      <c r="A66" s="38" t="s">
        <v>67</v>
      </c>
      <c r="B66" s="39" t="s">
        <v>68</v>
      </c>
      <c r="C66" s="277">
        <f>+C67+C69</f>
        <v>250000</v>
      </c>
      <c r="D66" s="277">
        <f t="shared" ref="D66:F66" si="50">+D67+D69</f>
        <v>250000</v>
      </c>
      <c r="E66" s="277">
        <f t="shared" si="50"/>
        <v>250000</v>
      </c>
      <c r="F66" s="277">
        <f t="shared" si="50"/>
        <v>0</v>
      </c>
      <c r="G66" s="558"/>
      <c r="H66" s="277">
        <f>+H67+H69</f>
        <v>100035</v>
      </c>
      <c r="I66" s="277">
        <f>+I67+I69</f>
        <v>160090</v>
      </c>
      <c r="J66" s="558"/>
      <c r="K66" s="558"/>
      <c r="L66" s="654">
        <f t="shared" ref="L66:L70" si="51">IF(H66&gt;0,H66/C66,0)</f>
        <v>0.40014</v>
      </c>
      <c r="M66" s="654">
        <f t="shared" ref="M66:M70" si="52">IF(I66&gt;0,I66/D66,0)</f>
        <v>0.64036000000000004</v>
      </c>
      <c r="N66" s="654">
        <f t="shared" ref="N66:N70" si="53">IF(J66&gt;0,J66/E66,0)</f>
        <v>0</v>
      </c>
      <c r="O66" s="558"/>
      <c r="P66" s="558">
        <f t="shared" ref="P66:R66" si="54">+P67+P69</f>
        <v>0</v>
      </c>
      <c r="Q66" s="558">
        <f t="shared" si="54"/>
        <v>0</v>
      </c>
      <c r="R66" s="558">
        <f t="shared" si="54"/>
        <v>0</v>
      </c>
      <c r="S66" s="558">
        <f t="shared" si="28"/>
        <v>0</v>
      </c>
      <c r="T66" s="283">
        <f>IF('8. WAMKK'!C66=0,0,+S66/'8. WAMKK'!C66)</f>
        <v>0</v>
      </c>
      <c r="U66" s="121"/>
      <c r="V66" s="559">
        <f t="shared" si="17"/>
        <v>0</v>
      </c>
    </row>
    <row r="67" spans="1:22" ht="12.75" customHeight="1" x14ac:dyDescent="0.25">
      <c r="A67" s="14" t="s">
        <v>69</v>
      </c>
      <c r="B67" s="20" t="s">
        <v>70</v>
      </c>
      <c r="C67" s="165">
        <v>250000</v>
      </c>
      <c r="D67" s="165">
        <v>250000</v>
      </c>
      <c r="E67" s="165">
        <v>250000</v>
      </c>
      <c r="F67" s="165"/>
      <c r="G67" s="165"/>
      <c r="H67" s="165">
        <v>100035</v>
      </c>
      <c r="I67" s="165">
        <v>160090</v>
      </c>
      <c r="J67" s="165"/>
      <c r="K67" s="165"/>
      <c r="L67" s="653">
        <f t="shared" si="51"/>
        <v>0.40014</v>
      </c>
      <c r="M67" s="653">
        <f t="shared" si="52"/>
        <v>0.64036000000000004</v>
      </c>
      <c r="N67" s="653">
        <f t="shared" si="53"/>
        <v>0</v>
      </c>
      <c r="O67" s="165"/>
      <c r="P67" s="165">
        <f t="shared" si="25"/>
        <v>0</v>
      </c>
      <c r="Q67" s="165">
        <f t="shared" si="26"/>
        <v>0</v>
      </c>
      <c r="R67" s="165">
        <f t="shared" si="27"/>
        <v>0</v>
      </c>
      <c r="S67" s="165">
        <f t="shared" si="28"/>
        <v>0</v>
      </c>
      <c r="T67" s="283">
        <f>IF('8. WAMKK'!C67=0,0,+S67/'8. WAMKK'!C67)</f>
        <v>0</v>
      </c>
      <c r="U67" s="120"/>
      <c r="V67" s="196">
        <f t="shared" si="17"/>
        <v>0</v>
      </c>
    </row>
    <row r="68" spans="1:22" ht="12.75" customHeight="1" x14ac:dyDescent="0.25">
      <c r="A68" s="14"/>
      <c r="B68" s="20" t="s">
        <v>71</v>
      </c>
      <c r="C68" s="165"/>
      <c r="D68" s="165"/>
      <c r="E68" s="165"/>
      <c r="F68" s="165"/>
      <c r="G68" s="165"/>
      <c r="H68" s="165"/>
      <c r="I68" s="165"/>
      <c r="J68" s="165"/>
      <c r="K68" s="165"/>
      <c r="L68" s="653">
        <f t="shared" si="51"/>
        <v>0</v>
      </c>
      <c r="M68" s="653">
        <f t="shared" si="52"/>
        <v>0</v>
      </c>
      <c r="N68" s="653">
        <f t="shared" si="53"/>
        <v>0</v>
      </c>
      <c r="O68" s="165"/>
      <c r="P68" s="165">
        <f t="shared" si="25"/>
        <v>0</v>
      </c>
      <c r="Q68" s="165">
        <f t="shared" si="26"/>
        <v>0</v>
      </c>
      <c r="R68" s="165">
        <f t="shared" si="27"/>
        <v>0</v>
      </c>
      <c r="S68" s="165">
        <f t="shared" si="28"/>
        <v>0</v>
      </c>
      <c r="T68" s="283">
        <f>IF('8. WAMKK'!C68=0,0,+S68/'8. WAMKK'!C68)</f>
        <v>0</v>
      </c>
      <c r="U68" s="120"/>
      <c r="V68" s="196">
        <f t="shared" si="17"/>
        <v>0</v>
      </c>
    </row>
    <row r="69" spans="1:22" ht="12.75" customHeight="1" x14ac:dyDescent="0.25">
      <c r="A69" s="14" t="s">
        <v>72</v>
      </c>
      <c r="B69" s="20" t="s">
        <v>100</v>
      </c>
      <c r="C69" s="165"/>
      <c r="D69" s="165"/>
      <c r="E69" s="165"/>
      <c r="F69" s="165"/>
      <c r="G69" s="165"/>
      <c r="H69" s="165"/>
      <c r="I69" s="165"/>
      <c r="J69" s="165"/>
      <c r="K69" s="165"/>
      <c r="L69" s="653">
        <f t="shared" si="51"/>
        <v>0</v>
      </c>
      <c r="M69" s="653">
        <f t="shared" si="52"/>
        <v>0</v>
      </c>
      <c r="N69" s="653">
        <f t="shared" si="53"/>
        <v>0</v>
      </c>
      <c r="O69" s="165"/>
      <c r="P69" s="165">
        <f t="shared" si="25"/>
        <v>0</v>
      </c>
      <c r="Q69" s="165">
        <f t="shared" si="26"/>
        <v>0</v>
      </c>
      <c r="R69" s="165">
        <f t="shared" si="27"/>
        <v>0</v>
      </c>
      <c r="S69" s="165">
        <f t="shared" si="28"/>
        <v>0</v>
      </c>
      <c r="T69" s="283">
        <f>IF('8. WAMKK'!C69=0,0,+S69/'8. WAMKK'!C69)</f>
        <v>0</v>
      </c>
      <c r="U69" s="120"/>
      <c r="V69" s="196">
        <f t="shared" si="17"/>
        <v>0</v>
      </c>
    </row>
    <row r="70" spans="1:22" ht="12.75" customHeight="1" x14ac:dyDescent="0.25">
      <c r="A70" s="14"/>
      <c r="B70" s="20" t="s">
        <v>73</v>
      </c>
      <c r="C70" s="165"/>
      <c r="D70" s="165"/>
      <c r="E70" s="165"/>
      <c r="F70" s="165"/>
      <c r="G70" s="165"/>
      <c r="H70" s="165"/>
      <c r="I70" s="165"/>
      <c r="J70" s="165"/>
      <c r="K70" s="165"/>
      <c r="L70" s="653">
        <f t="shared" si="51"/>
        <v>0</v>
      </c>
      <c r="M70" s="653">
        <f t="shared" si="52"/>
        <v>0</v>
      </c>
      <c r="N70" s="653">
        <f t="shared" si="53"/>
        <v>0</v>
      </c>
      <c r="O70" s="165"/>
      <c r="P70" s="165">
        <f t="shared" si="25"/>
        <v>0</v>
      </c>
      <c r="Q70" s="165">
        <f t="shared" si="26"/>
        <v>0</v>
      </c>
      <c r="R70" s="165">
        <f t="shared" si="27"/>
        <v>0</v>
      </c>
      <c r="S70" s="165">
        <f t="shared" si="28"/>
        <v>0</v>
      </c>
      <c r="T70" s="283">
        <f>IF('8. WAMKK'!C70=0,0,+S70/'8. WAMKK'!C70)</f>
        <v>0</v>
      </c>
      <c r="U70" s="120"/>
      <c r="V70" s="196">
        <f t="shared" si="17"/>
        <v>0</v>
      </c>
    </row>
    <row r="71" spans="1:22" s="42" customFormat="1" ht="12.75" customHeight="1" x14ac:dyDescent="0.25">
      <c r="A71" s="38" t="s">
        <v>74</v>
      </c>
      <c r="B71" s="39" t="s">
        <v>75</v>
      </c>
      <c r="C71" s="277">
        <f>SUM(C72:C81)</f>
        <v>13555000.000000002</v>
      </c>
      <c r="D71" s="277">
        <f t="shared" ref="D71:F71" si="55">SUM(D72:D81)</f>
        <v>13555000</v>
      </c>
      <c r="E71" s="277">
        <f t="shared" si="55"/>
        <v>13555000</v>
      </c>
      <c r="F71" s="277">
        <f t="shared" si="55"/>
        <v>0</v>
      </c>
      <c r="G71" s="558"/>
      <c r="H71" s="277">
        <f>SUM(H72:H81)</f>
        <v>5640455</v>
      </c>
      <c r="I71" s="277">
        <f>SUM(I72:I81)</f>
        <v>7377096</v>
      </c>
      <c r="J71" s="558"/>
      <c r="K71" s="558"/>
      <c r="L71" s="654">
        <f t="shared" ref="L71:L80" si="56">IF(H71&gt;0,H71/C71,0)</f>
        <v>0.41611619328661004</v>
      </c>
      <c r="M71" s="654">
        <f t="shared" ref="M71:M80" si="57">IF(I71&gt;0,I71/D71,0)</f>
        <v>0.5442343046846182</v>
      </c>
      <c r="N71" s="654">
        <f t="shared" ref="N71:N80" si="58">IF(J71&gt;0,J71/E71,0)</f>
        <v>0</v>
      </c>
      <c r="O71" s="558"/>
      <c r="P71" s="558">
        <f t="shared" ref="P71:R71" si="59">SUM(P72:P81)</f>
        <v>-1.862645149230957E-9</v>
      </c>
      <c r="Q71" s="558">
        <f t="shared" si="59"/>
        <v>0</v>
      </c>
      <c r="R71" s="558">
        <f t="shared" si="59"/>
        <v>0</v>
      </c>
      <c r="S71" s="558">
        <f t="shared" si="28"/>
        <v>-1.862645149230957E-9</v>
      </c>
      <c r="T71" s="283">
        <f>IF('8. WAMKK'!C71=0,0,+S71/'8. WAMKK'!C71)</f>
        <v>-1.2278478241469724E-15</v>
      </c>
      <c r="U71" s="121"/>
      <c r="V71" s="559">
        <f t="shared" si="17"/>
        <v>0</v>
      </c>
    </row>
    <row r="72" spans="1:22" ht="12.75" customHeight="1" x14ac:dyDescent="0.25">
      <c r="A72" s="14" t="s">
        <v>76</v>
      </c>
      <c r="B72" s="20" t="s">
        <v>77</v>
      </c>
      <c r="C72" s="165">
        <f>10500000*1.1</f>
        <v>11550000.000000002</v>
      </c>
      <c r="D72" s="165">
        <v>11550000</v>
      </c>
      <c r="E72" s="165">
        <v>11550000</v>
      </c>
      <c r="F72" s="165"/>
      <c r="G72" s="165"/>
      <c r="H72" s="165">
        <v>5638496</v>
      </c>
      <c r="I72" s="165">
        <v>7120029</v>
      </c>
      <c r="J72" s="165"/>
      <c r="K72" s="165"/>
      <c r="L72" s="653">
        <f t="shared" si="56"/>
        <v>0.48818147186147176</v>
      </c>
      <c r="M72" s="653">
        <f t="shared" si="57"/>
        <v>0.61645272727272726</v>
      </c>
      <c r="N72" s="653">
        <f t="shared" si="58"/>
        <v>0</v>
      </c>
      <c r="O72" s="165"/>
      <c r="P72" s="165">
        <f t="shared" si="25"/>
        <v>-1.862645149230957E-9</v>
      </c>
      <c r="Q72" s="165">
        <f t="shared" si="26"/>
        <v>0</v>
      </c>
      <c r="R72" s="165">
        <f t="shared" si="27"/>
        <v>0</v>
      </c>
      <c r="S72" s="165">
        <f t="shared" si="28"/>
        <v>-1.862645149230957E-9</v>
      </c>
      <c r="T72" s="283">
        <f>IF('8. WAMKK'!C72=0,0,+S72/'8. WAMKK'!C72)</f>
        <v>-1.2417634328206381E-15</v>
      </c>
      <c r="U72" s="120"/>
      <c r="V72" s="196">
        <f t="shared" ref="V72:V101" si="60">+S72-E72+C72</f>
        <v>0</v>
      </c>
    </row>
    <row r="73" spans="1:22" ht="12.75" customHeight="1" x14ac:dyDescent="0.25">
      <c r="A73" s="14"/>
      <c r="B73" s="20" t="s">
        <v>78</v>
      </c>
      <c r="C73" s="165">
        <v>0</v>
      </c>
      <c r="D73" s="165"/>
      <c r="E73" s="165"/>
      <c r="F73" s="165"/>
      <c r="G73" s="165"/>
      <c r="H73" s="165"/>
      <c r="I73" s="165"/>
      <c r="J73" s="165"/>
      <c r="K73" s="165"/>
      <c r="L73" s="653">
        <f t="shared" si="56"/>
        <v>0</v>
      </c>
      <c r="M73" s="653">
        <f t="shared" si="57"/>
        <v>0</v>
      </c>
      <c r="N73" s="653">
        <f t="shared" si="58"/>
        <v>0</v>
      </c>
      <c r="O73" s="165"/>
      <c r="P73" s="165">
        <f t="shared" si="25"/>
        <v>0</v>
      </c>
      <c r="Q73" s="165">
        <f t="shared" si="26"/>
        <v>0</v>
      </c>
      <c r="R73" s="165">
        <f t="shared" si="27"/>
        <v>0</v>
      </c>
      <c r="S73" s="165">
        <f t="shared" si="28"/>
        <v>0</v>
      </c>
      <c r="T73" s="283">
        <f>IF('8. WAMKK'!C73=0,0,+S73/'8. WAMKK'!C73)</f>
        <v>0</v>
      </c>
      <c r="U73" s="120"/>
      <c r="V73" s="196">
        <f t="shared" si="60"/>
        <v>0</v>
      </c>
    </row>
    <row r="74" spans="1:22" ht="12.75" customHeight="1" x14ac:dyDescent="0.25">
      <c r="A74" s="14" t="s">
        <v>79</v>
      </c>
      <c r="B74" s="20" t="s">
        <v>80</v>
      </c>
      <c r="C74" s="165">
        <v>2000000</v>
      </c>
      <c r="D74" s="165">
        <v>2000000</v>
      </c>
      <c r="E74" s="165">
        <v>2000000</v>
      </c>
      <c r="F74" s="165"/>
      <c r="G74" s="165"/>
      <c r="H74" s="165">
        <v>0</v>
      </c>
      <c r="I74" s="165">
        <v>254000</v>
      </c>
      <c r="J74" s="165"/>
      <c r="K74" s="165"/>
      <c r="L74" s="653">
        <f t="shared" si="56"/>
        <v>0</v>
      </c>
      <c r="M74" s="653">
        <f t="shared" si="57"/>
        <v>0.127</v>
      </c>
      <c r="N74" s="653">
        <f t="shared" si="58"/>
        <v>0</v>
      </c>
      <c r="O74" s="165"/>
      <c r="P74" s="165">
        <f t="shared" si="25"/>
        <v>0</v>
      </c>
      <c r="Q74" s="165">
        <f t="shared" si="26"/>
        <v>0</v>
      </c>
      <c r="R74" s="165">
        <f t="shared" si="27"/>
        <v>0</v>
      </c>
      <c r="S74" s="165">
        <f t="shared" si="28"/>
        <v>0</v>
      </c>
      <c r="T74" s="283">
        <f>IF('8. WAMKK'!C74=0,0,+S74/'8. WAMKK'!C74)</f>
        <v>0</v>
      </c>
      <c r="U74" s="120"/>
      <c r="V74" s="196">
        <f t="shared" si="60"/>
        <v>0</v>
      </c>
    </row>
    <row r="75" spans="1:22" ht="12.75" customHeight="1" x14ac:dyDescent="0.25">
      <c r="A75" s="14"/>
      <c r="B75" s="20" t="s">
        <v>101</v>
      </c>
      <c r="C75" s="165"/>
      <c r="D75" s="165"/>
      <c r="E75" s="165"/>
      <c r="F75" s="165"/>
      <c r="G75" s="165"/>
      <c r="H75" s="165"/>
      <c r="I75" s="165"/>
      <c r="J75" s="165"/>
      <c r="K75" s="165"/>
      <c r="L75" s="653">
        <f t="shared" si="56"/>
        <v>0</v>
      </c>
      <c r="M75" s="653">
        <f t="shared" si="57"/>
        <v>0</v>
      </c>
      <c r="N75" s="653">
        <f t="shared" si="58"/>
        <v>0</v>
      </c>
      <c r="O75" s="165"/>
      <c r="P75" s="165">
        <f t="shared" si="25"/>
        <v>0</v>
      </c>
      <c r="Q75" s="165">
        <f t="shared" si="26"/>
        <v>0</v>
      </c>
      <c r="R75" s="165">
        <f t="shared" si="27"/>
        <v>0</v>
      </c>
      <c r="S75" s="165">
        <f t="shared" si="28"/>
        <v>0</v>
      </c>
      <c r="T75" s="283">
        <f>IF('8. WAMKK'!C75=0,0,+S75/'8. WAMKK'!C75)</f>
        <v>0</v>
      </c>
      <c r="U75" s="120"/>
      <c r="V75" s="196">
        <f t="shared" si="60"/>
        <v>0</v>
      </c>
    </row>
    <row r="76" spans="1:22" ht="12.75" customHeight="1" x14ac:dyDescent="0.25">
      <c r="A76" s="14" t="s">
        <v>81</v>
      </c>
      <c r="B76" s="20" t="s">
        <v>82</v>
      </c>
      <c r="C76" s="165"/>
      <c r="D76" s="165"/>
      <c r="E76" s="165"/>
      <c r="F76" s="165"/>
      <c r="G76" s="165"/>
      <c r="H76" s="165"/>
      <c r="I76" s="165"/>
      <c r="J76" s="165"/>
      <c r="K76" s="165"/>
      <c r="L76" s="653">
        <f t="shared" si="56"/>
        <v>0</v>
      </c>
      <c r="M76" s="653">
        <f t="shared" si="57"/>
        <v>0</v>
      </c>
      <c r="N76" s="653">
        <f t="shared" si="58"/>
        <v>0</v>
      </c>
      <c r="O76" s="165"/>
      <c r="P76" s="165">
        <f t="shared" si="25"/>
        <v>0</v>
      </c>
      <c r="Q76" s="165">
        <f t="shared" si="26"/>
        <v>0</v>
      </c>
      <c r="R76" s="165">
        <f t="shared" si="27"/>
        <v>0</v>
      </c>
      <c r="S76" s="165">
        <f t="shared" si="28"/>
        <v>0</v>
      </c>
      <c r="T76" s="283">
        <f>IF('8. WAMKK'!C76=0,0,+S76/'8. WAMKK'!C76)</f>
        <v>0</v>
      </c>
      <c r="U76" s="120"/>
      <c r="V76" s="196">
        <f t="shared" si="60"/>
        <v>0</v>
      </c>
    </row>
    <row r="77" spans="1:22" ht="12.75" customHeight="1" x14ac:dyDescent="0.25">
      <c r="A77" s="14"/>
      <c r="B77" s="20" t="s">
        <v>106</v>
      </c>
      <c r="C77" s="165"/>
      <c r="D77" s="165"/>
      <c r="E77" s="165"/>
      <c r="F77" s="165"/>
      <c r="G77" s="165"/>
      <c r="H77" s="165"/>
      <c r="I77" s="165"/>
      <c r="J77" s="165"/>
      <c r="K77" s="165"/>
      <c r="L77" s="653">
        <f t="shared" si="56"/>
        <v>0</v>
      </c>
      <c r="M77" s="653">
        <f t="shared" si="57"/>
        <v>0</v>
      </c>
      <c r="N77" s="653">
        <f t="shared" si="58"/>
        <v>0</v>
      </c>
      <c r="O77" s="165"/>
      <c r="P77" s="165">
        <f t="shared" si="25"/>
        <v>0</v>
      </c>
      <c r="Q77" s="165">
        <f t="shared" si="26"/>
        <v>0</v>
      </c>
      <c r="R77" s="165">
        <f t="shared" si="27"/>
        <v>0</v>
      </c>
      <c r="S77" s="165">
        <f t="shared" si="28"/>
        <v>0</v>
      </c>
      <c r="T77" s="283">
        <f>IF('8. WAMKK'!C77=0,0,+S77/'8. WAMKK'!C77)</f>
        <v>0</v>
      </c>
      <c r="U77" s="120"/>
      <c r="V77" s="196">
        <f t="shared" si="60"/>
        <v>0</v>
      </c>
    </row>
    <row r="78" spans="1:22" ht="12.75" customHeight="1" x14ac:dyDescent="0.25">
      <c r="A78" s="14" t="s">
        <v>84</v>
      </c>
      <c r="B78" s="20" t="s">
        <v>85</v>
      </c>
      <c r="C78" s="165"/>
      <c r="D78" s="165"/>
      <c r="E78" s="165"/>
      <c r="F78" s="165"/>
      <c r="G78" s="165"/>
      <c r="H78" s="165"/>
      <c r="I78" s="165"/>
      <c r="J78" s="165"/>
      <c r="K78" s="165"/>
      <c r="L78" s="653">
        <f t="shared" si="56"/>
        <v>0</v>
      </c>
      <c r="M78" s="653">
        <f t="shared" si="57"/>
        <v>0</v>
      </c>
      <c r="N78" s="653">
        <f t="shared" si="58"/>
        <v>0</v>
      </c>
      <c r="O78" s="165"/>
      <c r="P78" s="165">
        <f t="shared" si="25"/>
        <v>0</v>
      </c>
      <c r="Q78" s="165">
        <f t="shared" si="26"/>
        <v>0</v>
      </c>
      <c r="R78" s="165">
        <f t="shared" si="27"/>
        <v>0</v>
      </c>
      <c r="S78" s="165">
        <f t="shared" si="28"/>
        <v>0</v>
      </c>
      <c r="T78" s="283">
        <f>IF('8. WAMKK'!C78=0,0,+S78/'8. WAMKK'!C78)</f>
        <v>0</v>
      </c>
      <c r="U78" s="120"/>
      <c r="V78" s="196">
        <f t="shared" si="60"/>
        <v>0</v>
      </c>
    </row>
    <row r="79" spans="1:22" ht="12.75" customHeight="1" x14ac:dyDescent="0.25">
      <c r="A79" s="14"/>
      <c r="B79" s="20" t="s">
        <v>86</v>
      </c>
      <c r="C79" s="165"/>
      <c r="D79" s="165"/>
      <c r="E79" s="165"/>
      <c r="F79" s="165"/>
      <c r="G79" s="165"/>
      <c r="H79" s="165"/>
      <c r="I79" s="165"/>
      <c r="J79" s="165"/>
      <c r="K79" s="165"/>
      <c r="L79" s="653">
        <f t="shared" si="56"/>
        <v>0</v>
      </c>
      <c r="M79" s="653">
        <f t="shared" si="57"/>
        <v>0</v>
      </c>
      <c r="N79" s="653">
        <f t="shared" si="58"/>
        <v>0</v>
      </c>
      <c r="O79" s="165"/>
      <c r="P79" s="165">
        <f t="shared" si="25"/>
        <v>0</v>
      </c>
      <c r="Q79" s="165">
        <f t="shared" si="26"/>
        <v>0</v>
      </c>
      <c r="R79" s="165">
        <f t="shared" si="27"/>
        <v>0</v>
      </c>
      <c r="S79" s="165">
        <f t="shared" si="28"/>
        <v>0</v>
      </c>
      <c r="T79" s="283">
        <f>IF('8. WAMKK'!C79=0,0,+S79/'8. WAMKK'!C79)</f>
        <v>0</v>
      </c>
      <c r="U79" s="120"/>
      <c r="V79" s="196">
        <f t="shared" si="60"/>
        <v>0</v>
      </c>
    </row>
    <row r="80" spans="1:22" ht="12.75" customHeight="1" x14ac:dyDescent="0.25">
      <c r="A80" s="14" t="s">
        <v>87</v>
      </c>
      <c r="B80" s="20" t="s">
        <v>88</v>
      </c>
      <c r="C80" s="165">
        <v>5000</v>
      </c>
      <c r="D80" s="165">
        <v>5000</v>
      </c>
      <c r="E80" s="165">
        <v>5000</v>
      </c>
      <c r="F80" s="165"/>
      <c r="G80" s="165"/>
      <c r="H80" s="165">
        <v>1959</v>
      </c>
      <c r="I80" s="165">
        <v>3067</v>
      </c>
      <c r="J80" s="165"/>
      <c r="K80" s="165"/>
      <c r="L80" s="653">
        <f t="shared" si="56"/>
        <v>0.39179999999999998</v>
      </c>
      <c r="M80" s="653">
        <f t="shared" si="57"/>
        <v>0.61339999999999995</v>
      </c>
      <c r="N80" s="653">
        <f t="shared" si="58"/>
        <v>0</v>
      </c>
      <c r="O80" s="165"/>
      <c r="P80" s="165">
        <f t="shared" ref="P80:P102" si="61">+(D80-C80)*P$10</f>
        <v>0</v>
      </c>
      <c r="Q80" s="165">
        <f t="shared" ref="Q80:Q102" si="62">+(E80-D80)*Q$10</f>
        <v>0</v>
      </c>
      <c r="R80" s="165">
        <f t="shared" ref="R80:R102" si="63">+(F80-E80)*R$10</f>
        <v>0</v>
      </c>
      <c r="S80" s="165">
        <f t="shared" ref="S80:S83" si="64">+P80*P$10+Q80*Q$10+R80*R$10</f>
        <v>0</v>
      </c>
      <c r="T80" s="283">
        <f>IF('8. WAMKK'!C80=0,0,+S80/'8. WAMKK'!C80)</f>
        <v>0</v>
      </c>
      <c r="U80" s="120"/>
      <c r="V80" s="196">
        <f t="shared" si="60"/>
        <v>0</v>
      </c>
    </row>
    <row r="81" spans="1:24" ht="12.75" customHeight="1" x14ac:dyDescent="0.25">
      <c r="A81" s="14"/>
      <c r="B81" s="20" t="s">
        <v>92</v>
      </c>
      <c r="C81" s="165"/>
      <c r="D81" s="165"/>
      <c r="E81" s="165"/>
      <c r="F81" s="165"/>
      <c r="G81" s="165"/>
      <c r="H81" s="165"/>
      <c r="I81" s="165"/>
      <c r="J81" s="165"/>
      <c r="K81" s="165"/>
      <c r="L81" s="649"/>
      <c r="M81" s="649"/>
      <c r="N81" s="649"/>
      <c r="O81" s="165"/>
      <c r="P81" s="165">
        <f t="shared" si="61"/>
        <v>0</v>
      </c>
      <c r="Q81" s="165">
        <f t="shared" si="62"/>
        <v>0</v>
      </c>
      <c r="R81" s="165">
        <f t="shared" si="63"/>
        <v>0</v>
      </c>
      <c r="S81" s="165">
        <f t="shared" si="64"/>
        <v>0</v>
      </c>
      <c r="T81" s="283">
        <f>IF('8. WAMKK'!C81=0,0,+S81/'8. WAMKK'!C81)</f>
        <v>0</v>
      </c>
      <c r="U81" s="120"/>
      <c r="V81" s="196">
        <f t="shared" si="60"/>
        <v>0</v>
      </c>
    </row>
    <row r="82" spans="1:24" ht="12.75" customHeight="1" x14ac:dyDescent="0.25">
      <c r="A82" s="29"/>
      <c r="B82" s="21"/>
      <c r="C82" s="165"/>
      <c r="D82" s="165"/>
      <c r="E82" s="165"/>
      <c r="F82" s="165"/>
      <c r="G82" s="165"/>
      <c r="H82" s="165"/>
      <c r="I82" s="165"/>
      <c r="J82" s="165"/>
      <c r="K82" s="165"/>
      <c r="L82" s="652"/>
      <c r="M82" s="652"/>
      <c r="N82" s="652"/>
      <c r="O82" s="165"/>
      <c r="P82" s="165">
        <f t="shared" si="61"/>
        <v>0</v>
      </c>
      <c r="Q82" s="165">
        <f t="shared" si="62"/>
        <v>0</v>
      </c>
      <c r="R82" s="165">
        <f t="shared" si="63"/>
        <v>0</v>
      </c>
      <c r="S82" s="165">
        <f t="shared" si="64"/>
        <v>0</v>
      </c>
      <c r="T82" s="283">
        <f>IF('8. WAMKK'!C82=0,0,+S82/'8. WAMKK'!C82)</f>
        <v>0</v>
      </c>
      <c r="U82" s="120"/>
      <c r="V82" s="196">
        <f t="shared" si="60"/>
        <v>0</v>
      </c>
    </row>
    <row r="83" spans="1:24" s="42" customFormat="1" ht="12.75" customHeight="1" x14ac:dyDescent="0.25">
      <c r="A83" s="4" t="s">
        <v>158</v>
      </c>
      <c r="B83" s="48" t="s">
        <v>159</v>
      </c>
      <c r="C83" s="316">
        <f>SUM(C84:C85)</f>
        <v>0</v>
      </c>
      <c r="D83" s="316">
        <f t="shared" ref="D83:F83" si="65">SUM(D84:D85)</f>
        <v>0</v>
      </c>
      <c r="E83" s="316">
        <f t="shared" si="65"/>
        <v>0</v>
      </c>
      <c r="F83" s="316">
        <f t="shared" si="65"/>
        <v>0</v>
      </c>
      <c r="G83" s="316"/>
      <c r="H83" s="316">
        <f t="shared" ref="H83:J83" si="66">SUM(H84:H85)</f>
        <v>0</v>
      </c>
      <c r="I83" s="316">
        <f t="shared" si="66"/>
        <v>0</v>
      </c>
      <c r="J83" s="316">
        <f t="shared" si="66"/>
        <v>0</v>
      </c>
      <c r="K83" s="317"/>
      <c r="L83" s="650">
        <f t="shared" ref="L83" si="67">IF(H83&gt;0,H83/C83,0)</f>
        <v>0</v>
      </c>
      <c r="M83" s="650">
        <f t="shared" ref="M83" si="68">IF(I83&gt;0,I83/D83,0)</f>
        <v>0</v>
      </c>
      <c r="N83" s="650">
        <f t="shared" ref="N83" si="69">IF(J83&gt;0,J83/E83,0)</f>
        <v>0</v>
      </c>
      <c r="O83" s="317"/>
      <c r="P83" s="317">
        <f t="shared" si="61"/>
        <v>0</v>
      </c>
      <c r="Q83" s="317">
        <f t="shared" si="62"/>
        <v>0</v>
      </c>
      <c r="R83" s="317">
        <f t="shared" si="63"/>
        <v>0</v>
      </c>
      <c r="S83" s="317">
        <f t="shared" si="64"/>
        <v>0</v>
      </c>
      <c r="T83" s="284">
        <f>IF('8. WAMKK'!C80=0,0,+S83/'8. WAMKK'!C80)</f>
        <v>0</v>
      </c>
      <c r="U83" s="120"/>
      <c r="V83" s="196">
        <f t="shared" si="60"/>
        <v>0</v>
      </c>
    </row>
    <row r="84" spans="1:24" ht="12.75" customHeight="1" x14ac:dyDescent="0.25">
      <c r="A84" s="43"/>
      <c r="B84" s="20"/>
      <c r="C84" s="165">
        <v>0</v>
      </c>
      <c r="D84" s="165">
        <v>0</v>
      </c>
      <c r="E84" s="165"/>
      <c r="F84" s="165"/>
      <c r="G84" s="165"/>
      <c r="H84" s="165">
        <v>0</v>
      </c>
      <c r="I84" s="165"/>
      <c r="J84" s="165"/>
      <c r="K84" s="318"/>
      <c r="L84" s="653">
        <f t="shared" ref="L84" si="70">IF(H84&gt;0,H84/C84,0)</f>
        <v>0</v>
      </c>
      <c r="M84" s="653">
        <f t="shared" ref="M84" si="71">IF(I84&gt;0,I84/D84,0)</f>
        <v>0</v>
      </c>
      <c r="N84" s="653">
        <f t="shared" ref="N84" si="72">IF(J84&gt;0,J84/E84,0)</f>
        <v>0</v>
      </c>
      <c r="O84" s="318"/>
      <c r="P84" s="165"/>
      <c r="Q84" s="165"/>
      <c r="R84" s="165"/>
      <c r="S84" s="165"/>
      <c r="T84" s="283"/>
      <c r="U84" s="120"/>
      <c r="V84" s="196"/>
      <c r="W84" s="2"/>
    </row>
    <row r="85" spans="1:24" ht="12.75" customHeight="1" x14ac:dyDescent="0.25">
      <c r="A85" s="14"/>
      <c r="B85" s="20"/>
      <c r="C85" s="318"/>
      <c r="D85" s="165"/>
      <c r="E85" s="165"/>
      <c r="F85" s="165"/>
      <c r="G85" s="165"/>
      <c r="H85" s="165"/>
      <c r="I85" s="165"/>
      <c r="J85" s="165"/>
      <c r="K85" s="165"/>
      <c r="L85" s="652"/>
      <c r="M85" s="652"/>
      <c r="N85" s="652"/>
      <c r="O85" s="165"/>
      <c r="P85" s="165">
        <f t="shared" si="61"/>
        <v>0</v>
      </c>
      <c r="Q85" s="165">
        <f t="shared" si="62"/>
        <v>0</v>
      </c>
      <c r="R85" s="165">
        <f t="shared" si="63"/>
        <v>0</v>
      </c>
      <c r="S85" s="165">
        <f t="shared" ref="S85:S86" si="73">+P85*P$10+Q85*Q$10+R85*R$10</f>
        <v>0</v>
      </c>
      <c r="T85" s="283">
        <f>IF('8. WAMKK'!C82=0,0,+S85/'8. WAMKK'!C82)</f>
        <v>0</v>
      </c>
      <c r="U85" s="120"/>
      <c r="V85" s="196">
        <f t="shared" si="60"/>
        <v>0</v>
      </c>
    </row>
    <row r="86" spans="1:24" s="42" customFormat="1" ht="12.75" customHeight="1" x14ac:dyDescent="0.25">
      <c r="A86" s="4" t="s">
        <v>173</v>
      </c>
      <c r="B86" s="48" t="s">
        <v>174</v>
      </c>
      <c r="C86" s="316">
        <f>SUM(C87:C88)</f>
        <v>0</v>
      </c>
      <c r="D86" s="316">
        <f t="shared" ref="D86:F86" si="74">SUM(D87:D88)</f>
        <v>0</v>
      </c>
      <c r="E86" s="316">
        <f t="shared" si="74"/>
        <v>0</v>
      </c>
      <c r="F86" s="316">
        <f t="shared" si="74"/>
        <v>0</v>
      </c>
      <c r="G86" s="316"/>
      <c r="H86" s="316">
        <f t="shared" ref="H86:J86" si="75">SUM(H87:H88)</f>
        <v>0</v>
      </c>
      <c r="I86" s="316">
        <f t="shared" si="75"/>
        <v>0</v>
      </c>
      <c r="J86" s="316">
        <f t="shared" si="75"/>
        <v>0</v>
      </c>
      <c r="K86" s="317"/>
      <c r="L86" s="650">
        <f t="shared" ref="L86" si="76">IF(H86&gt;0,H86/C86,0)</f>
        <v>0</v>
      </c>
      <c r="M86" s="650">
        <f t="shared" ref="M86" si="77">IF(I86&gt;0,I86/D86,0)</f>
        <v>0</v>
      </c>
      <c r="N86" s="650">
        <f t="shared" ref="N86" si="78">IF(J86&gt;0,J86/E86,0)</f>
        <v>0</v>
      </c>
      <c r="O86" s="317"/>
      <c r="P86" s="317">
        <f t="shared" ref="P86:P88" si="79">+(D86-C86)*P$10</f>
        <v>0</v>
      </c>
      <c r="Q86" s="317">
        <f t="shared" ref="Q86:Q88" si="80">+(E86-D86)*Q$10</f>
        <v>0</v>
      </c>
      <c r="R86" s="317">
        <f t="shared" ref="R86:R88" si="81">+(F86-E86)*R$10</f>
        <v>0</v>
      </c>
      <c r="S86" s="317">
        <f t="shared" si="73"/>
        <v>0</v>
      </c>
      <c r="T86" s="284">
        <f>IF('8. WAMKK'!C83=0,0,+S86/'8. WAMKK'!C83)</f>
        <v>0</v>
      </c>
      <c r="U86" s="120"/>
      <c r="V86" s="196">
        <f t="shared" ref="V86:V88" si="82">+S86-E86+C86</f>
        <v>0</v>
      </c>
    </row>
    <row r="87" spans="1:24" ht="12.75" customHeight="1" x14ac:dyDescent="0.25">
      <c r="A87" s="43"/>
      <c r="B87" s="20"/>
      <c r="C87" s="318"/>
      <c r="D87" s="318"/>
      <c r="E87" s="318"/>
      <c r="F87" s="318"/>
      <c r="G87" s="318"/>
      <c r="H87" s="165"/>
      <c r="I87" s="165"/>
      <c r="J87" s="165"/>
      <c r="K87" s="318"/>
      <c r="L87" s="653"/>
      <c r="M87" s="653"/>
      <c r="N87" s="653"/>
      <c r="O87" s="318"/>
      <c r="P87" s="165"/>
      <c r="Q87" s="165"/>
      <c r="R87" s="165"/>
      <c r="S87" s="165"/>
      <c r="T87" s="283"/>
      <c r="U87" s="120"/>
      <c r="V87" s="196"/>
      <c r="W87" s="2"/>
    </row>
    <row r="88" spans="1:24" ht="12.75" hidden="1" customHeight="1" x14ac:dyDescent="0.25">
      <c r="A88" s="14"/>
      <c r="B88" s="20"/>
      <c r="C88" s="318"/>
      <c r="D88" s="165"/>
      <c r="E88" s="165"/>
      <c r="F88" s="165"/>
      <c r="G88" s="165"/>
      <c r="H88" s="165"/>
      <c r="I88" s="165"/>
      <c r="J88" s="165"/>
      <c r="K88" s="165"/>
      <c r="L88" s="652" t="e">
        <f t="shared" ref="L88" si="83">+H88/C88</f>
        <v>#DIV/0!</v>
      </c>
      <c r="M88" s="652" t="e">
        <f t="shared" ref="M88" si="84">+I88/D88</f>
        <v>#DIV/0!</v>
      </c>
      <c r="N88" s="652" t="e">
        <f t="shared" ref="N88" si="85">+J88/E88</f>
        <v>#DIV/0!</v>
      </c>
      <c r="O88" s="165"/>
      <c r="P88" s="165">
        <f t="shared" si="79"/>
        <v>0</v>
      </c>
      <c r="Q88" s="165">
        <f t="shared" si="80"/>
        <v>0</v>
      </c>
      <c r="R88" s="165">
        <f t="shared" si="81"/>
        <v>0</v>
      </c>
      <c r="S88" s="165">
        <f t="shared" ref="S88" si="86">SUM(P88:R88)</f>
        <v>0</v>
      </c>
      <c r="T88" s="283">
        <f>IF('8. WAMKK'!C85=0,0,+S88/'8. WAMKK'!C85)</f>
        <v>0</v>
      </c>
      <c r="U88" s="120"/>
      <c r="V88" s="196">
        <f t="shared" si="82"/>
        <v>0</v>
      </c>
    </row>
    <row r="89" spans="1:24" ht="17.25" customHeight="1" x14ac:dyDescent="0.25">
      <c r="A89" s="484"/>
      <c r="B89" s="474" t="s">
        <v>378</v>
      </c>
      <c r="C89" s="481">
        <f>C13+C29+C32+C83+C86</f>
        <v>106343000</v>
      </c>
      <c r="D89" s="481">
        <f t="shared" ref="D89:J89" si="87">D13+D29+D32+D83+D86</f>
        <v>106343000</v>
      </c>
      <c r="E89" s="481">
        <f t="shared" si="87"/>
        <v>106343000</v>
      </c>
      <c r="F89" s="481">
        <f t="shared" si="87"/>
        <v>0</v>
      </c>
      <c r="G89" s="481"/>
      <c r="H89" s="481">
        <f t="shared" si="87"/>
        <v>53458479</v>
      </c>
      <c r="I89" s="481">
        <f t="shared" si="87"/>
        <v>71780982</v>
      </c>
      <c r="J89" s="481">
        <f t="shared" si="87"/>
        <v>0</v>
      </c>
      <c r="K89" s="314"/>
      <c r="L89" s="656">
        <f t="shared" ref="L89" si="88">IF(H89&gt;0,H89/C89,0)</f>
        <v>0.50269861674017091</v>
      </c>
      <c r="M89" s="656">
        <f t="shared" ref="M89" si="89">IF(I89&gt;0,I89/D89,0)</f>
        <v>0.67499489388112055</v>
      </c>
      <c r="N89" s="656">
        <f t="shared" ref="N89" si="90">IF(J89&gt;0,J89/E89,0)</f>
        <v>0</v>
      </c>
      <c r="O89" s="314"/>
      <c r="P89" s="481">
        <f t="shared" si="61"/>
        <v>0</v>
      </c>
      <c r="Q89" s="481">
        <f t="shared" si="62"/>
        <v>0</v>
      </c>
      <c r="R89" s="481">
        <f t="shared" si="63"/>
        <v>0</v>
      </c>
      <c r="S89" s="481">
        <f>+P89*P$10+Q89*Q$10+R89*R$10</f>
        <v>0</v>
      </c>
      <c r="T89" s="478">
        <f>IF('8. WAMKK'!C89=0,0,+S89/'8. WAMKK'!C89)</f>
        <v>0</v>
      </c>
      <c r="U89" s="120"/>
      <c r="V89" s="196">
        <f t="shared" si="60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57"/>
      <c r="M90" s="657"/>
      <c r="N90" s="657"/>
      <c r="O90" s="98"/>
      <c r="P90" s="98"/>
      <c r="Q90" s="98"/>
      <c r="R90" s="98"/>
      <c r="S90" s="98"/>
      <c r="T90" s="98"/>
      <c r="U90" s="22"/>
      <c r="V90" s="196">
        <f t="shared" si="60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58"/>
      <c r="M91" s="658"/>
      <c r="N91" s="658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57"/>
      <c r="M92" s="657"/>
      <c r="N92" s="657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s="42" customFormat="1" ht="12.75" customHeight="1" x14ac:dyDescent="0.25">
      <c r="A93" s="4" t="s">
        <v>241</v>
      </c>
      <c r="B93" s="48" t="s">
        <v>242</v>
      </c>
      <c r="C93" s="316">
        <f>SUM(C94:C94)</f>
        <v>0</v>
      </c>
      <c r="D93" s="316">
        <f>SUM(D94:D94)</f>
        <v>0</v>
      </c>
      <c r="E93" s="316">
        <f>SUM(E94:E94)</f>
        <v>0</v>
      </c>
      <c r="F93" s="316">
        <f>SUM(F94:F94)</f>
        <v>0</v>
      </c>
      <c r="G93" s="316"/>
      <c r="H93" s="316">
        <f>SUM(H94:H94)</f>
        <v>0</v>
      </c>
      <c r="I93" s="316">
        <f>SUM(I94:I94)</f>
        <v>388680</v>
      </c>
      <c r="J93" s="316">
        <f>SUM(J94:J94)</f>
        <v>0</v>
      </c>
      <c r="K93" s="317"/>
      <c r="L93" s="650">
        <f t="shared" ref="L93" si="91">IF(H93&gt;0,H93/C93,0)</f>
        <v>0</v>
      </c>
      <c r="M93" s="650" t="e">
        <f t="shared" ref="M93" si="92">IF(I93&gt;0,I93/D93,0)</f>
        <v>#DIV/0!</v>
      </c>
      <c r="N93" s="650">
        <f t="shared" ref="N93" si="93">IF(J93&gt;0,J93/E93,0)</f>
        <v>0</v>
      </c>
      <c r="O93" s="317"/>
      <c r="P93" s="317">
        <f t="shared" ref="P93:P94" si="94">+(D93-C93)*P$10</f>
        <v>0</v>
      </c>
      <c r="Q93" s="317">
        <f t="shared" ref="Q93:Q94" si="95">+(E93-D93)*Q$10</f>
        <v>0</v>
      </c>
      <c r="R93" s="317">
        <f t="shared" ref="R93:R94" si="96">+(F93-E93)*R$10</f>
        <v>0</v>
      </c>
      <c r="S93" s="317">
        <f t="shared" ref="S93:S102" si="97">+P93*P$10+Q93*Q$10+R93*R$10</f>
        <v>0</v>
      </c>
      <c r="T93" s="284">
        <f>IF('8. WAMKK'!C90=0,0,+S93/'8. WAMKK'!C90)</f>
        <v>0</v>
      </c>
      <c r="U93" s="120"/>
      <c r="V93" s="196">
        <f t="shared" ref="V93:V94" si="98">+S93-E93+C93</f>
        <v>0</v>
      </c>
    </row>
    <row r="94" spans="1:24" ht="12.75" customHeight="1" x14ac:dyDescent="0.25">
      <c r="A94" s="43"/>
      <c r="B94" s="20"/>
      <c r="C94" s="318"/>
      <c r="D94" s="318"/>
      <c r="E94" s="318"/>
      <c r="F94" s="318"/>
      <c r="G94" s="318"/>
      <c r="H94" s="165"/>
      <c r="I94" s="165">
        <v>388680</v>
      </c>
      <c r="J94" s="165"/>
      <c r="K94" s="318"/>
      <c r="L94" s="653"/>
      <c r="M94" s="653"/>
      <c r="N94" s="653"/>
      <c r="O94" s="318"/>
      <c r="P94" s="165">
        <f t="shared" si="94"/>
        <v>0</v>
      </c>
      <c r="Q94" s="165">
        <f t="shared" si="95"/>
        <v>0</v>
      </c>
      <c r="R94" s="165">
        <f t="shared" si="96"/>
        <v>0</v>
      </c>
      <c r="S94" s="165">
        <f t="shared" si="97"/>
        <v>0</v>
      </c>
      <c r="T94" s="283">
        <f>IF('8. WAMKK'!C91=0,0,+S94/'8. WAMKK'!C91)</f>
        <v>0</v>
      </c>
      <c r="U94" s="120"/>
      <c r="V94" s="196">
        <f t="shared" si="98"/>
        <v>0</v>
      </c>
      <c r="W94" s="2"/>
    </row>
    <row r="95" spans="1:24" s="42" customFormat="1" ht="12.75" customHeight="1" x14ac:dyDescent="0.25">
      <c r="A95" s="4" t="s">
        <v>284</v>
      </c>
      <c r="B95" s="3" t="s">
        <v>285</v>
      </c>
      <c r="C95" s="316">
        <f>SUM(C96:C98)</f>
        <v>30135000</v>
      </c>
      <c r="D95" s="316">
        <f t="shared" ref="D95:J95" si="99">SUM(D96:D98)</f>
        <v>30135000</v>
      </c>
      <c r="E95" s="316">
        <f t="shared" si="99"/>
        <v>30135000</v>
      </c>
      <c r="F95" s="316">
        <f t="shared" si="99"/>
        <v>0</v>
      </c>
      <c r="G95" s="316"/>
      <c r="H95" s="316">
        <f t="shared" si="99"/>
        <v>13819359</v>
      </c>
      <c r="I95" s="316">
        <f t="shared" si="99"/>
        <v>18954964</v>
      </c>
      <c r="J95" s="316">
        <f t="shared" si="99"/>
        <v>0</v>
      </c>
      <c r="K95" s="317"/>
      <c r="L95" s="650">
        <f t="shared" ref="L95:L102" si="100">IF(H95&gt;0,H95/C95,0)</f>
        <v>0.45858168242906922</v>
      </c>
      <c r="M95" s="650">
        <f t="shared" ref="M95:M102" si="101">IF(I95&gt;0,I95/D95,0)</f>
        <v>0.6290016260162602</v>
      </c>
      <c r="N95" s="650">
        <f t="shared" ref="N95:N102" si="102">IF(J95&gt;0,J95/E95,0)</f>
        <v>0</v>
      </c>
      <c r="O95" s="317"/>
      <c r="P95" s="317">
        <f t="shared" si="61"/>
        <v>0</v>
      </c>
      <c r="Q95" s="317">
        <f t="shared" si="62"/>
        <v>0</v>
      </c>
      <c r="R95" s="317">
        <f t="shared" si="63"/>
        <v>0</v>
      </c>
      <c r="S95" s="317">
        <f t="shared" si="97"/>
        <v>0</v>
      </c>
      <c r="T95" s="284">
        <f>IF('8. WAMKK'!C93=0,0,+S95/'8. WAMKK'!C93)</f>
        <v>0</v>
      </c>
      <c r="U95" s="120"/>
      <c r="V95" s="196">
        <f t="shared" si="60"/>
        <v>0</v>
      </c>
    </row>
    <row r="96" spans="1:24" ht="12.75" customHeight="1" x14ac:dyDescent="0.25">
      <c r="A96" s="14" t="s">
        <v>295</v>
      </c>
      <c r="B96" s="20" t="s">
        <v>296</v>
      </c>
      <c r="C96" s="318">
        <v>24000000</v>
      </c>
      <c r="D96" s="318">
        <v>24000000</v>
      </c>
      <c r="E96" s="318">
        <v>24000000</v>
      </c>
      <c r="F96" s="165"/>
      <c r="G96" s="165"/>
      <c r="H96" s="165">
        <v>10878923</v>
      </c>
      <c r="I96" s="165">
        <v>14921645</v>
      </c>
      <c r="J96" s="165"/>
      <c r="K96" s="165"/>
      <c r="L96" s="653">
        <f t="shared" si="100"/>
        <v>0.45328845833333331</v>
      </c>
      <c r="M96" s="653">
        <f t="shared" si="101"/>
        <v>0.62173520833333329</v>
      </c>
      <c r="N96" s="653">
        <f t="shared" si="102"/>
        <v>0</v>
      </c>
      <c r="O96" s="165"/>
      <c r="P96" s="165">
        <f t="shared" si="61"/>
        <v>0</v>
      </c>
      <c r="Q96" s="165">
        <f t="shared" si="62"/>
        <v>0</v>
      </c>
      <c r="R96" s="165">
        <f t="shared" si="63"/>
        <v>0</v>
      </c>
      <c r="S96" s="165">
        <f t="shared" si="97"/>
        <v>0</v>
      </c>
      <c r="T96" s="283">
        <f>IF('8. WAMKK'!C94=0,0,+S96/'8. WAMKK'!C94)</f>
        <v>0</v>
      </c>
      <c r="U96" s="120"/>
      <c r="V96" s="196">
        <f t="shared" si="60"/>
        <v>0</v>
      </c>
    </row>
    <row r="97" spans="1:23" ht="12.75" customHeight="1" x14ac:dyDescent="0.25">
      <c r="A97" s="14" t="s">
        <v>298</v>
      </c>
      <c r="B97" s="20" t="s">
        <v>299</v>
      </c>
      <c r="C97" s="318">
        <v>6125000</v>
      </c>
      <c r="D97" s="318">
        <v>6125000</v>
      </c>
      <c r="E97" s="318">
        <v>6125000</v>
      </c>
      <c r="F97" s="165"/>
      <c r="G97" s="165"/>
      <c r="H97" s="165">
        <v>2937293</v>
      </c>
      <c r="I97" s="556">
        <v>4028836</v>
      </c>
      <c r="J97" s="165"/>
      <c r="K97" s="165"/>
      <c r="L97" s="653">
        <f t="shared" si="100"/>
        <v>0.47955804081632653</v>
      </c>
      <c r="M97" s="653">
        <f t="shared" si="101"/>
        <v>0.65776914285714283</v>
      </c>
      <c r="N97" s="653">
        <f t="shared" si="102"/>
        <v>0</v>
      </c>
      <c r="O97" s="165"/>
      <c r="P97" s="165">
        <f t="shared" si="61"/>
        <v>0</v>
      </c>
      <c r="Q97" s="165">
        <f t="shared" si="62"/>
        <v>0</v>
      </c>
      <c r="R97" s="165">
        <f t="shared" si="63"/>
        <v>0</v>
      </c>
      <c r="S97" s="165">
        <f t="shared" si="97"/>
        <v>0</v>
      </c>
      <c r="T97" s="283">
        <f>IF('8. WAMKK'!C95=0,0,+S97/'8. WAMKK'!C95)</f>
        <v>0</v>
      </c>
      <c r="U97" s="120"/>
      <c r="V97" s="196">
        <f t="shared" si="60"/>
        <v>0</v>
      </c>
    </row>
    <row r="98" spans="1:23" ht="12.75" customHeight="1" x14ac:dyDescent="0.25">
      <c r="A98" s="532" t="s">
        <v>468</v>
      </c>
      <c r="B98" s="485" t="s">
        <v>470</v>
      </c>
      <c r="C98" s="318">
        <v>10000</v>
      </c>
      <c r="D98" s="318">
        <v>10000</v>
      </c>
      <c r="E98" s="318">
        <v>10000</v>
      </c>
      <c r="F98" s="165"/>
      <c r="G98" s="165"/>
      <c r="H98" s="165">
        <f>129+3014</f>
        <v>3143</v>
      </c>
      <c r="I98" s="165">
        <f>244+4239</f>
        <v>4483</v>
      </c>
      <c r="J98" s="165"/>
      <c r="K98" s="165"/>
      <c r="L98" s="659">
        <f t="shared" si="100"/>
        <v>0.31430000000000002</v>
      </c>
      <c r="M98" s="659">
        <f t="shared" si="101"/>
        <v>0.44829999999999998</v>
      </c>
      <c r="N98" s="659">
        <f t="shared" si="102"/>
        <v>0</v>
      </c>
      <c r="O98" s="165"/>
      <c r="P98" s="165">
        <f t="shared" si="61"/>
        <v>0</v>
      </c>
      <c r="Q98" s="165">
        <f t="shared" si="62"/>
        <v>0</v>
      </c>
      <c r="R98" s="165">
        <f t="shared" si="63"/>
        <v>0</v>
      </c>
      <c r="S98" s="165">
        <f t="shared" si="97"/>
        <v>0</v>
      </c>
      <c r="T98" s="283">
        <f>IF('8. WAMKK'!C96=0,0,+S98/'8. WAMKK'!C96)</f>
        <v>0</v>
      </c>
      <c r="U98" s="120"/>
      <c r="V98" s="196">
        <f t="shared" si="60"/>
        <v>0</v>
      </c>
    </row>
    <row r="99" spans="1:23" s="42" customFormat="1" ht="12.75" customHeight="1" x14ac:dyDescent="0.25">
      <c r="A99" s="4" t="s">
        <v>333</v>
      </c>
      <c r="B99" s="3" t="s">
        <v>334</v>
      </c>
      <c r="C99" s="316">
        <f>SUM(C100:C101)</f>
        <v>76208000</v>
      </c>
      <c r="D99" s="316">
        <f t="shared" ref="D99:J99" si="103">SUM(D100:D101)</f>
        <v>76208000</v>
      </c>
      <c r="E99" s="316">
        <f t="shared" si="103"/>
        <v>76208000</v>
      </c>
      <c r="F99" s="316">
        <f t="shared" si="103"/>
        <v>0</v>
      </c>
      <c r="G99" s="316"/>
      <c r="H99" s="316">
        <f t="shared" si="103"/>
        <v>43371562</v>
      </c>
      <c r="I99" s="316">
        <f t="shared" si="103"/>
        <v>57187714</v>
      </c>
      <c r="J99" s="316">
        <f t="shared" si="103"/>
        <v>0</v>
      </c>
      <c r="K99" s="317"/>
      <c r="L99" s="650">
        <f t="shared" si="100"/>
        <v>0.56912085345370567</v>
      </c>
      <c r="M99" s="650">
        <f t="shared" si="101"/>
        <v>0.75041615053537691</v>
      </c>
      <c r="N99" s="650">
        <f t="shared" si="102"/>
        <v>0</v>
      </c>
      <c r="O99" s="317"/>
      <c r="P99" s="317">
        <f t="shared" si="61"/>
        <v>0</v>
      </c>
      <c r="Q99" s="317">
        <f t="shared" si="62"/>
        <v>0</v>
      </c>
      <c r="R99" s="317">
        <f t="shared" si="63"/>
        <v>0</v>
      </c>
      <c r="S99" s="317">
        <f t="shared" si="97"/>
        <v>0</v>
      </c>
      <c r="T99" s="284">
        <f>IF('8. WAMKK'!C97=0,0,+S99/'8. WAMKK'!C97)</f>
        <v>0</v>
      </c>
      <c r="U99" s="120"/>
      <c r="V99" s="196">
        <f t="shared" si="60"/>
        <v>0</v>
      </c>
    </row>
    <row r="100" spans="1:23" ht="12.75" customHeight="1" x14ac:dyDescent="0.25">
      <c r="A100" s="43" t="s">
        <v>359</v>
      </c>
      <c r="B100" s="20" t="s">
        <v>389</v>
      </c>
      <c r="C100" s="318">
        <f>+C104</f>
        <v>71398746</v>
      </c>
      <c r="D100" s="318">
        <v>71398746</v>
      </c>
      <c r="E100" s="318">
        <v>71398746</v>
      </c>
      <c r="F100" s="318"/>
      <c r="G100" s="318"/>
      <c r="H100" s="165">
        <v>38562308</v>
      </c>
      <c r="I100" s="165">
        <v>52378460</v>
      </c>
      <c r="J100" s="165"/>
      <c r="K100" s="318"/>
      <c r="L100" s="653">
        <f t="shared" si="100"/>
        <v>0.54009783309079407</v>
      </c>
      <c r="M100" s="653">
        <f t="shared" si="101"/>
        <v>0.73360476106961314</v>
      </c>
      <c r="N100" s="653">
        <f t="shared" si="102"/>
        <v>0</v>
      </c>
      <c r="O100" s="318"/>
      <c r="P100" s="165">
        <f t="shared" si="61"/>
        <v>0</v>
      </c>
      <c r="Q100" s="165">
        <f t="shared" si="62"/>
        <v>0</v>
      </c>
      <c r="R100" s="165">
        <f t="shared" si="63"/>
        <v>0</v>
      </c>
      <c r="S100" s="165">
        <f t="shared" si="97"/>
        <v>0</v>
      </c>
      <c r="T100" s="283">
        <f>IF('8. WAMKK'!C98=0,0,+S100/'8. WAMKK'!C98)</f>
        <v>0</v>
      </c>
      <c r="U100" s="120"/>
      <c r="V100" s="196">
        <f t="shared" si="60"/>
        <v>0</v>
      </c>
      <c r="W100" s="2"/>
    </row>
    <row r="101" spans="1:23" ht="12.75" customHeight="1" x14ac:dyDescent="0.25">
      <c r="A101" s="14" t="s">
        <v>347</v>
      </c>
      <c r="B101" s="20" t="s">
        <v>348</v>
      </c>
      <c r="C101" s="582">
        <v>4809254</v>
      </c>
      <c r="D101" s="165">
        <v>4809254</v>
      </c>
      <c r="E101" s="165">
        <v>4809254</v>
      </c>
      <c r="F101" s="165"/>
      <c r="G101" s="165"/>
      <c r="H101" s="165">
        <v>4809254</v>
      </c>
      <c r="I101" s="165">
        <v>4809254</v>
      </c>
      <c r="J101" s="165"/>
      <c r="K101" s="165"/>
      <c r="L101" s="652">
        <f t="shared" si="100"/>
        <v>1</v>
      </c>
      <c r="M101" s="652">
        <f t="shared" si="101"/>
        <v>1</v>
      </c>
      <c r="N101" s="652">
        <f t="shared" si="102"/>
        <v>0</v>
      </c>
      <c r="O101" s="165"/>
      <c r="P101" s="165">
        <f t="shared" si="61"/>
        <v>0</v>
      </c>
      <c r="Q101" s="165">
        <f t="shared" si="62"/>
        <v>0</v>
      </c>
      <c r="R101" s="165">
        <f t="shared" si="63"/>
        <v>0</v>
      </c>
      <c r="S101" s="165">
        <f t="shared" si="97"/>
        <v>0</v>
      </c>
      <c r="T101" s="283">
        <f>IF('8. WAMKK'!C99=0,0,+S101/'8. WAMKK'!C99)</f>
        <v>0</v>
      </c>
      <c r="U101" s="120"/>
      <c r="V101" s="196">
        <f t="shared" si="60"/>
        <v>0</v>
      </c>
    </row>
    <row r="102" spans="1:23" ht="21.75" customHeight="1" x14ac:dyDescent="0.25">
      <c r="A102" s="474"/>
      <c r="B102" s="474" t="s">
        <v>376</v>
      </c>
      <c r="C102" s="481">
        <f>+C95+C99+C93</f>
        <v>106343000</v>
      </c>
      <c r="D102" s="481">
        <f>+D95+D99+D93</f>
        <v>106343000</v>
      </c>
      <c r="E102" s="481">
        <f>+E95+E99+E93</f>
        <v>106343000</v>
      </c>
      <c r="F102" s="481">
        <f>+F95+F99+F93</f>
        <v>0</v>
      </c>
      <c r="G102" s="481"/>
      <c r="H102" s="481">
        <f>+H95+H99+H93</f>
        <v>57190921</v>
      </c>
      <c r="I102" s="481">
        <f>+I95+I99+I93</f>
        <v>76531358</v>
      </c>
      <c r="J102" s="481">
        <f>+J95+J99+J93</f>
        <v>0</v>
      </c>
      <c r="K102" s="314"/>
      <c r="L102" s="656">
        <f t="shared" si="100"/>
        <v>0.53779676142294275</v>
      </c>
      <c r="M102" s="656">
        <f t="shared" si="101"/>
        <v>0.71966521538794281</v>
      </c>
      <c r="N102" s="656">
        <f t="shared" si="102"/>
        <v>0</v>
      </c>
      <c r="O102" s="314"/>
      <c r="P102" s="481">
        <f t="shared" si="61"/>
        <v>0</v>
      </c>
      <c r="Q102" s="481">
        <f t="shared" si="62"/>
        <v>0</v>
      </c>
      <c r="R102" s="481">
        <f t="shared" si="63"/>
        <v>0</v>
      </c>
      <c r="S102" s="481">
        <f t="shared" si="97"/>
        <v>0</v>
      </c>
      <c r="T102" s="478">
        <f>IF('8. WAMKK'!C100=0,0,+S102/'8. WAMKK'!C100)</f>
        <v>0</v>
      </c>
      <c r="U102" s="120"/>
      <c r="V102" s="196">
        <f>+S102-E102+C102</f>
        <v>0</v>
      </c>
    </row>
    <row r="103" spans="1:23" ht="12.75" customHeight="1" x14ac:dyDescent="0.25">
      <c r="C103" s="319"/>
      <c r="D103" s="319"/>
      <c r="E103" s="319"/>
      <c r="F103" s="319"/>
      <c r="G103" s="319"/>
      <c r="H103" s="319"/>
      <c r="I103" s="319"/>
      <c r="J103" s="319"/>
      <c r="K103" s="319"/>
      <c r="L103" s="660"/>
      <c r="M103" s="660"/>
      <c r="N103" s="660"/>
      <c r="O103" s="319"/>
      <c r="P103" s="319"/>
      <c r="Q103" s="319"/>
      <c r="R103" s="319"/>
      <c r="S103" s="319"/>
    </row>
    <row r="104" spans="1:23" ht="12.75" customHeight="1" x14ac:dyDescent="0.25">
      <c r="C104" s="319">
        <f>+C89-C95-C101</f>
        <v>71398746</v>
      </c>
      <c r="D104" s="319"/>
      <c r="E104" s="319"/>
      <c r="F104" s="319"/>
      <c r="G104" s="319"/>
      <c r="H104" s="319"/>
      <c r="I104" s="319"/>
      <c r="J104" s="319"/>
      <c r="K104" s="319"/>
      <c r="L104" s="660"/>
      <c r="M104" s="660"/>
      <c r="N104" s="660"/>
      <c r="O104" s="319"/>
      <c r="P104" s="319"/>
      <c r="Q104" s="319"/>
      <c r="R104" s="319"/>
      <c r="S104" s="319"/>
    </row>
    <row r="105" spans="1:23" ht="12.75" customHeight="1" x14ac:dyDescent="0.25">
      <c r="L105" s="660"/>
      <c r="M105" s="660"/>
      <c r="N105" s="660"/>
    </row>
    <row r="106" spans="1:23" ht="12.75" customHeight="1" x14ac:dyDescent="0.25">
      <c r="L106" s="660"/>
      <c r="M106" s="660"/>
      <c r="N106" s="660"/>
    </row>
    <row r="107" spans="1:23" ht="12.75" customHeight="1" x14ac:dyDescent="0.25">
      <c r="A107" s="59"/>
      <c r="B107" s="59" t="s">
        <v>499</v>
      </c>
      <c r="C107" s="17"/>
      <c r="D107" s="19"/>
      <c r="L107" s="660"/>
      <c r="M107" s="660"/>
      <c r="N107" s="660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6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5"/>
  <sheetViews>
    <sheetView view="pageBreakPreview" topLeftCell="A28" zoomScale="80" zoomScaleNormal="100" zoomScaleSheetLayoutView="80" workbookViewId="0">
      <selection activeCell="C14" sqref="C14"/>
    </sheetView>
  </sheetViews>
  <sheetFormatPr defaultColWidth="9.33203125" defaultRowHeight="13.2" x14ac:dyDescent="0.25"/>
  <cols>
    <col min="1" max="1" width="9.33203125" style="565" customWidth="1"/>
    <col min="2" max="2" width="37.77734375" style="565" customWidth="1"/>
    <col min="3" max="3" width="56.33203125" style="565" customWidth="1"/>
    <col min="4" max="4" width="0.44140625" style="565" hidden="1" customWidth="1"/>
    <col min="5" max="5" width="16" style="565" bestFit="1" customWidth="1"/>
    <col min="6" max="6" width="10.77734375" style="565" customWidth="1"/>
    <col min="7" max="7" width="37.77734375" style="565" bestFit="1" customWidth="1"/>
    <col min="8" max="8" width="16" style="565" customWidth="1"/>
    <col min="9" max="9" width="1.6640625" style="565" customWidth="1"/>
    <col min="10" max="10" width="20.109375" style="565" customWidth="1"/>
    <col min="11" max="11" width="40.88671875" style="565" customWidth="1"/>
    <col min="12" max="12" width="14.5546875" style="565" bestFit="1" customWidth="1"/>
    <col min="13" max="259" width="9.33203125" style="565"/>
    <col min="260" max="260" width="9.33203125" style="565" customWidth="1"/>
    <col min="261" max="261" width="55.5546875" style="565" customWidth="1"/>
    <col min="262" max="262" width="26.33203125" style="565" customWidth="1"/>
    <col min="263" max="263" width="0" style="565" hidden="1" customWidth="1"/>
    <col min="264" max="264" width="14.5546875" style="565" bestFit="1" customWidth="1"/>
    <col min="265" max="267" width="9.33203125" style="565" customWidth="1"/>
    <col min="268" max="268" width="14.5546875" style="565" bestFit="1" customWidth="1"/>
    <col min="269" max="515" width="9.33203125" style="565"/>
    <col min="516" max="516" width="9.33203125" style="565" customWidth="1"/>
    <col min="517" max="517" width="55.5546875" style="565" customWidth="1"/>
    <col min="518" max="518" width="26.33203125" style="565" customWidth="1"/>
    <col min="519" max="519" width="0" style="565" hidden="1" customWidth="1"/>
    <col min="520" max="520" width="14.5546875" style="565" bestFit="1" customWidth="1"/>
    <col min="521" max="523" width="9.33203125" style="565" customWidth="1"/>
    <col min="524" max="524" width="14.5546875" style="565" bestFit="1" customWidth="1"/>
    <col min="525" max="771" width="9.33203125" style="565"/>
    <col min="772" max="772" width="9.33203125" style="565" customWidth="1"/>
    <col min="773" max="773" width="55.5546875" style="565" customWidth="1"/>
    <col min="774" max="774" width="26.33203125" style="565" customWidth="1"/>
    <col min="775" max="775" width="0" style="565" hidden="1" customWidth="1"/>
    <col min="776" max="776" width="14.5546875" style="565" bestFit="1" customWidth="1"/>
    <col min="777" max="779" width="9.33203125" style="565" customWidth="1"/>
    <col min="780" max="780" width="14.5546875" style="565" bestFit="1" customWidth="1"/>
    <col min="781" max="1027" width="9.33203125" style="565"/>
    <col min="1028" max="1028" width="9.33203125" style="565" customWidth="1"/>
    <col min="1029" max="1029" width="55.5546875" style="565" customWidth="1"/>
    <col min="1030" max="1030" width="26.33203125" style="565" customWidth="1"/>
    <col min="1031" max="1031" width="0" style="565" hidden="1" customWidth="1"/>
    <col min="1032" max="1032" width="14.5546875" style="565" bestFit="1" customWidth="1"/>
    <col min="1033" max="1035" width="9.33203125" style="565" customWidth="1"/>
    <col min="1036" max="1036" width="14.5546875" style="565" bestFit="1" customWidth="1"/>
    <col min="1037" max="1283" width="9.33203125" style="565"/>
    <col min="1284" max="1284" width="9.33203125" style="565" customWidth="1"/>
    <col min="1285" max="1285" width="55.5546875" style="565" customWidth="1"/>
    <col min="1286" max="1286" width="26.33203125" style="565" customWidth="1"/>
    <col min="1287" max="1287" width="0" style="565" hidden="1" customWidth="1"/>
    <col min="1288" max="1288" width="14.5546875" style="565" bestFit="1" customWidth="1"/>
    <col min="1289" max="1291" width="9.33203125" style="565" customWidth="1"/>
    <col min="1292" max="1292" width="14.5546875" style="565" bestFit="1" customWidth="1"/>
    <col min="1293" max="1539" width="9.33203125" style="565"/>
    <col min="1540" max="1540" width="9.33203125" style="565" customWidth="1"/>
    <col min="1541" max="1541" width="55.5546875" style="565" customWidth="1"/>
    <col min="1542" max="1542" width="26.33203125" style="565" customWidth="1"/>
    <col min="1543" max="1543" width="0" style="565" hidden="1" customWidth="1"/>
    <col min="1544" max="1544" width="14.5546875" style="565" bestFit="1" customWidth="1"/>
    <col min="1545" max="1547" width="9.33203125" style="565" customWidth="1"/>
    <col min="1548" max="1548" width="14.5546875" style="565" bestFit="1" customWidth="1"/>
    <col min="1549" max="1795" width="9.33203125" style="565"/>
    <col min="1796" max="1796" width="9.33203125" style="565" customWidth="1"/>
    <col min="1797" max="1797" width="55.5546875" style="565" customWidth="1"/>
    <col min="1798" max="1798" width="26.33203125" style="565" customWidth="1"/>
    <col min="1799" max="1799" width="0" style="565" hidden="1" customWidth="1"/>
    <col min="1800" max="1800" width="14.5546875" style="565" bestFit="1" customWidth="1"/>
    <col min="1801" max="1803" width="9.33203125" style="565" customWidth="1"/>
    <col min="1804" max="1804" width="14.5546875" style="565" bestFit="1" customWidth="1"/>
    <col min="1805" max="2051" width="9.33203125" style="565"/>
    <col min="2052" max="2052" width="9.33203125" style="565" customWidth="1"/>
    <col min="2053" max="2053" width="55.5546875" style="565" customWidth="1"/>
    <col min="2054" max="2054" width="26.33203125" style="565" customWidth="1"/>
    <col min="2055" max="2055" width="0" style="565" hidden="1" customWidth="1"/>
    <col min="2056" max="2056" width="14.5546875" style="565" bestFit="1" customWidth="1"/>
    <col min="2057" max="2059" width="9.33203125" style="565" customWidth="1"/>
    <col min="2060" max="2060" width="14.5546875" style="565" bestFit="1" customWidth="1"/>
    <col min="2061" max="2307" width="9.33203125" style="565"/>
    <col min="2308" max="2308" width="9.33203125" style="565" customWidth="1"/>
    <col min="2309" max="2309" width="55.5546875" style="565" customWidth="1"/>
    <col min="2310" max="2310" width="26.33203125" style="565" customWidth="1"/>
    <col min="2311" max="2311" width="0" style="565" hidden="1" customWidth="1"/>
    <col min="2312" max="2312" width="14.5546875" style="565" bestFit="1" customWidth="1"/>
    <col min="2313" max="2315" width="9.33203125" style="565" customWidth="1"/>
    <col min="2316" max="2316" width="14.5546875" style="565" bestFit="1" customWidth="1"/>
    <col min="2317" max="2563" width="9.33203125" style="565"/>
    <col min="2564" max="2564" width="9.33203125" style="565" customWidth="1"/>
    <col min="2565" max="2565" width="55.5546875" style="565" customWidth="1"/>
    <col min="2566" max="2566" width="26.33203125" style="565" customWidth="1"/>
    <col min="2567" max="2567" width="0" style="565" hidden="1" customWidth="1"/>
    <col min="2568" max="2568" width="14.5546875" style="565" bestFit="1" customWidth="1"/>
    <col min="2569" max="2571" width="9.33203125" style="565" customWidth="1"/>
    <col min="2572" max="2572" width="14.5546875" style="565" bestFit="1" customWidth="1"/>
    <col min="2573" max="2819" width="9.33203125" style="565"/>
    <col min="2820" max="2820" width="9.33203125" style="565" customWidth="1"/>
    <col min="2821" max="2821" width="55.5546875" style="565" customWidth="1"/>
    <col min="2822" max="2822" width="26.33203125" style="565" customWidth="1"/>
    <col min="2823" max="2823" width="0" style="565" hidden="1" customWidth="1"/>
    <col min="2824" max="2824" width="14.5546875" style="565" bestFit="1" customWidth="1"/>
    <col min="2825" max="2827" width="9.33203125" style="565" customWidth="1"/>
    <col min="2828" max="2828" width="14.5546875" style="565" bestFit="1" customWidth="1"/>
    <col min="2829" max="3075" width="9.33203125" style="565"/>
    <col min="3076" max="3076" width="9.33203125" style="565" customWidth="1"/>
    <col min="3077" max="3077" width="55.5546875" style="565" customWidth="1"/>
    <col min="3078" max="3078" width="26.33203125" style="565" customWidth="1"/>
    <col min="3079" max="3079" width="0" style="565" hidden="1" customWidth="1"/>
    <col min="3080" max="3080" width="14.5546875" style="565" bestFit="1" customWidth="1"/>
    <col min="3081" max="3083" width="9.33203125" style="565" customWidth="1"/>
    <col min="3084" max="3084" width="14.5546875" style="565" bestFit="1" customWidth="1"/>
    <col min="3085" max="3331" width="9.33203125" style="565"/>
    <col min="3332" max="3332" width="9.33203125" style="565" customWidth="1"/>
    <col min="3333" max="3333" width="55.5546875" style="565" customWidth="1"/>
    <col min="3334" max="3334" width="26.33203125" style="565" customWidth="1"/>
    <col min="3335" max="3335" width="0" style="565" hidden="1" customWidth="1"/>
    <col min="3336" max="3336" width="14.5546875" style="565" bestFit="1" customWidth="1"/>
    <col min="3337" max="3339" width="9.33203125" style="565" customWidth="1"/>
    <col min="3340" max="3340" width="14.5546875" style="565" bestFit="1" customWidth="1"/>
    <col min="3341" max="3587" width="9.33203125" style="565"/>
    <col min="3588" max="3588" width="9.33203125" style="565" customWidth="1"/>
    <col min="3589" max="3589" width="55.5546875" style="565" customWidth="1"/>
    <col min="3590" max="3590" width="26.33203125" style="565" customWidth="1"/>
    <col min="3591" max="3591" width="0" style="565" hidden="1" customWidth="1"/>
    <col min="3592" max="3592" width="14.5546875" style="565" bestFit="1" customWidth="1"/>
    <col min="3593" max="3595" width="9.33203125" style="565" customWidth="1"/>
    <col min="3596" max="3596" width="14.5546875" style="565" bestFit="1" customWidth="1"/>
    <col min="3597" max="3843" width="9.33203125" style="565"/>
    <col min="3844" max="3844" width="9.33203125" style="565" customWidth="1"/>
    <col min="3845" max="3845" width="55.5546875" style="565" customWidth="1"/>
    <col min="3846" max="3846" width="26.33203125" style="565" customWidth="1"/>
    <col min="3847" max="3847" width="0" style="565" hidden="1" customWidth="1"/>
    <col min="3848" max="3848" width="14.5546875" style="565" bestFit="1" customWidth="1"/>
    <col min="3849" max="3851" width="9.33203125" style="565" customWidth="1"/>
    <col min="3852" max="3852" width="14.5546875" style="565" bestFit="1" customWidth="1"/>
    <col min="3853" max="4099" width="9.33203125" style="565"/>
    <col min="4100" max="4100" width="9.33203125" style="565" customWidth="1"/>
    <col min="4101" max="4101" width="55.5546875" style="565" customWidth="1"/>
    <col min="4102" max="4102" width="26.33203125" style="565" customWidth="1"/>
    <col min="4103" max="4103" width="0" style="565" hidden="1" customWidth="1"/>
    <col min="4104" max="4104" width="14.5546875" style="565" bestFit="1" customWidth="1"/>
    <col min="4105" max="4107" width="9.33203125" style="565" customWidth="1"/>
    <col min="4108" max="4108" width="14.5546875" style="565" bestFit="1" customWidth="1"/>
    <col min="4109" max="4355" width="9.33203125" style="565"/>
    <col min="4356" max="4356" width="9.33203125" style="565" customWidth="1"/>
    <col min="4357" max="4357" width="55.5546875" style="565" customWidth="1"/>
    <col min="4358" max="4358" width="26.33203125" style="565" customWidth="1"/>
    <col min="4359" max="4359" width="0" style="565" hidden="1" customWidth="1"/>
    <col min="4360" max="4360" width="14.5546875" style="565" bestFit="1" customWidth="1"/>
    <col min="4361" max="4363" width="9.33203125" style="565" customWidth="1"/>
    <col min="4364" max="4364" width="14.5546875" style="565" bestFit="1" customWidth="1"/>
    <col min="4365" max="4611" width="9.33203125" style="565"/>
    <col min="4612" max="4612" width="9.33203125" style="565" customWidth="1"/>
    <col min="4613" max="4613" width="55.5546875" style="565" customWidth="1"/>
    <col min="4614" max="4614" width="26.33203125" style="565" customWidth="1"/>
    <col min="4615" max="4615" width="0" style="565" hidden="1" customWidth="1"/>
    <col min="4616" max="4616" width="14.5546875" style="565" bestFit="1" customWidth="1"/>
    <col min="4617" max="4619" width="9.33203125" style="565" customWidth="1"/>
    <col min="4620" max="4620" width="14.5546875" style="565" bestFit="1" customWidth="1"/>
    <col min="4621" max="4867" width="9.33203125" style="565"/>
    <col min="4868" max="4868" width="9.33203125" style="565" customWidth="1"/>
    <col min="4869" max="4869" width="55.5546875" style="565" customWidth="1"/>
    <col min="4870" max="4870" width="26.33203125" style="565" customWidth="1"/>
    <col min="4871" max="4871" width="0" style="565" hidden="1" customWidth="1"/>
    <col min="4872" max="4872" width="14.5546875" style="565" bestFit="1" customWidth="1"/>
    <col min="4873" max="4875" width="9.33203125" style="565" customWidth="1"/>
    <col min="4876" max="4876" width="14.5546875" style="565" bestFit="1" customWidth="1"/>
    <col min="4877" max="5123" width="9.33203125" style="565"/>
    <col min="5124" max="5124" width="9.33203125" style="565" customWidth="1"/>
    <col min="5125" max="5125" width="55.5546875" style="565" customWidth="1"/>
    <col min="5126" max="5126" width="26.33203125" style="565" customWidth="1"/>
    <col min="5127" max="5127" width="0" style="565" hidden="1" customWidth="1"/>
    <col min="5128" max="5128" width="14.5546875" style="565" bestFit="1" customWidth="1"/>
    <col min="5129" max="5131" width="9.33203125" style="565" customWidth="1"/>
    <col min="5132" max="5132" width="14.5546875" style="565" bestFit="1" customWidth="1"/>
    <col min="5133" max="5379" width="9.33203125" style="565"/>
    <col min="5380" max="5380" width="9.33203125" style="565" customWidth="1"/>
    <col min="5381" max="5381" width="55.5546875" style="565" customWidth="1"/>
    <col min="5382" max="5382" width="26.33203125" style="565" customWidth="1"/>
    <col min="5383" max="5383" width="0" style="565" hidden="1" customWidth="1"/>
    <col min="5384" max="5384" width="14.5546875" style="565" bestFit="1" customWidth="1"/>
    <col min="5385" max="5387" width="9.33203125" style="565" customWidth="1"/>
    <col min="5388" max="5388" width="14.5546875" style="565" bestFit="1" customWidth="1"/>
    <col min="5389" max="5635" width="9.33203125" style="565"/>
    <col min="5636" max="5636" width="9.33203125" style="565" customWidth="1"/>
    <col min="5637" max="5637" width="55.5546875" style="565" customWidth="1"/>
    <col min="5638" max="5638" width="26.33203125" style="565" customWidth="1"/>
    <col min="5639" max="5639" width="0" style="565" hidden="1" customWidth="1"/>
    <col min="5640" max="5640" width="14.5546875" style="565" bestFit="1" customWidth="1"/>
    <col min="5641" max="5643" width="9.33203125" style="565" customWidth="1"/>
    <col min="5644" max="5644" width="14.5546875" style="565" bestFit="1" customWidth="1"/>
    <col min="5645" max="5891" width="9.33203125" style="565"/>
    <col min="5892" max="5892" width="9.33203125" style="565" customWidth="1"/>
    <col min="5893" max="5893" width="55.5546875" style="565" customWidth="1"/>
    <col min="5894" max="5894" width="26.33203125" style="565" customWidth="1"/>
    <col min="5895" max="5895" width="0" style="565" hidden="1" customWidth="1"/>
    <col min="5896" max="5896" width="14.5546875" style="565" bestFit="1" customWidth="1"/>
    <col min="5897" max="5899" width="9.33203125" style="565" customWidth="1"/>
    <col min="5900" max="5900" width="14.5546875" style="565" bestFit="1" customWidth="1"/>
    <col min="5901" max="6147" width="9.33203125" style="565"/>
    <col min="6148" max="6148" width="9.33203125" style="565" customWidth="1"/>
    <col min="6149" max="6149" width="55.5546875" style="565" customWidth="1"/>
    <col min="6150" max="6150" width="26.33203125" style="565" customWidth="1"/>
    <col min="6151" max="6151" width="0" style="565" hidden="1" customWidth="1"/>
    <col min="6152" max="6152" width="14.5546875" style="565" bestFit="1" customWidth="1"/>
    <col min="6153" max="6155" width="9.33203125" style="565" customWidth="1"/>
    <col min="6156" max="6156" width="14.5546875" style="565" bestFit="1" customWidth="1"/>
    <col min="6157" max="6403" width="9.33203125" style="565"/>
    <col min="6404" max="6404" width="9.33203125" style="565" customWidth="1"/>
    <col min="6405" max="6405" width="55.5546875" style="565" customWidth="1"/>
    <col min="6406" max="6406" width="26.33203125" style="565" customWidth="1"/>
    <col min="6407" max="6407" width="0" style="565" hidden="1" customWidth="1"/>
    <col min="6408" max="6408" width="14.5546875" style="565" bestFit="1" customWidth="1"/>
    <col min="6409" max="6411" width="9.33203125" style="565" customWidth="1"/>
    <col min="6412" max="6412" width="14.5546875" style="565" bestFit="1" customWidth="1"/>
    <col min="6413" max="6659" width="9.33203125" style="565"/>
    <col min="6660" max="6660" width="9.33203125" style="565" customWidth="1"/>
    <col min="6661" max="6661" width="55.5546875" style="565" customWidth="1"/>
    <col min="6662" max="6662" width="26.33203125" style="565" customWidth="1"/>
    <col min="6663" max="6663" width="0" style="565" hidden="1" customWidth="1"/>
    <col min="6664" max="6664" width="14.5546875" style="565" bestFit="1" customWidth="1"/>
    <col min="6665" max="6667" width="9.33203125" style="565" customWidth="1"/>
    <col min="6668" max="6668" width="14.5546875" style="565" bestFit="1" customWidth="1"/>
    <col min="6669" max="6915" width="9.33203125" style="565"/>
    <col min="6916" max="6916" width="9.33203125" style="565" customWidth="1"/>
    <col min="6917" max="6917" width="55.5546875" style="565" customWidth="1"/>
    <col min="6918" max="6918" width="26.33203125" style="565" customWidth="1"/>
    <col min="6919" max="6919" width="0" style="565" hidden="1" customWidth="1"/>
    <col min="6920" max="6920" width="14.5546875" style="565" bestFit="1" customWidth="1"/>
    <col min="6921" max="6923" width="9.33203125" style="565" customWidth="1"/>
    <col min="6924" max="6924" width="14.5546875" style="565" bestFit="1" customWidth="1"/>
    <col min="6925" max="7171" width="9.33203125" style="565"/>
    <col min="7172" max="7172" width="9.33203125" style="565" customWidth="1"/>
    <col min="7173" max="7173" width="55.5546875" style="565" customWidth="1"/>
    <col min="7174" max="7174" width="26.33203125" style="565" customWidth="1"/>
    <col min="7175" max="7175" width="0" style="565" hidden="1" customWidth="1"/>
    <col min="7176" max="7176" width="14.5546875" style="565" bestFit="1" customWidth="1"/>
    <col min="7177" max="7179" width="9.33203125" style="565" customWidth="1"/>
    <col min="7180" max="7180" width="14.5546875" style="565" bestFit="1" customWidth="1"/>
    <col min="7181" max="7427" width="9.33203125" style="565"/>
    <col min="7428" max="7428" width="9.33203125" style="565" customWidth="1"/>
    <col min="7429" max="7429" width="55.5546875" style="565" customWidth="1"/>
    <col min="7430" max="7430" width="26.33203125" style="565" customWidth="1"/>
    <col min="7431" max="7431" width="0" style="565" hidden="1" customWidth="1"/>
    <col min="7432" max="7432" width="14.5546875" style="565" bestFit="1" customWidth="1"/>
    <col min="7433" max="7435" width="9.33203125" style="565" customWidth="1"/>
    <col min="7436" max="7436" width="14.5546875" style="565" bestFit="1" customWidth="1"/>
    <col min="7437" max="7683" width="9.33203125" style="565"/>
    <col min="7684" max="7684" width="9.33203125" style="565" customWidth="1"/>
    <col min="7685" max="7685" width="55.5546875" style="565" customWidth="1"/>
    <col min="7686" max="7686" width="26.33203125" style="565" customWidth="1"/>
    <col min="7687" max="7687" width="0" style="565" hidden="1" customWidth="1"/>
    <col min="7688" max="7688" width="14.5546875" style="565" bestFit="1" customWidth="1"/>
    <col min="7689" max="7691" width="9.33203125" style="565" customWidth="1"/>
    <col min="7692" max="7692" width="14.5546875" style="565" bestFit="1" customWidth="1"/>
    <col min="7693" max="7939" width="9.33203125" style="565"/>
    <col min="7940" max="7940" width="9.33203125" style="565" customWidth="1"/>
    <col min="7941" max="7941" width="55.5546875" style="565" customWidth="1"/>
    <col min="7942" max="7942" width="26.33203125" style="565" customWidth="1"/>
    <col min="7943" max="7943" width="0" style="565" hidden="1" customWidth="1"/>
    <col min="7944" max="7944" width="14.5546875" style="565" bestFit="1" customWidth="1"/>
    <col min="7945" max="7947" width="9.33203125" style="565" customWidth="1"/>
    <col min="7948" max="7948" width="14.5546875" style="565" bestFit="1" customWidth="1"/>
    <col min="7949" max="8195" width="9.33203125" style="565"/>
    <col min="8196" max="8196" width="9.33203125" style="565" customWidth="1"/>
    <col min="8197" max="8197" width="55.5546875" style="565" customWidth="1"/>
    <col min="8198" max="8198" width="26.33203125" style="565" customWidth="1"/>
    <col min="8199" max="8199" width="0" style="565" hidden="1" customWidth="1"/>
    <col min="8200" max="8200" width="14.5546875" style="565" bestFit="1" customWidth="1"/>
    <col min="8201" max="8203" width="9.33203125" style="565" customWidth="1"/>
    <col min="8204" max="8204" width="14.5546875" style="565" bestFit="1" customWidth="1"/>
    <col min="8205" max="8451" width="9.33203125" style="565"/>
    <col min="8452" max="8452" width="9.33203125" style="565" customWidth="1"/>
    <col min="8453" max="8453" width="55.5546875" style="565" customWidth="1"/>
    <col min="8454" max="8454" width="26.33203125" style="565" customWidth="1"/>
    <col min="8455" max="8455" width="0" style="565" hidden="1" customWidth="1"/>
    <col min="8456" max="8456" width="14.5546875" style="565" bestFit="1" customWidth="1"/>
    <col min="8457" max="8459" width="9.33203125" style="565" customWidth="1"/>
    <col min="8460" max="8460" width="14.5546875" style="565" bestFit="1" customWidth="1"/>
    <col min="8461" max="8707" width="9.33203125" style="565"/>
    <col min="8708" max="8708" width="9.33203125" style="565" customWidth="1"/>
    <col min="8709" max="8709" width="55.5546875" style="565" customWidth="1"/>
    <col min="8710" max="8710" width="26.33203125" style="565" customWidth="1"/>
    <col min="8711" max="8711" width="0" style="565" hidden="1" customWidth="1"/>
    <col min="8712" max="8712" width="14.5546875" style="565" bestFit="1" customWidth="1"/>
    <col min="8713" max="8715" width="9.33203125" style="565" customWidth="1"/>
    <col min="8716" max="8716" width="14.5546875" style="565" bestFit="1" customWidth="1"/>
    <col min="8717" max="8963" width="9.33203125" style="565"/>
    <col min="8964" max="8964" width="9.33203125" style="565" customWidth="1"/>
    <col min="8965" max="8965" width="55.5546875" style="565" customWidth="1"/>
    <col min="8966" max="8966" width="26.33203125" style="565" customWidth="1"/>
    <col min="8967" max="8967" width="0" style="565" hidden="1" customWidth="1"/>
    <col min="8968" max="8968" width="14.5546875" style="565" bestFit="1" customWidth="1"/>
    <col min="8969" max="8971" width="9.33203125" style="565" customWidth="1"/>
    <col min="8972" max="8972" width="14.5546875" style="565" bestFit="1" customWidth="1"/>
    <col min="8973" max="9219" width="9.33203125" style="565"/>
    <col min="9220" max="9220" width="9.33203125" style="565" customWidth="1"/>
    <col min="9221" max="9221" width="55.5546875" style="565" customWidth="1"/>
    <col min="9222" max="9222" width="26.33203125" style="565" customWidth="1"/>
    <col min="9223" max="9223" width="0" style="565" hidden="1" customWidth="1"/>
    <col min="9224" max="9224" width="14.5546875" style="565" bestFit="1" customWidth="1"/>
    <col min="9225" max="9227" width="9.33203125" style="565" customWidth="1"/>
    <col min="9228" max="9228" width="14.5546875" style="565" bestFit="1" customWidth="1"/>
    <col min="9229" max="9475" width="9.33203125" style="565"/>
    <col min="9476" max="9476" width="9.33203125" style="565" customWidth="1"/>
    <col min="9477" max="9477" width="55.5546875" style="565" customWidth="1"/>
    <col min="9478" max="9478" width="26.33203125" style="565" customWidth="1"/>
    <col min="9479" max="9479" width="0" style="565" hidden="1" customWidth="1"/>
    <col min="9480" max="9480" width="14.5546875" style="565" bestFit="1" customWidth="1"/>
    <col min="9481" max="9483" width="9.33203125" style="565" customWidth="1"/>
    <col min="9484" max="9484" width="14.5546875" style="565" bestFit="1" customWidth="1"/>
    <col min="9485" max="9731" width="9.33203125" style="565"/>
    <col min="9732" max="9732" width="9.33203125" style="565" customWidth="1"/>
    <col min="9733" max="9733" width="55.5546875" style="565" customWidth="1"/>
    <col min="9734" max="9734" width="26.33203125" style="565" customWidth="1"/>
    <col min="9735" max="9735" width="0" style="565" hidden="1" customWidth="1"/>
    <col min="9736" max="9736" width="14.5546875" style="565" bestFit="1" customWidth="1"/>
    <col min="9737" max="9739" width="9.33203125" style="565" customWidth="1"/>
    <col min="9740" max="9740" width="14.5546875" style="565" bestFit="1" customWidth="1"/>
    <col min="9741" max="9987" width="9.33203125" style="565"/>
    <col min="9988" max="9988" width="9.33203125" style="565" customWidth="1"/>
    <col min="9989" max="9989" width="55.5546875" style="565" customWidth="1"/>
    <col min="9990" max="9990" width="26.33203125" style="565" customWidth="1"/>
    <col min="9991" max="9991" width="0" style="565" hidden="1" customWidth="1"/>
    <col min="9992" max="9992" width="14.5546875" style="565" bestFit="1" customWidth="1"/>
    <col min="9993" max="9995" width="9.33203125" style="565" customWidth="1"/>
    <col min="9996" max="9996" width="14.5546875" style="565" bestFit="1" customWidth="1"/>
    <col min="9997" max="10243" width="9.33203125" style="565"/>
    <col min="10244" max="10244" width="9.33203125" style="565" customWidth="1"/>
    <col min="10245" max="10245" width="55.5546875" style="565" customWidth="1"/>
    <col min="10246" max="10246" width="26.33203125" style="565" customWidth="1"/>
    <col min="10247" max="10247" width="0" style="565" hidden="1" customWidth="1"/>
    <col min="10248" max="10248" width="14.5546875" style="565" bestFit="1" customWidth="1"/>
    <col min="10249" max="10251" width="9.33203125" style="565" customWidth="1"/>
    <col min="10252" max="10252" width="14.5546875" style="565" bestFit="1" customWidth="1"/>
    <col min="10253" max="10499" width="9.33203125" style="565"/>
    <col min="10500" max="10500" width="9.33203125" style="565" customWidth="1"/>
    <col min="10501" max="10501" width="55.5546875" style="565" customWidth="1"/>
    <col min="10502" max="10502" width="26.33203125" style="565" customWidth="1"/>
    <col min="10503" max="10503" width="0" style="565" hidden="1" customWidth="1"/>
    <col min="10504" max="10504" width="14.5546875" style="565" bestFit="1" customWidth="1"/>
    <col min="10505" max="10507" width="9.33203125" style="565" customWidth="1"/>
    <col min="10508" max="10508" width="14.5546875" style="565" bestFit="1" customWidth="1"/>
    <col min="10509" max="10755" width="9.33203125" style="565"/>
    <col min="10756" max="10756" width="9.33203125" style="565" customWidth="1"/>
    <col min="10757" max="10757" width="55.5546875" style="565" customWidth="1"/>
    <col min="10758" max="10758" width="26.33203125" style="565" customWidth="1"/>
    <col min="10759" max="10759" width="0" style="565" hidden="1" customWidth="1"/>
    <col min="10760" max="10760" width="14.5546875" style="565" bestFit="1" customWidth="1"/>
    <col min="10761" max="10763" width="9.33203125" style="565" customWidth="1"/>
    <col min="10764" max="10764" width="14.5546875" style="565" bestFit="1" customWidth="1"/>
    <col min="10765" max="11011" width="9.33203125" style="565"/>
    <col min="11012" max="11012" width="9.33203125" style="565" customWidth="1"/>
    <col min="11013" max="11013" width="55.5546875" style="565" customWidth="1"/>
    <col min="11014" max="11014" width="26.33203125" style="565" customWidth="1"/>
    <col min="11015" max="11015" width="0" style="565" hidden="1" customWidth="1"/>
    <col min="11016" max="11016" width="14.5546875" style="565" bestFit="1" customWidth="1"/>
    <col min="11017" max="11019" width="9.33203125" style="565" customWidth="1"/>
    <col min="11020" max="11020" width="14.5546875" style="565" bestFit="1" customWidth="1"/>
    <col min="11021" max="11267" width="9.33203125" style="565"/>
    <col min="11268" max="11268" width="9.33203125" style="565" customWidth="1"/>
    <col min="11269" max="11269" width="55.5546875" style="565" customWidth="1"/>
    <col min="11270" max="11270" width="26.33203125" style="565" customWidth="1"/>
    <col min="11271" max="11271" width="0" style="565" hidden="1" customWidth="1"/>
    <col min="11272" max="11272" width="14.5546875" style="565" bestFit="1" customWidth="1"/>
    <col min="11273" max="11275" width="9.33203125" style="565" customWidth="1"/>
    <col min="11276" max="11276" width="14.5546875" style="565" bestFit="1" customWidth="1"/>
    <col min="11277" max="11523" width="9.33203125" style="565"/>
    <col min="11524" max="11524" width="9.33203125" style="565" customWidth="1"/>
    <col min="11525" max="11525" width="55.5546875" style="565" customWidth="1"/>
    <col min="11526" max="11526" width="26.33203125" style="565" customWidth="1"/>
    <col min="11527" max="11527" width="0" style="565" hidden="1" customWidth="1"/>
    <col min="11528" max="11528" width="14.5546875" style="565" bestFit="1" customWidth="1"/>
    <col min="11529" max="11531" width="9.33203125" style="565" customWidth="1"/>
    <col min="11532" max="11532" width="14.5546875" style="565" bestFit="1" customWidth="1"/>
    <col min="11533" max="11779" width="9.33203125" style="565"/>
    <col min="11780" max="11780" width="9.33203125" style="565" customWidth="1"/>
    <col min="11781" max="11781" width="55.5546875" style="565" customWidth="1"/>
    <col min="11782" max="11782" width="26.33203125" style="565" customWidth="1"/>
    <col min="11783" max="11783" width="0" style="565" hidden="1" customWidth="1"/>
    <col min="11784" max="11784" width="14.5546875" style="565" bestFit="1" customWidth="1"/>
    <col min="11785" max="11787" width="9.33203125" style="565" customWidth="1"/>
    <col min="11788" max="11788" width="14.5546875" style="565" bestFit="1" customWidth="1"/>
    <col min="11789" max="12035" width="9.33203125" style="565"/>
    <col min="12036" max="12036" width="9.33203125" style="565" customWidth="1"/>
    <col min="12037" max="12037" width="55.5546875" style="565" customWidth="1"/>
    <col min="12038" max="12038" width="26.33203125" style="565" customWidth="1"/>
    <col min="12039" max="12039" width="0" style="565" hidden="1" customWidth="1"/>
    <col min="12040" max="12040" width="14.5546875" style="565" bestFit="1" customWidth="1"/>
    <col min="12041" max="12043" width="9.33203125" style="565" customWidth="1"/>
    <col min="12044" max="12044" width="14.5546875" style="565" bestFit="1" customWidth="1"/>
    <col min="12045" max="12291" width="9.33203125" style="565"/>
    <col min="12292" max="12292" width="9.33203125" style="565" customWidth="1"/>
    <col min="12293" max="12293" width="55.5546875" style="565" customWidth="1"/>
    <col min="12294" max="12294" width="26.33203125" style="565" customWidth="1"/>
    <col min="12295" max="12295" width="0" style="565" hidden="1" customWidth="1"/>
    <col min="12296" max="12296" width="14.5546875" style="565" bestFit="1" customWidth="1"/>
    <col min="12297" max="12299" width="9.33203125" style="565" customWidth="1"/>
    <col min="12300" max="12300" width="14.5546875" style="565" bestFit="1" customWidth="1"/>
    <col min="12301" max="12547" width="9.33203125" style="565"/>
    <col min="12548" max="12548" width="9.33203125" style="565" customWidth="1"/>
    <col min="12549" max="12549" width="55.5546875" style="565" customWidth="1"/>
    <col min="12550" max="12550" width="26.33203125" style="565" customWidth="1"/>
    <col min="12551" max="12551" width="0" style="565" hidden="1" customWidth="1"/>
    <col min="12552" max="12552" width="14.5546875" style="565" bestFit="1" customWidth="1"/>
    <col min="12553" max="12555" width="9.33203125" style="565" customWidth="1"/>
    <col min="12556" max="12556" width="14.5546875" style="565" bestFit="1" customWidth="1"/>
    <col min="12557" max="12803" width="9.33203125" style="565"/>
    <col min="12804" max="12804" width="9.33203125" style="565" customWidth="1"/>
    <col min="12805" max="12805" width="55.5546875" style="565" customWidth="1"/>
    <col min="12806" max="12806" width="26.33203125" style="565" customWidth="1"/>
    <col min="12807" max="12807" width="0" style="565" hidden="1" customWidth="1"/>
    <col min="12808" max="12808" width="14.5546875" style="565" bestFit="1" customWidth="1"/>
    <col min="12809" max="12811" width="9.33203125" style="565" customWidth="1"/>
    <col min="12812" max="12812" width="14.5546875" style="565" bestFit="1" customWidth="1"/>
    <col min="12813" max="13059" width="9.33203125" style="565"/>
    <col min="13060" max="13060" width="9.33203125" style="565" customWidth="1"/>
    <col min="13061" max="13061" width="55.5546875" style="565" customWidth="1"/>
    <col min="13062" max="13062" width="26.33203125" style="565" customWidth="1"/>
    <col min="13063" max="13063" width="0" style="565" hidden="1" customWidth="1"/>
    <col min="13064" max="13064" width="14.5546875" style="565" bestFit="1" customWidth="1"/>
    <col min="13065" max="13067" width="9.33203125" style="565" customWidth="1"/>
    <col min="13068" max="13068" width="14.5546875" style="565" bestFit="1" customWidth="1"/>
    <col min="13069" max="13315" width="9.33203125" style="565"/>
    <col min="13316" max="13316" width="9.33203125" style="565" customWidth="1"/>
    <col min="13317" max="13317" width="55.5546875" style="565" customWidth="1"/>
    <col min="13318" max="13318" width="26.33203125" style="565" customWidth="1"/>
    <col min="13319" max="13319" width="0" style="565" hidden="1" customWidth="1"/>
    <col min="13320" max="13320" width="14.5546875" style="565" bestFit="1" customWidth="1"/>
    <col min="13321" max="13323" width="9.33203125" style="565" customWidth="1"/>
    <col min="13324" max="13324" width="14.5546875" style="565" bestFit="1" customWidth="1"/>
    <col min="13325" max="13571" width="9.33203125" style="565"/>
    <col min="13572" max="13572" width="9.33203125" style="565" customWidth="1"/>
    <col min="13573" max="13573" width="55.5546875" style="565" customWidth="1"/>
    <col min="13574" max="13574" width="26.33203125" style="565" customWidth="1"/>
    <col min="13575" max="13575" width="0" style="565" hidden="1" customWidth="1"/>
    <col min="13576" max="13576" width="14.5546875" style="565" bestFit="1" customWidth="1"/>
    <col min="13577" max="13579" width="9.33203125" style="565" customWidth="1"/>
    <col min="13580" max="13580" width="14.5546875" style="565" bestFit="1" customWidth="1"/>
    <col min="13581" max="13827" width="9.33203125" style="565"/>
    <col min="13828" max="13828" width="9.33203125" style="565" customWidth="1"/>
    <col min="13829" max="13829" width="55.5546875" style="565" customWidth="1"/>
    <col min="13830" max="13830" width="26.33203125" style="565" customWidth="1"/>
    <col min="13831" max="13831" width="0" style="565" hidden="1" customWidth="1"/>
    <col min="13832" max="13832" width="14.5546875" style="565" bestFit="1" customWidth="1"/>
    <col min="13833" max="13835" width="9.33203125" style="565" customWidth="1"/>
    <col min="13836" max="13836" width="14.5546875" style="565" bestFit="1" customWidth="1"/>
    <col min="13837" max="14083" width="9.33203125" style="565"/>
    <col min="14084" max="14084" width="9.33203125" style="565" customWidth="1"/>
    <col min="14085" max="14085" width="55.5546875" style="565" customWidth="1"/>
    <col min="14086" max="14086" width="26.33203125" style="565" customWidth="1"/>
    <col min="14087" max="14087" width="0" style="565" hidden="1" customWidth="1"/>
    <col min="14088" max="14088" width="14.5546875" style="565" bestFit="1" customWidth="1"/>
    <col min="14089" max="14091" width="9.33203125" style="565" customWidth="1"/>
    <col min="14092" max="14092" width="14.5546875" style="565" bestFit="1" customWidth="1"/>
    <col min="14093" max="14339" width="9.33203125" style="565"/>
    <col min="14340" max="14340" width="9.33203125" style="565" customWidth="1"/>
    <col min="14341" max="14341" width="55.5546875" style="565" customWidth="1"/>
    <col min="14342" max="14342" width="26.33203125" style="565" customWidth="1"/>
    <col min="14343" max="14343" width="0" style="565" hidden="1" customWidth="1"/>
    <col min="14344" max="14344" width="14.5546875" style="565" bestFit="1" customWidth="1"/>
    <col min="14345" max="14347" width="9.33203125" style="565" customWidth="1"/>
    <col min="14348" max="14348" width="14.5546875" style="565" bestFit="1" customWidth="1"/>
    <col min="14349" max="14595" width="9.33203125" style="565"/>
    <col min="14596" max="14596" width="9.33203125" style="565" customWidth="1"/>
    <col min="14597" max="14597" width="55.5546875" style="565" customWidth="1"/>
    <col min="14598" max="14598" width="26.33203125" style="565" customWidth="1"/>
    <col min="14599" max="14599" width="0" style="565" hidden="1" customWidth="1"/>
    <col min="14600" max="14600" width="14.5546875" style="565" bestFit="1" customWidth="1"/>
    <col min="14601" max="14603" width="9.33203125" style="565" customWidth="1"/>
    <col min="14604" max="14604" width="14.5546875" style="565" bestFit="1" customWidth="1"/>
    <col min="14605" max="14851" width="9.33203125" style="565"/>
    <col min="14852" max="14852" width="9.33203125" style="565" customWidth="1"/>
    <col min="14853" max="14853" width="55.5546875" style="565" customWidth="1"/>
    <col min="14854" max="14854" width="26.33203125" style="565" customWidth="1"/>
    <col min="14855" max="14855" width="0" style="565" hidden="1" customWidth="1"/>
    <col min="14856" max="14856" width="14.5546875" style="565" bestFit="1" customWidth="1"/>
    <col min="14857" max="14859" width="9.33203125" style="565" customWidth="1"/>
    <col min="14860" max="14860" width="14.5546875" style="565" bestFit="1" customWidth="1"/>
    <col min="14861" max="15107" width="9.33203125" style="565"/>
    <col min="15108" max="15108" width="9.33203125" style="565" customWidth="1"/>
    <col min="15109" max="15109" width="55.5546875" style="565" customWidth="1"/>
    <col min="15110" max="15110" width="26.33203125" style="565" customWidth="1"/>
    <col min="15111" max="15111" width="0" style="565" hidden="1" customWidth="1"/>
    <col min="15112" max="15112" width="14.5546875" style="565" bestFit="1" customWidth="1"/>
    <col min="15113" max="15115" width="9.33203125" style="565" customWidth="1"/>
    <col min="15116" max="15116" width="14.5546875" style="565" bestFit="1" customWidth="1"/>
    <col min="15117" max="15363" width="9.33203125" style="565"/>
    <col min="15364" max="15364" width="9.33203125" style="565" customWidth="1"/>
    <col min="15365" max="15365" width="55.5546875" style="565" customWidth="1"/>
    <col min="15366" max="15366" width="26.33203125" style="565" customWidth="1"/>
    <col min="15367" max="15367" width="0" style="565" hidden="1" customWidth="1"/>
    <col min="15368" max="15368" width="14.5546875" style="565" bestFit="1" customWidth="1"/>
    <col min="15369" max="15371" width="9.33203125" style="565" customWidth="1"/>
    <col min="15372" max="15372" width="14.5546875" style="565" bestFit="1" customWidth="1"/>
    <col min="15373" max="15619" width="9.33203125" style="565"/>
    <col min="15620" max="15620" width="9.33203125" style="565" customWidth="1"/>
    <col min="15621" max="15621" width="55.5546875" style="565" customWidth="1"/>
    <col min="15622" max="15622" width="26.33203125" style="565" customWidth="1"/>
    <col min="15623" max="15623" width="0" style="565" hidden="1" customWidth="1"/>
    <col min="15624" max="15624" width="14.5546875" style="565" bestFit="1" customWidth="1"/>
    <col min="15625" max="15627" width="9.33203125" style="565" customWidth="1"/>
    <col min="15628" max="15628" width="14.5546875" style="565" bestFit="1" customWidth="1"/>
    <col min="15629" max="15875" width="9.33203125" style="565"/>
    <col min="15876" max="15876" width="9.33203125" style="565" customWidth="1"/>
    <col min="15877" max="15877" width="55.5546875" style="565" customWidth="1"/>
    <col min="15878" max="15878" width="26.33203125" style="565" customWidth="1"/>
    <col min="15879" max="15879" width="0" style="565" hidden="1" customWidth="1"/>
    <col min="15880" max="15880" width="14.5546875" style="565" bestFit="1" customWidth="1"/>
    <col min="15881" max="15883" width="9.33203125" style="565" customWidth="1"/>
    <col min="15884" max="15884" width="14.5546875" style="565" bestFit="1" customWidth="1"/>
    <col min="15885" max="16131" width="9.33203125" style="565"/>
    <col min="16132" max="16132" width="9.33203125" style="565" customWidth="1"/>
    <col min="16133" max="16133" width="55.5546875" style="565" customWidth="1"/>
    <col min="16134" max="16134" width="26.33203125" style="565" customWidth="1"/>
    <col min="16135" max="16135" width="0" style="565" hidden="1" customWidth="1"/>
    <col min="16136" max="16136" width="14.5546875" style="565" bestFit="1" customWidth="1"/>
    <col min="16137" max="16139" width="9.33203125" style="565" customWidth="1"/>
    <col min="16140" max="16140" width="14.5546875" style="565" bestFit="1" customWidth="1"/>
    <col min="16141" max="16384" width="9.33203125" style="565"/>
  </cols>
  <sheetData>
    <row r="1" spans="1:12" x14ac:dyDescent="0.25">
      <c r="A1" s="628" t="s">
        <v>542</v>
      </c>
    </row>
    <row r="2" spans="1:12" x14ac:dyDescent="0.25">
      <c r="A2" s="628"/>
    </row>
    <row r="3" spans="1:12" x14ac:dyDescent="0.25">
      <c r="A3" s="924" t="s">
        <v>605</v>
      </c>
      <c r="B3" s="925"/>
      <c r="C3" s="925"/>
      <c r="D3" s="925"/>
      <c r="E3" s="925"/>
      <c r="F3" s="771"/>
      <c r="G3" s="771"/>
      <c r="H3" s="771"/>
      <c r="J3" s="627" t="s">
        <v>541</v>
      </c>
    </row>
    <row r="4" spans="1:12" ht="13.8" thickBot="1" x14ac:dyDescent="0.3">
      <c r="A4" s="564"/>
      <c r="B4" s="564"/>
      <c r="C4" s="564"/>
      <c r="D4" s="564"/>
      <c r="E4" s="595" t="s">
        <v>564</v>
      </c>
      <c r="F4" s="595"/>
      <c r="G4" s="779" t="s">
        <v>519</v>
      </c>
      <c r="H4" s="595"/>
      <c r="J4" s="592" t="s">
        <v>518</v>
      </c>
    </row>
    <row r="5" spans="1:12" ht="26.4" customHeight="1" x14ac:dyDescent="0.25">
      <c r="A5" s="798" t="s">
        <v>369</v>
      </c>
      <c r="B5" s="799" t="s">
        <v>367</v>
      </c>
      <c r="C5" s="800" t="s">
        <v>475</v>
      </c>
      <c r="D5" s="801">
        <f>SUM(D6:D16)</f>
        <v>157525000</v>
      </c>
      <c r="E5" s="587">
        <f>SUM(E6:E16)</f>
        <v>100777000</v>
      </c>
      <c r="F5" s="786"/>
      <c r="G5" s="574" t="s">
        <v>475</v>
      </c>
      <c r="H5" s="563">
        <f>SUM(H6:H16)</f>
        <v>111577000</v>
      </c>
      <c r="J5" s="589">
        <f>SUM(J6:J16)</f>
        <v>142477000</v>
      </c>
      <c r="K5" s="613"/>
    </row>
    <row r="6" spans="1:12" x14ac:dyDescent="0.25">
      <c r="A6" s="796"/>
      <c r="B6" s="797"/>
      <c r="C6" s="572" t="s">
        <v>476</v>
      </c>
      <c r="D6" s="596">
        <v>7500000</v>
      </c>
      <c r="E6" s="567">
        <v>6500000</v>
      </c>
      <c r="F6" s="787"/>
      <c r="G6" s="572" t="s">
        <v>476</v>
      </c>
      <c r="H6" s="567">
        <v>6500000</v>
      </c>
      <c r="J6" s="590">
        <v>6500000</v>
      </c>
      <c r="K6" s="614" t="s">
        <v>476</v>
      </c>
    </row>
    <row r="7" spans="1:12" x14ac:dyDescent="0.25">
      <c r="A7" s="566"/>
      <c r="B7" s="562"/>
      <c r="C7" s="572" t="s">
        <v>502</v>
      </c>
      <c r="D7" s="596"/>
      <c r="E7" s="567">
        <v>1000000</v>
      </c>
      <c r="F7" s="787"/>
      <c r="G7" s="572" t="s">
        <v>502</v>
      </c>
      <c r="H7" s="567">
        <v>1000000</v>
      </c>
      <c r="J7" s="590">
        <v>1000000</v>
      </c>
      <c r="K7" s="614" t="s">
        <v>502</v>
      </c>
    </row>
    <row r="8" spans="1:12" x14ac:dyDescent="0.25">
      <c r="A8" s="566"/>
      <c r="B8" s="564"/>
      <c r="C8" s="795" t="s">
        <v>477</v>
      </c>
      <c r="D8" s="596"/>
      <c r="E8" s="567">
        <v>0</v>
      </c>
      <c r="F8" s="787"/>
      <c r="G8" s="572" t="s">
        <v>477</v>
      </c>
      <c r="H8" s="567">
        <v>37000000</v>
      </c>
      <c r="J8" s="590">
        <v>53000000</v>
      </c>
      <c r="K8" s="614" t="s">
        <v>477</v>
      </c>
      <c r="L8" s="571"/>
    </row>
    <row r="9" spans="1:12" x14ac:dyDescent="0.25">
      <c r="A9" s="566"/>
      <c r="B9" s="564"/>
      <c r="C9" s="572" t="s">
        <v>478</v>
      </c>
      <c r="D9" s="596">
        <v>4225000</v>
      </c>
      <c r="E9" s="567">
        <v>4225000</v>
      </c>
      <c r="F9" s="787"/>
      <c r="G9" s="572" t="s">
        <v>478</v>
      </c>
      <c r="H9" s="567">
        <v>4225000</v>
      </c>
      <c r="J9" s="590">
        <v>4225000</v>
      </c>
      <c r="K9" s="614" t="s">
        <v>478</v>
      </c>
    </row>
    <row r="10" spans="1:12" x14ac:dyDescent="0.25">
      <c r="A10" s="566"/>
      <c r="B10" s="564"/>
      <c r="C10" s="572" t="s">
        <v>480</v>
      </c>
      <c r="D10" s="596">
        <v>600000</v>
      </c>
      <c r="E10" s="567">
        <v>900000</v>
      </c>
      <c r="F10" s="787"/>
      <c r="G10" s="572" t="s">
        <v>480</v>
      </c>
      <c r="H10" s="567">
        <v>900000</v>
      </c>
      <c r="J10" s="590">
        <v>8400000</v>
      </c>
      <c r="K10" s="614" t="s">
        <v>479</v>
      </c>
    </row>
    <row r="11" spans="1:12" x14ac:dyDescent="0.25">
      <c r="A11" s="566"/>
      <c r="B11" s="564"/>
      <c r="C11" s="849" t="s">
        <v>490</v>
      </c>
      <c r="D11" s="596"/>
      <c r="E11" s="848">
        <f>85000000</f>
        <v>85000000</v>
      </c>
      <c r="F11" s="787"/>
      <c r="G11" s="572" t="s">
        <v>490</v>
      </c>
      <c r="H11" s="790">
        <v>59000000</v>
      </c>
      <c r="J11" s="590">
        <v>900000</v>
      </c>
      <c r="K11" s="614" t="s">
        <v>480</v>
      </c>
    </row>
    <row r="12" spans="1:12" x14ac:dyDescent="0.25">
      <c r="A12" s="566"/>
      <c r="B12" s="564"/>
      <c r="C12" s="572" t="s">
        <v>494</v>
      </c>
      <c r="D12" s="596"/>
      <c r="E12" s="567">
        <v>0</v>
      </c>
      <c r="F12" s="787"/>
      <c r="G12" s="572" t="s">
        <v>494</v>
      </c>
      <c r="H12" s="567">
        <v>0</v>
      </c>
      <c r="J12" s="791">
        <v>55000000</v>
      </c>
      <c r="K12" s="614" t="s">
        <v>490</v>
      </c>
    </row>
    <row r="13" spans="1:12" x14ac:dyDescent="0.25">
      <c r="A13" s="566"/>
      <c r="B13" s="564"/>
      <c r="C13" s="572" t="s">
        <v>509</v>
      </c>
      <c r="D13" s="596">
        <v>72000000</v>
      </c>
      <c r="E13" s="567">
        <v>452000</v>
      </c>
      <c r="F13" s="787"/>
      <c r="G13" s="572" t="s">
        <v>509</v>
      </c>
      <c r="H13" s="567">
        <v>452000</v>
      </c>
      <c r="J13" s="590">
        <v>1000000</v>
      </c>
      <c r="K13" s="614" t="s">
        <v>481</v>
      </c>
    </row>
    <row r="14" spans="1:12" x14ac:dyDescent="0.25">
      <c r="A14" s="566"/>
      <c r="B14" s="564"/>
      <c r="C14" s="572" t="s">
        <v>577</v>
      </c>
      <c r="D14" s="596">
        <v>72000000</v>
      </c>
      <c r="E14" s="567">
        <v>2230000</v>
      </c>
      <c r="F14" s="787"/>
      <c r="G14" s="572" t="s">
        <v>534</v>
      </c>
      <c r="H14" s="567">
        <v>2500000</v>
      </c>
      <c r="J14" s="590">
        <v>10000000</v>
      </c>
      <c r="K14" s="614" t="s">
        <v>494</v>
      </c>
    </row>
    <row r="15" spans="1:12" x14ac:dyDescent="0.25">
      <c r="A15" s="566"/>
      <c r="B15" s="564"/>
      <c r="C15" s="572" t="s">
        <v>597</v>
      </c>
      <c r="D15" s="596">
        <v>400000</v>
      </c>
      <c r="E15" s="567">
        <v>470000</v>
      </c>
      <c r="F15" s="787"/>
      <c r="G15" s="572"/>
      <c r="H15" s="567"/>
      <c r="J15" s="590">
        <v>2000000</v>
      </c>
      <c r="K15" s="614" t="s">
        <v>498</v>
      </c>
    </row>
    <row r="16" spans="1:12" ht="13.8" thickBot="1" x14ac:dyDescent="0.3">
      <c r="A16" s="568"/>
      <c r="B16" s="569"/>
      <c r="C16" s="573"/>
      <c r="D16" s="597">
        <v>800000</v>
      </c>
      <c r="E16" s="570"/>
      <c r="F16" s="787"/>
      <c r="G16" s="780"/>
      <c r="H16" s="570"/>
      <c r="J16" s="591">
        <v>452000</v>
      </c>
      <c r="K16" s="615" t="s">
        <v>509</v>
      </c>
    </row>
    <row r="17" spans="1:12" ht="13.8" thickBot="1" x14ac:dyDescent="0.3">
      <c r="D17" s="571">
        <f>SUM(D5:D16)</f>
        <v>315050000</v>
      </c>
      <c r="E17" s="592" t="s">
        <v>564</v>
      </c>
      <c r="F17" s="792"/>
      <c r="G17" s="598"/>
      <c r="H17" s="598" t="s">
        <v>519</v>
      </c>
      <c r="J17" s="592" t="s">
        <v>518</v>
      </c>
      <c r="L17" s="571"/>
    </row>
    <row r="18" spans="1:12" x14ac:dyDescent="0.25">
      <c r="A18" s="607" t="s">
        <v>175</v>
      </c>
      <c r="B18" s="802" t="s">
        <v>176</v>
      </c>
      <c r="C18" s="608" t="s">
        <v>475</v>
      </c>
      <c r="D18" s="801">
        <f>SUM(D19:D29)</f>
        <v>0</v>
      </c>
      <c r="E18" s="587">
        <f>SUM(E19:E29)</f>
        <v>198800000</v>
      </c>
      <c r="F18" s="786"/>
      <c r="G18" s="574" t="s">
        <v>475</v>
      </c>
      <c r="H18" s="563">
        <f>SUM(H19:H29)</f>
        <v>69100000</v>
      </c>
      <c r="J18" s="589">
        <f>SUM(J19:J29)</f>
        <v>108480000</v>
      </c>
      <c r="K18" s="613"/>
    </row>
    <row r="19" spans="1:12" x14ac:dyDescent="0.25">
      <c r="A19" s="566"/>
      <c r="B19" s="562"/>
      <c r="C19" s="584" t="s">
        <v>595</v>
      </c>
      <c r="D19" s="564"/>
      <c r="E19" s="567">
        <v>62000000</v>
      </c>
      <c r="F19" s="787"/>
      <c r="G19" s="584" t="s">
        <v>521</v>
      </c>
      <c r="H19" s="567">
        <f>31600000</f>
        <v>31600000</v>
      </c>
      <c r="J19" s="590">
        <v>7000000</v>
      </c>
      <c r="K19" s="614" t="s">
        <v>486</v>
      </c>
    </row>
    <row r="20" spans="1:12" x14ac:dyDescent="0.25">
      <c r="A20" s="566"/>
      <c r="B20" s="564"/>
      <c r="C20" s="572" t="s">
        <v>598</v>
      </c>
      <c r="D20" s="596"/>
      <c r="E20" s="567">
        <v>10000000</v>
      </c>
      <c r="F20" s="778"/>
      <c r="G20" s="572" t="s">
        <v>486</v>
      </c>
      <c r="H20" s="567">
        <v>10000000</v>
      </c>
      <c r="J20" s="590">
        <v>5000000</v>
      </c>
      <c r="K20" s="614" t="s">
        <v>482</v>
      </c>
    </row>
    <row r="21" spans="1:12" x14ac:dyDescent="0.25">
      <c r="A21" s="566"/>
      <c r="B21" s="564"/>
      <c r="C21" s="572" t="s">
        <v>579</v>
      </c>
      <c r="D21" s="596"/>
      <c r="E21" s="567">
        <v>2000000</v>
      </c>
      <c r="F21" s="778"/>
      <c r="G21" s="572" t="s">
        <v>484</v>
      </c>
      <c r="H21" s="567">
        <v>5000000</v>
      </c>
      <c r="J21" s="590">
        <v>6800000</v>
      </c>
      <c r="K21" s="614" t="s">
        <v>483</v>
      </c>
    </row>
    <row r="22" spans="1:12" ht="14.4" customHeight="1" x14ac:dyDescent="0.25">
      <c r="A22" s="566"/>
      <c r="B22" s="564"/>
      <c r="C22" s="585" t="s">
        <v>522</v>
      </c>
      <c r="D22" s="596"/>
      <c r="E22" s="567">
        <v>10000000</v>
      </c>
      <c r="F22" s="778"/>
      <c r="G22" s="585" t="s">
        <v>522</v>
      </c>
      <c r="H22" s="567">
        <v>10000000</v>
      </c>
      <c r="J22" s="590">
        <v>5000000</v>
      </c>
      <c r="K22" s="616" t="s">
        <v>507</v>
      </c>
    </row>
    <row r="23" spans="1:12" x14ac:dyDescent="0.25">
      <c r="A23" s="566"/>
      <c r="B23" s="564"/>
      <c r="C23" s="585" t="s">
        <v>599</v>
      </c>
      <c r="D23" s="596"/>
      <c r="E23" s="567">
        <v>88000000</v>
      </c>
      <c r="F23" s="778"/>
      <c r="G23" s="585" t="s">
        <v>526</v>
      </c>
      <c r="H23" s="567">
        <v>2000000</v>
      </c>
      <c r="J23" s="590">
        <v>5000000</v>
      </c>
      <c r="K23" s="614" t="s">
        <v>484</v>
      </c>
    </row>
    <row r="24" spans="1:12" x14ac:dyDescent="0.25">
      <c r="A24" s="566"/>
      <c r="B24" s="564"/>
      <c r="C24" s="585" t="s">
        <v>578</v>
      </c>
      <c r="D24" s="596"/>
      <c r="E24" s="567">
        <v>5800000</v>
      </c>
      <c r="F24" s="778"/>
      <c r="G24" s="585" t="s">
        <v>523</v>
      </c>
      <c r="H24" s="567">
        <f>500000+3400000</f>
        <v>3900000</v>
      </c>
      <c r="J24" s="590">
        <v>42100000</v>
      </c>
      <c r="K24" s="614" t="s">
        <v>487</v>
      </c>
    </row>
    <row r="25" spans="1:12" ht="26.4" x14ac:dyDescent="0.25">
      <c r="A25" s="566"/>
      <c r="B25" s="564"/>
      <c r="C25" s="585" t="s">
        <v>600</v>
      </c>
      <c r="D25" s="596"/>
      <c r="E25" s="567">
        <v>3000000</v>
      </c>
      <c r="F25" s="778">
        <f>+E24+E26</f>
        <v>12800000</v>
      </c>
      <c r="G25" s="572" t="s">
        <v>527</v>
      </c>
      <c r="H25" s="567">
        <f>3500000+2500000</f>
        <v>6000000</v>
      </c>
      <c r="J25" s="590">
        <v>31580000</v>
      </c>
      <c r="K25" s="614" t="s">
        <v>488</v>
      </c>
    </row>
    <row r="26" spans="1:12" x14ac:dyDescent="0.25">
      <c r="A26" s="566"/>
      <c r="B26" s="564"/>
      <c r="C26" s="572" t="s">
        <v>601</v>
      </c>
      <c r="D26" s="596"/>
      <c r="E26" s="567">
        <f>7000000</f>
        <v>7000000</v>
      </c>
      <c r="F26" s="778"/>
      <c r="G26" s="572" t="s">
        <v>533</v>
      </c>
      <c r="H26" s="567">
        <v>600000</v>
      </c>
      <c r="J26" s="590">
        <v>1000000</v>
      </c>
      <c r="K26" s="614" t="s">
        <v>495</v>
      </c>
    </row>
    <row r="27" spans="1:12" x14ac:dyDescent="0.25">
      <c r="A27" s="566"/>
      <c r="B27" s="564"/>
      <c r="C27" s="572" t="s">
        <v>602</v>
      </c>
      <c r="D27" s="596"/>
      <c r="E27" s="567">
        <v>10000000</v>
      </c>
      <c r="F27" s="778"/>
      <c r="G27" s="572"/>
      <c r="H27" s="567"/>
      <c r="J27" s="590">
        <v>4500000</v>
      </c>
      <c r="K27" s="614" t="s">
        <v>496</v>
      </c>
    </row>
    <row r="28" spans="1:12" x14ac:dyDescent="0.25">
      <c r="A28" s="566"/>
      <c r="B28" s="564"/>
      <c r="C28" s="572" t="s">
        <v>603</v>
      </c>
      <c r="D28" s="596"/>
      <c r="E28" s="567">
        <v>500000</v>
      </c>
      <c r="F28" s="778"/>
      <c r="G28" s="572"/>
      <c r="H28" s="567"/>
      <c r="J28" s="590"/>
      <c r="K28" s="614"/>
    </row>
    <row r="29" spans="1:12" ht="13.8" thickBot="1" x14ac:dyDescent="0.3">
      <c r="A29" s="568"/>
      <c r="B29" s="569"/>
      <c r="C29" s="573" t="s">
        <v>581</v>
      </c>
      <c r="D29" s="597"/>
      <c r="E29" s="570">
        <v>500000</v>
      </c>
      <c r="F29" s="778"/>
      <c r="G29" s="780"/>
      <c r="H29" s="570"/>
      <c r="J29" s="591">
        <v>500000</v>
      </c>
      <c r="K29" s="615" t="s">
        <v>497</v>
      </c>
    </row>
    <row r="30" spans="1:12" ht="13.8" thickBot="1" x14ac:dyDescent="0.3">
      <c r="E30" s="781" t="s">
        <v>564</v>
      </c>
      <c r="F30" s="599"/>
      <c r="G30" s="599"/>
      <c r="H30" s="781" t="s">
        <v>519</v>
      </c>
      <c r="J30" s="593" t="s">
        <v>518</v>
      </c>
    </row>
    <row r="31" spans="1:12" x14ac:dyDescent="0.25">
      <c r="A31" s="607" t="s">
        <v>158</v>
      </c>
      <c r="B31" s="794" t="s">
        <v>159</v>
      </c>
      <c r="C31" s="608" t="s">
        <v>475</v>
      </c>
      <c r="D31" s="609"/>
      <c r="E31" s="587">
        <f>SUM(E32:E48)</f>
        <v>792250000</v>
      </c>
      <c r="F31" s="786"/>
      <c r="G31" s="608" t="s">
        <v>475</v>
      </c>
      <c r="H31" s="587">
        <f>SUM(H32:H40)</f>
        <v>696367057</v>
      </c>
      <c r="J31" s="589">
        <f>J32+J33+J34+J40</f>
        <v>211500000</v>
      </c>
      <c r="K31" s="613"/>
    </row>
    <row r="32" spans="1:12" x14ac:dyDescent="0.25">
      <c r="A32" s="566"/>
      <c r="B32" s="564"/>
      <c r="C32" s="561"/>
      <c r="D32" s="564"/>
      <c r="E32" s="567"/>
      <c r="F32" s="787"/>
      <c r="G32" s="561"/>
      <c r="H32" s="567">
        <v>0</v>
      </c>
      <c r="J32" s="590">
        <v>1500000</v>
      </c>
      <c r="K32" s="617" t="s">
        <v>489</v>
      </c>
    </row>
    <row r="33" spans="1:11" ht="26.4" x14ac:dyDescent="0.25">
      <c r="A33" s="566"/>
      <c r="B33" s="564"/>
      <c r="C33" s="584" t="s">
        <v>520</v>
      </c>
      <c r="D33" s="564"/>
      <c r="E33" s="567">
        <v>40000000</v>
      </c>
      <c r="F33" s="787"/>
      <c r="G33" s="584" t="s">
        <v>520</v>
      </c>
      <c r="H33" s="567">
        <f>+[1]Munka1!$B$10</f>
        <v>304167057</v>
      </c>
      <c r="J33" s="590">
        <v>175000000</v>
      </c>
      <c r="K33" s="617" t="s">
        <v>485</v>
      </c>
    </row>
    <row r="34" spans="1:11" ht="26.4" x14ac:dyDescent="0.25">
      <c r="A34" s="566"/>
      <c r="B34" s="564"/>
      <c r="C34" s="584" t="s">
        <v>524</v>
      </c>
      <c r="D34" s="564"/>
      <c r="E34" s="567">
        <v>295000000</v>
      </c>
      <c r="F34" s="787"/>
      <c r="G34" s="584" t="s">
        <v>524</v>
      </c>
      <c r="H34" s="567">
        <v>220000000</v>
      </c>
      <c r="J34" s="590">
        <v>20000000</v>
      </c>
      <c r="K34" s="618" t="s">
        <v>504</v>
      </c>
    </row>
    <row r="35" spans="1:11" ht="26.4" x14ac:dyDescent="0.25">
      <c r="A35" s="566"/>
      <c r="B35" s="564"/>
      <c r="C35" s="584" t="s">
        <v>565</v>
      </c>
      <c r="D35" s="564"/>
      <c r="E35" s="567">
        <v>110000000</v>
      </c>
      <c r="F35" s="787"/>
      <c r="G35" s="584" t="s">
        <v>535</v>
      </c>
      <c r="H35" s="567">
        <v>146000000</v>
      </c>
      <c r="J35" s="590"/>
      <c r="K35" s="618"/>
    </row>
    <row r="36" spans="1:11" x14ac:dyDescent="0.25">
      <c r="A36" s="566"/>
      <c r="B36" s="564"/>
      <c r="C36" s="584" t="s">
        <v>582</v>
      </c>
      <c r="D36" s="564"/>
      <c r="E36" s="567">
        <v>1000000</v>
      </c>
      <c r="F36" s="787"/>
      <c r="G36" s="584" t="s">
        <v>528</v>
      </c>
      <c r="H36" s="567">
        <v>6500000</v>
      </c>
      <c r="J36" s="590"/>
      <c r="K36" s="618"/>
    </row>
    <row r="37" spans="1:11" x14ac:dyDescent="0.25">
      <c r="A37" s="566"/>
      <c r="B37" s="564"/>
      <c r="C37" s="584" t="s">
        <v>590</v>
      </c>
      <c r="D37" s="564"/>
      <c r="E37" s="567">
        <v>400000</v>
      </c>
      <c r="F37" s="787"/>
      <c r="G37" s="584" t="s">
        <v>529</v>
      </c>
      <c r="H37" s="567">
        <v>6000000</v>
      </c>
      <c r="J37" s="590"/>
      <c r="K37" s="618"/>
    </row>
    <row r="38" spans="1:11" ht="26.4" x14ac:dyDescent="0.25">
      <c r="A38" s="566"/>
      <c r="B38" s="564"/>
      <c r="C38" s="584" t="s">
        <v>583</v>
      </c>
      <c r="D38" s="564"/>
      <c r="E38" s="567">
        <v>2000000</v>
      </c>
      <c r="F38" s="787"/>
      <c r="G38" s="584" t="s">
        <v>537</v>
      </c>
      <c r="H38" s="567">
        <v>3200000</v>
      </c>
      <c r="J38" s="590"/>
      <c r="K38" s="618"/>
    </row>
    <row r="39" spans="1:11" ht="26.4" x14ac:dyDescent="0.25">
      <c r="A39" s="566"/>
      <c r="B39" s="564"/>
      <c r="C39" s="584" t="s">
        <v>584</v>
      </c>
      <c r="D39" s="564"/>
      <c r="E39" s="567">
        <v>20000000</v>
      </c>
      <c r="F39" s="787"/>
      <c r="G39" s="584" t="s">
        <v>538</v>
      </c>
      <c r="H39" s="567">
        <v>2500000</v>
      </c>
      <c r="J39" s="590"/>
      <c r="K39" s="618"/>
    </row>
    <row r="40" spans="1:11" ht="13.8" thickBot="1" x14ac:dyDescent="0.3">
      <c r="A40" s="566"/>
      <c r="B40" s="564"/>
      <c r="C40" s="584" t="s">
        <v>586</v>
      </c>
      <c r="D40" s="785"/>
      <c r="E40" s="567">
        <v>3000000</v>
      </c>
      <c r="F40" s="787"/>
      <c r="G40" s="610" t="s">
        <v>530</v>
      </c>
      <c r="H40" s="570">
        <v>8000000</v>
      </c>
      <c r="J40" s="591">
        <v>15000000</v>
      </c>
      <c r="K40" s="619" t="s">
        <v>503</v>
      </c>
    </row>
    <row r="41" spans="1:11" x14ac:dyDescent="0.25">
      <c r="A41" s="566"/>
      <c r="B41" s="564"/>
      <c r="C41" s="584" t="s">
        <v>588</v>
      </c>
      <c r="D41" s="785"/>
      <c r="E41" s="567">
        <v>50000000</v>
      </c>
      <c r="F41" s="787"/>
      <c r="G41" s="784"/>
      <c r="H41" s="778"/>
      <c r="J41" s="778"/>
      <c r="K41" s="779"/>
    </row>
    <row r="42" spans="1:11" x14ac:dyDescent="0.25">
      <c r="A42" s="566"/>
      <c r="B42" s="564"/>
      <c r="C42" s="584" t="s">
        <v>585</v>
      </c>
      <c r="D42" s="785"/>
      <c r="E42" s="567">
        <v>260000000</v>
      </c>
      <c r="F42" s="787"/>
      <c r="G42" s="784"/>
      <c r="H42" s="778"/>
      <c r="J42" s="778"/>
      <c r="K42" s="779"/>
    </row>
    <row r="43" spans="1:11" x14ac:dyDescent="0.25">
      <c r="A43" s="566"/>
      <c r="B43" s="564"/>
      <c r="C43" s="584" t="s">
        <v>587</v>
      </c>
      <c r="D43" s="785"/>
      <c r="E43" s="567">
        <v>2500000</v>
      </c>
      <c r="F43" s="787"/>
      <c r="G43" s="784"/>
      <c r="H43" s="778"/>
      <c r="J43" s="778"/>
      <c r="K43" s="779"/>
    </row>
    <row r="44" spans="1:11" x14ac:dyDescent="0.25">
      <c r="A44" s="566"/>
      <c r="B44" s="564"/>
      <c r="C44" s="584" t="s">
        <v>592</v>
      </c>
      <c r="D44" s="785"/>
      <c r="E44" s="567">
        <v>7700000</v>
      </c>
      <c r="F44" s="787"/>
      <c r="G44" s="784"/>
      <c r="H44" s="778"/>
      <c r="J44" s="778"/>
      <c r="K44" s="779"/>
    </row>
    <row r="45" spans="1:11" x14ac:dyDescent="0.25">
      <c r="A45" s="566"/>
      <c r="B45" s="564"/>
      <c r="C45" s="584" t="s">
        <v>593</v>
      </c>
      <c r="D45" s="785"/>
      <c r="E45" s="567">
        <v>650000</v>
      </c>
      <c r="F45" s="787"/>
      <c r="G45" s="784"/>
      <c r="H45" s="778"/>
      <c r="J45" s="778"/>
      <c r="K45" s="779"/>
    </row>
    <row r="46" spans="1:11" ht="13.8" thickBot="1" x14ac:dyDescent="0.3">
      <c r="A46" s="568"/>
      <c r="B46" s="569"/>
      <c r="C46" s="610"/>
      <c r="D46" s="606"/>
      <c r="E46" s="570"/>
      <c r="F46" s="787"/>
      <c r="G46" s="784"/>
      <c r="H46" s="778"/>
      <c r="J46" s="778"/>
      <c r="K46" s="779"/>
    </row>
    <row r="47" spans="1:11" x14ac:dyDescent="0.25">
      <c r="A47" s="564"/>
      <c r="B47" s="564"/>
      <c r="C47" s="784"/>
      <c r="D47" s="785"/>
      <c r="E47" s="778"/>
      <c r="F47" s="787"/>
      <c r="G47" s="784"/>
      <c r="H47" s="778"/>
      <c r="J47" s="778"/>
      <c r="K47" s="779"/>
    </row>
    <row r="48" spans="1:11" x14ac:dyDescent="0.25">
      <c r="F48" s="788"/>
    </row>
    <row r="49" spans="1:11" ht="13.8" thickBot="1" x14ac:dyDescent="0.3">
      <c r="A49" s="924" t="s">
        <v>543</v>
      </c>
      <c r="B49" s="925"/>
      <c r="C49" s="925"/>
      <c r="D49" s="925"/>
      <c r="E49" s="925"/>
      <c r="F49" s="789"/>
      <c r="G49" s="771"/>
      <c r="H49" s="771" t="s">
        <v>519</v>
      </c>
      <c r="J49" s="592" t="s">
        <v>518</v>
      </c>
    </row>
    <row r="50" spans="1:11" ht="13.8" thickBot="1" x14ac:dyDescent="0.3">
      <c r="A50" s="607" t="s">
        <v>314</v>
      </c>
      <c r="B50" s="794" t="s">
        <v>315</v>
      </c>
      <c r="C50" s="608" t="s">
        <v>475</v>
      </c>
      <c r="D50" s="609"/>
      <c r="E50" s="587">
        <f>SUM(E51:E54)</f>
        <v>99395520</v>
      </c>
      <c r="F50" s="786"/>
      <c r="G50" s="600"/>
      <c r="H50" s="563">
        <f>SUM(H51:H53)</f>
        <v>100700000</v>
      </c>
      <c r="J50" s="594">
        <f>SUM(J51:J53)</f>
        <v>72638000</v>
      </c>
      <c r="K50" s="613"/>
    </row>
    <row r="51" spans="1:11" x14ac:dyDescent="0.25">
      <c r="A51" s="566"/>
      <c r="B51" s="564"/>
      <c r="C51" s="808" t="s">
        <v>596</v>
      </c>
      <c r="D51" s="809"/>
      <c r="E51" s="810">
        <v>6395520</v>
      </c>
      <c r="F51" s="596"/>
      <c r="G51" s="611" t="s">
        <v>525</v>
      </c>
      <c r="H51" s="612">
        <v>32000000</v>
      </c>
      <c r="J51" s="601">
        <v>10638000</v>
      </c>
      <c r="K51" s="620" t="s">
        <v>505</v>
      </c>
    </row>
    <row r="52" spans="1:11" ht="13.8" x14ac:dyDescent="0.3">
      <c r="A52" s="566"/>
      <c r="B52" s="564"/>
      <c r="C52" s="803" t="s">
        <v>604</v>
      </c>
      <c r="D52" s="804"/>
      <c r="E52" s="793">
        <v>20000000</v>
      </c>
      <c r="F52" s="596"/>
      <c r="G52" s="605"/>
      <c r="H52" s="602">
        <v>0</v>
      </c>
      <c r="J52" s="603">
        <v>12000000</v>
      </c>
      <c r="K52" s="620" t="s">
        <v>506</v>
      </c>
    </row>
    <row r="53" spans="1:11" ht="29.4" thickBot="1" x14ac:dyDescent="0.35">
      <c r="A53" s="568"/>
      <c r="B53" s="569"/>
      <c r="C53" s="805" t="s">
        <v>591</v>
      </c>
      <c r="D53" s="806"/>
      <c r="E53" s="623">
        <v>73000000</v>
      </c>
      <c r="F53" s="629"/>
      <c r="G53" s="586" t="s">
        <v>532</v>
      </c>
      <c r="H53" s="623">
        <v>68700000</v>
      </c>
      <c r="J53" s="604">
        <v>50000000</v>
      </c>
      <c r="K53" s="621" t="s">
        <v>508</v>
      </c>
    </row>
    <row r="54" spans="1:11" ht="13.8" x14ac:dyDescent="0.3">
      <c r="A54" s="564"/>
      <c r="B54" s="564"/>
      <c r="C54" s="807"/>
      <c r="D54" s="779"/>
      <c r="E54" s="629"/>
    </row>
    <row r="55" spans="1:11" x14ac:dyDescent="0.25">
      <c r="A55" s="564"/>
      <c r="B55" s="564"/>
      <c r="C55" s="564"/>
      <c r="D55" s="564"/>
      <c r="E55" s="564"/>
    </row>
  </sheetData>
  <mergeCells count="2">
    <mergeCell ref="A3:E3"/>
    <mergeCell ref="A49:E49"/>
  </mergeCells>
  <pageMargins left="0.7" right="0.7" top="0.75" bottom="0.75" header="0.3" footer="0.3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K11" sqref="K11"/>
    </sheetView>
  </sheetViews>
  <sheetFormatPr defaultRowHeight="13.2" x14ac:dyDescent="0.25"/>
  <cols>
    <col min="2" max="2" width="28.44140625" customWidth="1"/>
    <col min="3" max="4" width="19.77734375" customWidth="1"/>
    <col min="5" max="5" width="20.88671875" customWidth="1"/>
    <col min="7" max="7" width="10.109375" bestFit="1" customWidth="1"/>
    <col min="256" max="256" width="26.44140625" customWidth="1"/>
    <col min="257" max="257" width="18.21875" customWidth="1"/>
    <col min="258" max="258" width="18.77734375" customWidth="1"/>
    <col min="259" max="259" width="15.44140625" customWidth="1"/>
    <col min="512" max="512" width="26.44140625" customWidth="1"/>
    <col min="513" max="513" width="18.21875" customWidth="1"/>
    <col min="514" max="514" width="18.77734375" customWidth="1"/>
    <col min="515" max="515" width="15.44140625" customWidth="1"/>
    <col min="768" max="768" width="26.44140625" customWidth="1"/>
    <col min="769" max="769" width="18.21875" customWidth="1"/>
    <col min="770" max="770" width="18.77734375" customWidth="1"/>
    <col min="771" max="771" width="15.44140625" customWidth="1"/>
    <col min="1024" max="1024" width="26.44140625" customWidth="1"/>
    <col min="1025" max="1025" width="18.21875" customWidth="1"/>
    <col min="1026" max="1026" width="18.77734375" customWidth="1"/>
    <col min="1027" max="1027" width="15.44140625" customWidth="1"/>
    <col min="1280" max="1280" width="26.44140625" customWidth="1"/>
    <col min="1281" max="1281" width="18.21875" customWidth="1"/>
    <col min="1282" max="1282" width="18.77734375" customWidth="1"/>
    <col min="1283" max="1283" width="15.44140625" customWidth="1"/>
    <col min="1536" max="1536" width="26.44140625" customWidth="1"/>
    <col min="1537" max="1537" width="18.21875" customWidth="1"/>
    <col min="1538" max="1538" width="18.77734375" customWidth="1"/>
    <col min="1539" max="1539" width="15.44140625" customWidth="1"/>
    <col min="1792" max="1792" width="26.44140625" customWidth="1"/>
    <col min="1793" max="1793" width="18.21875" customWidth="1"/>
    <col min="1794" max="1794" width="18.77734375" customWidth="1"/>
    <col min="1795" max="1795" width="15.44140625" customWidth="1"/>
    <col min="2048" max="2048" width="26.44140625" customWidth="1"/>
    <col min="2049" max="2049" width="18.21875" customWidth="1"/>
    <col min="2050" max="2050" width="18.77734375" customWidth="1"/>
    <col min="2051" max="2051" width="15.44140625" customWidth="1"/>
    <col min="2304" max="2304" width="26.44140625" customWidth="1"/>
    <col min="2305" max="2305" width="18.21875" customWidth="1"/>
    <col min="2306" max="2306" width="18.77734375" customWidth="1"/>
    <col min="2307" max="2307" width="15.44140625" customWidth="1"/>
    <col min="2560" max="2560" width="26.44140625" customWidth="1"/>
    <col min="2561" max="2561" width="18.21875" customWidth="1"/>
    <col min="2562" max="2562" width="18.77734375" customWidth="1"/>
    <col min="2563" max="2563" width="15.44140625" customWidth="1"/>
    <col min="2816" max="2816" width="26.44140625" customWidth="1"/>
    <col min="2817" max="2817" width="18.21875" customWidth="1"/>
    <col min="2818" max="2818" width="18.77734375" customWidth="1"/>
    <col min="2819" max="2819" width="15.44140625" customWidth="1"/>
    <col min="3072" max="3072" width="26.44140625" customWidth="1"/>
    <col min="3073" max="3073" width="18.21875" customWidth="1"/>
    <col min="3074" max="3074" width="18.77734375" customWidth="1"/>
    <col min="3075" max="3075" width="15.44140625" customWidth="1"/>
    <col min="3328" max="3328" width="26.44140625" customWidth="1"/>
    <col min="3329" max="3329" width="18.21875" customWidth="1"/>
    <col min="3330" max="3330" width="18.77734375" customWidth="1"/>
    <col min="3331" max="3331" width="15.44140625" customWidth="1"/>
    <col min="3584" max="3584" width="26.44140625" customWidth="1"/>
    <col min="3585" max="3585" width="18.21875" customWidth="1"/>
    <col min="3586" max="3586" width="18.77734375" customWidth="1"/>
    <col min="3587" max="3587" width="15.44140625" customWidth="1"/>
    <col min="3840" max="3840" width="26.44140625" customWidth="1"/>
    <col min="3841" max="3841" width="18.21875" customWidth="1"/>
    <col min="3842" max="3842" width="18.77734375" customWidth="1"/>
    <col min="3843" max="3843" width="15.44140625" customWidth="1"/>
    <col min="4096" max="4096" width="26.44140625" customWidth="1"/>
    <col min="4097" max="4097" width="18.21875" customWidth="1"/>
    <col min="4098" max="4098" width="18.77734375" customWidth="1"/>
    <col min="4099" max="4099" width="15.44140625" customWidth="1"/>
    <col min="4352" max="4352" width="26.44140625" customWidth="1"/>
    <col min="4353" max="4353" width="18.21875" customWidth="1"/>
    <col min="4354" max="4354" width="18.77734375" customWidth="1"/>
    <col min="4355" max="4355" width="15.44140625" customWidth="1"/>
    <col min="4608" max="4608" width="26.44140625" customWidth="1"/>
    <col min="4609" max="4609" width="18.21875" customWidth="1"/>
    <col min="4610" max="4610" width="18.77734375" customWidth="1"/>
    <col min="4611" max="4611" width="15.44140625" customWidth="1"/>
    <col min="4864" max="4864" width="26.44140625" customWidth="1"/>
    <col min="4865" max="4865" width="18.21875" customWidth="1"/>
    <col min="4866" max="4866" width="18.77734375" customWidth="1"/>
    <col min="4867" max="4867" width="15.44140625" customWidth="1"/>
    <col min="5120" max="5120" width="26.44140625" customWidth="1"/>
    <col min="5121" max="5121" width="18.21875" customWidth="1"/>
    <col min="5122" max="5122" width="18.77734375" customWidth="1"/>
    <col min="5123" max="5123" width="15.44140625" customWidth="1"/>
    <col min="5376" max="5376" width="26.44140625" customWidth="1"/>
    <col min="5377" max="5377" width="18.21875" customWidth="1"/>
    <col min="5378" max="5378" width="18.77734375" customWidth="1"/>
    <col min="5379" max="5379" width="15.44140625" customWidth="1"/>
    <col min="5632" max="5632" width="26.44140625" customWidth="1"/>
    <col min="5633" max="5633" width="18.21875" customWidth="1"/>
    <col min="5634" max="5634" width="18.77734375" customWidth="1"/>
    <col min="5635" max="5635" width="15.44140625" customWidth="1"/>
    <col min="5888" max="5888" width="26.44140625" customWidth="1"/>
    <col min="5889" max="5889" width="18.21875" customWidth="1"/>
    <col min="5890" max="5890" width="18.77734375" customWidth="1"/>
    <col min="5891" max="5891" width="15.44140625" customWidth="1"/>
    <col min="6144" max="6144" width="26.44140625" customWidth="1"/>
    <col min="6145" max="6145" width="18.21875" customWidth="1"/>
    <col min="6146" max="6146" width="18.77734375" customWidth="1"/>
    <col min="6147" max="6147" width="15.44140625" customWidth="1"/>
    <col min="6400" max="6400" width="26.44140625" customWidth="1"/>
    <col min="6401" max="6401" width="18.21875" customWidth="1"/>
    <col min="6402" max="6402" width="18.77734375" customWidth="1"/>
    <col min="6403" max="6403" width="15.44140625" customWidth="1"/>
    <col min="6656" max="6656" width="26.44140625" customWidth="1"/>
    <col min="6657" max="6657" width="18.21875" customWidth="1"/>
    <col min="6658" max="6658" width="18.77734375" customWidth="1"/>
    <col min="6659" max="6659" width="15.44140625" customWidth="1"/>
    <col min="6912" max="6912" width="26.44140625" customWidth="1"/>
    <col min="6913" max="6913" width="18.21875" customWidth="1"/>
    <col min="6914" max="6914" width="18.77734375" customWidth="1"/>
    <col min="6915" max="6915" width="15.44140625" customWidth="1"/>
    <col min="7168" max="7168" width="26.44140625" customWidth="1"/>
    <col min="7169" max="7169" width="18.21875" customWidth="1"/>
    <col min="7170" max="7170" width="18.77734375" customWidth="1"/>
    <col min="7171" max="7171" width="15.44140625" customWidth="1"/>
    <col min="7424" max="7424" width="26.44140625" customWidth="1"/>
    <col min="7425" max="7425" width="18.21875" customWidth="1"/>
    <col min="7426" max="7426" width="18.77734375" customWidth="1"/>
    <col min="7427" max="7427" width="15.44140625" customWidth="1"/>
    <col min="7680" max="7680" width="26.44140625" customWidth="1"/>
    <col min="7681" max="7681" width="18.21875" customWidth="1"/>
    <col min="7682" max="7682" width="18.77734375" customWidth="1"/>
    <col min="7683" max="7683" width="15.44140625" customWidth="1"/>
    <col min="7936" max="7936" width="26.44140625" customWidth="1"/>
    <col min="7937" max="7937" width="18.21875" customWidth="1"/>
    <col min="7938" max="7938" width="18.77734375" customWidth="1"/>
    <col min="7939" max="7939" width="15.44140625" customWidth="1"/>
    <col min="8192" max="8192" width="26.44140625" customWidth="1"/>
    <col min="8193" max="8193" width="18.21875" customWidth="1"/>
    <col min="8194" max="8194" width="18.77734375" customWidth="1"/>
    <col min="8195" max="8195" width="15.44140625" customWidth="1"/>
    <col min="8448" max="8448" width="26.44140625" customWidth="1"/>
    <col min="8449" max="8449" width="18.21875" customWidth="1"/>
    <col min="8450" max="8450" width="18.77734375" customWidth="1"/>
    <col min="8451" max="8451" width="15.44140625" customWidth="1"/>
    <col min="8704" max="8704" width="26.44140625" customWidth="1"/>
    <col min="8705" max="8705" width="18.21875" customWidth="1"/>
    <col min="8706" max="8706" width="18.77734375" customWidth="1"/>
    <col min="8707" max="8707" width="15.44140625" customWidth="1"/>
    <col min="8960" max="8960" width="26.44140625" customWidth="1"/>
    <col min="8961" max="8961" width="18.21875" customWidth="1"/>
    <col min="8962" max="8962" width="18.77734375" customWidth="1"/>
    <col min="8963" max="8963" width="15.44140625" customWidth="1"/>
    <col min="9216" max="9216" width="26.44140625" customWidth="1"/>
    <col min="9217" max="9217" width="18.21875" customWidth="1"/>
    <col min="9218" max="9218" width="18.77734375" customWidth="1"/>
    <col min="9219" max="9219" width="15.44140625" customWidth="1"/>
    <col min="9472" max="9472" width="26.44140625" customWidth="1"/>
    <col min="9473" max="9473" width="18.21875" customWidth="1"/>
    <col min="9474" max="9474" width="18.77734375" customWidth="1"/>
    <col min="9475" max="9475" width="15.44140625" customWidth="1"/>
    <col min="9728" max="9728" width="26.44140625" customWidth="1"/>
    <col min="9729" max="9729" width="18.21875" customWidth="1"/>
    <col min="9730" max="9730" width="18.77734375" customWidth="1"/>
    <col min="9731" max="9731" width="15.44140625" customWidth="1"/>
    <col min="9984" max="9984" width="26.44140625" customWidth="1"/>
    <col min="9985" max="9985" width="18.21875" customWidth="1"/>
    <col min="9986" max="9986" width="18.77734375" customWidth="1"/>
    <col min="9987" max="9987" width="15.44140625" customWidth="1"/>
    <col min="10240" max="10240" width="26.44140625" customWidth="1"/>
    <col min="10241" max="10241" width="18.21875" customWidth="1"/>
    <col min="10242" max="10242" width="18.77734375" customWidth="1"/>
    <col min="10243" max="10243" width="15.44140625" customWidth="1"/>
    <col min="10496" max="10496" width="26.44140625" customWidth="1"/>
    <col min="10497" max="10497" width="18.21875" customWidth="1"/>
    <col min="10498" max="10498" width="18.77734375" customWidth="1"/>
    <col min="10499" max="10499" width="15.44140625" customWidth="1"/>
    <col min="10752" max="10752" width="26.44140625" customWidth="1"/>
    <col min="10753" max="10753" width="18.21875" customWidth="1"/>
    <col min="10754" max="10754" width="18.77734375" customWidth="1"/>
    <col min="10755" max="10755" width="15.44140625" customWidth="1"/>
    <col min="11008" max="11008" width="26.44140625" customWidth="1"/>
    <col min="11009" max="11009" width="18.21875" customWidth="1"/>
    <col min="11010" max="11010" width="18.77734375" customWidth="1"/>
    <col min="11011" max="11011" width="15.44140625" customWidth="1"/>
    <col min="11264" max="11264" width="26.44140625" customWidth="1"/>
    <col min="11265" max="11265" width="18.21875" customWidth="1"/>
    <col min="11266" max="11266" width="18.77734375" customWidth="1"/>
    <col min="11267" max="11267" width="15.44140625" customWidth="1"/>
    <col min="11520" max="11520" width="26.44140625" customWidth="1"/>
    <col min="11521" max="11521" width="18.21875" customWidth="1"/>
    <col min="11522" max="11522" width="18.77734375" customWidth="1"/>
    <col min="11523" max="11523" width="15.44140625" customWidth="1"/>
    <col min="11776" max="11776" width="26.44140625" customWidth="1"/>
    <col min="11777" max="11777" width="18.21875" customWidth="1"/>
    <col min="11778" max="11778" width="18.77734375" customWidth="1"/>
    <col min="11779" max="11779" width="15.44140625" customWidth="1"/>
    <col min="12032" max="12032" width="26.44140625" customWidth="1"/>
    <col min="12033" max="12033" width="18.21875" customWidth="1"/>
    <col min="12034" max="12034" width="18.77734375" customWidth="1"/>
    <col min="12035" max="12035" width="15.44140625" customWidth="1"/>
    <col min="12288" max="12288" width="26.44140625" customWidth="1"/>
    <col min="12289" max="12289" width="18.21875" customWidth="1"/>
    <col min="12290" max="12290" width="18.77734375" customWidth="1"/>
    <col min="12291" max="12291" width="15.44140625" customWidth="1"/>
    <col min="12544" max="12544" width="26.44140625" customWidth="1"/>
    <col min="12545" max="12545" width="18.21875" customWidth="1"/>
    <col min="12546" max="12546" width="18.77734375" customWidth="1"/>
    <col min="12547" max="12547" width="15.44140625" customWidth="1"/>
    <col min="12800" max="12800" width="26.44140625" customWidth="1"/>
    <col min="12801" max="12801" width="18.21875" customWidth="1"/>
    <col min="12802" max="12802" width="18.77734375" customWidth="1"/>
    <col min="12803" max="12803" width="15.44140625" customWidth="1"/>
    <col min="13056" max="13056" width="26.44140625" customWidth="1"/>
    <col min="13057" max="13057" width="18.21875" customWidth="1"/>
    <col min="13058" max="13058" width="18.77734375" customWidth="1"/>
    <col min="13059" max="13059" width="15.44140625" customWidth="1"/>
    <col min="13312" max="13312" width="26.44140625" customWidth="1"/>
    <col min="13313" max="13313" width="18.21875" customWidth="1"/>
    <col min="13314" max="13314" width="18.77734375" customWidth="1"/>
    <col min="13315" max="13315" width="15.44140625" customWidth="1"/>
    <col min="13568" max="13568" width="26.44140625" customWidth="1"/>
    <col min="13569" max="13569" width="18.21875" customWidth="1"/>
    <col min="13570" max="13570" width="18.77734375" customWidth="1"/>
    <col min="13571" max="13571" width="15.44140625" customWidth="1"/>
    <col min="13824" max="13824" width="26.44140625" customWidth="1"/>
    <col min="13825" max="13825" width="18.21875" customWidth="1"/>
    <col min="13826" max="13826" width="18.77734375" customWidth="1"/>
    <col min="13827" max="13827" width="15.44140625" customWidth="1"/>
    <col min="14080" max="14080" width="26.44140625" customWidth="1"/>
    <col min="14081" max="14081" width="18.21875" customWidth="1"/>
    <col min="14082" max="14082" width="18.77734375" customWidth="1"/>
    <col min="14083" max="14083" width="15.44140625" customWidth="1"/>
    <col min="14336" max="14336" width="26.44140625" customWidth="1"/>
    <col min="14337" max="14337" width="18.21875" customWidth="1"/>
    <col min="14338" max="14338" width="18.77734375" customWidth="1"/>
    <col min="14339" max="14339" width="15.44140625" customWidth="1"/>
    <col min="14592" max="14592" width="26.44140625" customWidth="1"/>
    <col min="14593" max="14593" width="18.21875" customWidth="1"/>
    <col min="14594" max="14594" width="18.77734375" customWidth="1"/>
    <col min="14595" max="14595" width="15.44140625" customWidth="1"/>
    <col min="14848" max="14848" width="26.44140625" customWidth="1"/>
    <col min="14849" max="14849" width="18.21875" customWidth="1"/>
    <col min="14850" max="14850" width="18.77734375" customWidth="1"/>
    <col min="14851" max="14851" width="15.44140625" customWidth="1"/>
    <col min="15104" max="15104" width="26.44140625" customWidth="1"/>
    <col min="15105" max="15105" width="18.21875" customWidth="1"/>
    <col min="15106" max="15106" width="18.77734375" customWidth="1"/>
    <col min="15107" max="15107" width="15.44140625" customWidth="1"/>
    <col min="15360" max="15360" width="26.44140625" customWidth="1"/>
    <col min="15361" max="15361" width="18.21875" customWidth="1"/>
    <col min="15362" max="15362" width="18.77734375" customWidth="1"/>
    <col min="15363" max="15363" width="15.44140625" customWidth="1"/>
    <col min="15616" max="15616" width="26.44140625" customWidth="1"/>
    <col min="15617" max="15617" width="18.21875" customWidth="1"/>
    <col min="15618" max="15618" width="18.77734375" customWidth="1"/>
    <col min="15619" max="15619" width="15.44140625" customWidth="1"/>
    <col min="15872" max="15872" width="26.44140625" customWidth="1"/>
    <col min="15873" max="15873" width="18.21875" customWidth="1"/>
    <col min="15874" max="15874" width="18.77734375" customWidth="1"/>
    <col min="15875" max="15875" width="15.44140625" customWidth="1"/>
    <col min="16128" max="16128" width="26.44140625" customWidth="1"/>
    <col min="16129" max="16129" width="18.21875" customWidth="1"/>
    <col min="16130" max="16130" width="18.77734375" customWidth="1"/>
    <col min="16131" max="16131" width="15.44140625" customWidth="1"/>
  </cols>
  <sheetData>
    <row r="1" spans="1:7" ht="15.6" x14ac:dyDescent="0.3">
      <c r="A1" s="578" t="s">
        <v>493</v>
      </c>
    </row>
    <row r="2" spans="1:7" ht="15.6" x14ac:dyDescent="0.3">
      <c r="A2" s="578" t="s">
        <v>560</v>
      </c>
    </row>
    <row r="3" spans="1:7" x14ac:dyDescent="0.25">
      <c r="A3" s="59" t="s">
        <v>559</v>
      </c>
    </row>
    <row r="4" spans="1:7" x14ac:dyDescent="0.25">
      <c r="A4" s="772"/>
      <c r="B4" s="773"/>
      <c r="C4" s="774" t="s">
        <v>561</v>
      </c>
      <c r="D4" s="774" t="s">
        <v>562</v>
      </c>
      <c r="E4" s="774" t="s">
        <v>563</v>
      </c>
    </row>
    <row r="5" spans="1:7" ht="26.4" x14ac:dyDescent="0.25">
      <c r="A5" s="775" t="s">
        <v>243</v>
      </c>
      <c r="B5" s="51" t="s">
        <v>244</v>
      </c>
      <c r="C5" s="294">
        <f>SUM(C6:C11)</f>
        <v>527367846</v>
      </c>
      <c r="D5" s="294">
        <f>SUM(D6:D11)</f>
        <v>513180889</v>
      </c>
      <c r="E5" s="294">
        <f>SUM(E6:E11)</f>
        <v>-14186957</v>
      </c>
      <c r="G5" s="122"/>
    </row>
    <row r="6" spans="1:7" ht="39.6" x14ac:dyDescent="0.25">
      <c r="A6" s="150" t="s">
        <v>245</v>
      </c>
      <c r="B6" s="146" t="s">
        <v>382</v>
      </c>
      <c r="C6" s="142">
        <v>170216516</v>
      </c>
      <c r="D6" s="68">
        <v>162595605</v>
      </c>
      <c r="E6" s="776">
        <f t="shared" ref="E6:E11" si="0">+D6-C6</f>
        <v>-7620911</v>
      </c>
    </row>
    <row r="7" spans="1:7" ht="39.6" x14ac:dyDescent="0.25">
      <c r="A7" s="150" t="s">
        <v>246</v>
      </c>
      <c r="B7" s="146" t="s">
        <v>413</v>
      </c>
      <c r="C7" s="142">
        <v>183736367</v>
      </c>
      <c r="D7" s="71">
        <v>192807166</v>
      </c>
      <c r="E7" s="776">
        <f t="shared" si="0"/>
        <v>9070799</v>
      </c>
    </row>
    <row r="8" spans="1:7" ht="39.6" x14ac:dyDescent="0.25">
      <c r="A8" s="150" t="s">
        <v>247</v>
      </c>
      <c r="B8" s="146" t="s">
        <v>414</v>
      </c>
      <c r="C8" s="142">
        <v>163336873</v>
      </c>
      <c r="D8" s="68">
        <v>147583868</v>
      </c>
      <c r="E8" s="776">
        <f t="shared" si="0"/>
        <v>-15753005</v>
      </c>
    </row>
    <row r="9" spans="1:7" ht="26.4" x14ac:dyDescent="0.25">
      <c r="A9" s="150" t="s">
        <v>248</v>
      </c>
      <c r="B9" s="146" t="s">
        <v>415</v>
      </c>
      <c r="C9" s="142">
        <v>10078090</v>
      </c>
      <c r="D9" s="71">
        <v>10194250</v>
      </c>
      <c r="E9" s="776">
        <f t="shared" si="0"/>
        <v>116160</v>
      </c>
    </row>
    <row r="10" spans="1:7" ht="26.4" x14ac:dyDescent="0.25">
      <c r="A10" s="150" t="s">
        <v>249</v>
      </c>
      <c r="B10" s="146" t="s">
        <v>250</v>
      </c>
      <c r="C10" s="142">
        <v>0</v>
      </c>
      <c r="D10" s="142">
        <v>0</v>
      </c>
      <c r="E10" s="776">
        <f t="shared" si="0"/>
        <v>0</v>
      </c>
    </row>
    <row r="11" spans="1:7" ht="26.4" x14ac:dyDescent="0.25">
      <c r="A11" s="150" t="s">
        <v>251</v>
      </c>
      <c r="B11" s="146" t="s">
        <v>252</v>
      </c>
      <c r="C11" s="142">
        <v>0</v>
      </c>
      <c r="D11" s="142">
        <v>0</v>
      </c>
      <c r="E11" s="776">
        <f t="shared" si="0"/>
        <v>0</v>
      </c>
    </row>
  </sheetData>
  <pageMargins left="0.7" right="0.7" top="0.75" bottom="0.75" header="0.3" footer="0.3"/>
  <pageSetup paperSize="9" scale="9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A4" sqref="A4"/>
    </sheetView>
  </sheetViews>
  <sheetFormatPr defaultRowHeight="13.2" x14ac:dyDescent="0.25"/>
  <cols>
    <col min="1" max="1" width="33.44140625" bestFit="1" customWidth="1"/>
    <col min="4" max="4" width="16.6640625" customWidth="1"/>
    <col min="6" max="6" width="12.44140625" customWidth="1"/>
    <col min="8" max="8" width="14.88671875" customWidth="1"/>
  </cols>
  <sheetData>
    <row r="1" spans="1:8" ht="18" x14ac:dyDescent="0.35">
      <c r="A1" s="815" t="s">
        <v>493</v>
      </c>
    </row>
    <row r="2" spans="1:8" ht="15.6" x14ac:dyDescent="0.3">
      <c r="A2" s="816" t="s">
        <v>560</v>
      </c>
    </row>
    <row r="3" spans="1:8" ht="18" x14ac:dyDescent="0.35">
      <c r="A3" s="815" t="s">
        <v>611</v>
      </c>
    </row>
    <row r="4" spans="1:8" ht="18.600000000000001" thickBot="1" x14ac:dyDescent="0.4">
      <c r="A4" s="815"/>
    </row>
    <row r="5" spans="1:8" ht="15" thickBot="1" x14ac:dyDescent="0.35">
      <c r="A5" s="817" t="s">
        <v>560</v>
      </c>
      <c r="B5" s="926" t="s">
        <v>612</v>
      </c>
      <c r="C5" s="927"/>
      <c r="D5" s="927"/>
      <c r="E5" s="927"/>
      <c r="F5" s="927"/>
      <c r="G5" s="927"/>
      <c r="H5" s="928"/>
    </row>
    <row r="6" spans="1:8" ht="40.200000000000003" thickBot="1" x14ac:dyDescent="0.3">
      <c r="A6" s="818" t="s">
        <v>613</v>
      </c>
      <c r="B6" s="819" t="s">
        <v>245</v>
      </c>
      <c r="C6" s="820" t="s">
        <v>246</v>
      </c>
      <c r="D6" s="821" t="s">
        <v>614</v>
      </c>
      <c r="E6" s="820" t="s">
        <v>248</v>
      </c>
      <c r="F6" s="820" t="s">
        <v>249</v>
      </c>
      <c r="G6" s="822" t="s">
        <v>251</v>
      </c>
      <c r="H6" s="823" t="s">
        <v>615</v>
      </c>
    </row>
    <row r="7" spans="1:8" ht="14.4" x14ac:dyDescent="0.3">
      <c r="A7" s="824" t="s">
        <v>616</v>
      </c>
      <c r="B7" s="825"/>
      <c r="C7" s="826"/>
      <c r="D7" s="827">
        <v>403398</v>
      </c>
      <c r="E7" s="826"/>
      <c r="F7" s="826"/>
      <c r="G7" s="828"/>
      <c r="H7" s="829">
        <f>SUM(B7:G7)</f>
        <v>403398</v>
      </c>
    </row>
    <row r="8" spans="1:8" ht="14.4" x14ac:dyDescent="0.3">
      <c r="A8" s="830" t="s">
        <v>617</v>
      </c>
      <c r="B8" s="831"/>
      <c r="C8" s="832"/>
      <c r="D8" s="827">
        <v>419510</v>
      </c>
      <c r="E8" s="832"/>
      <c r="F8" s="833">
        <v>9516000</v>
      </c>
      <c r="G8" s="772"/>
      <c r="H8" s="829">
        <f t="shared" ref="H8:H18" si="0">SUM(B8:G8)</f>
        <v>9935510</v>
      </c>
    </row>
    <row r="9" spans="1:8" ht="14.4" x14ac:dyDescent="0.3">
      <c r="A9" s="830" t="s">
        <v>618</v>
      </c>
      <c r="B9" s="831"/>
      <c r="C9" s="832"/>
      <c r="D9" s="827">
        <v>417456</v>
      </c>
      <c r="E9" s="832"/>
      <c r="F9" s="832"/>
      <c r="G9" s="772"/>
      <c r="H9" s="829">
        <f t="shared" si="0"/>
        <v>417456</v>
      </c>
    </row>
    <row r="10" spans="1:8" ht="14.4" x14ac:dyDescent="0.3">
      <c r="A10" s="830" t="s">
        <v>619</v>
      </c>
      <c r="B10" s="831"/>
      <c r="C10" s="832"/>
      <c r="D10" s="827">
        <v>420890</v>
      </c>
      <c r="E10" s="832"/>
      <c r="F10" s="832"/>
      <c r="G10" s="772"/>
      <c r="H10" s="829">
        <f t="shared" si="0"/>
        <v>420890</v>
      </c>
    </row>
    <row r="11" spans="1:8" ht="14.4" x14ac:dyDescent="0.3">
      <c r="A11" s="830" t="s">
        <v>620</v>
      </c>
      <c r="B11" s="831"/>
      <c r="C11" s="832"/>
      <c r="D11" s="834">
        <v>393429</v>
      </c>
      <c r="E11" s="832"/>
      <c r="F11" s="832"/>
      <c r="G11" s="772"/>
      <c r="H11" s="829">
        <f t="shared" si="0"/>
        <v>393429</v>
      </c>
    </row>
    <row r="12" spans="1:8" ht="15" thickBot="1" x14ac:dyDescent="0.35">
      <c r="A12" s="837" t="s">
        <v>621</v>
      </c>
      <c r="B12" s="854"/>
      <c r="C12" s="855"/>
      <c r="D12" s="851">
        <v>422322</v>
      </c>
      <c r="E12" s="855"/>
      <c r="F12" s="855"/>
      <c r="G12" s="859"/>
      <c r="H12" s="858">
        <f t="shared" si="0"/>
        <v>422322</v>
      </c>
    </row>
    <row r="13" spans="1:8" ht="14.4" x14ac:dyDescent="0.3">
      <c r="A13" s="824" t="s">
        <v>622</v>
      </c>
      <c r="B13" s="825"/>
      <c r="C13" s="826"/>
      <c r="D13" s="850">
        <v>418265</v>
      </c>
      <c r="E13" s="826"/>
      <c r="F13" s="826"/>
      <c r="G13" s="828"/>
      <c r="H13" s="829">
        <f t="shared" si="0"/>
        <v>418265</v>
      </c>
    </row>
    <row r="14" spans="1:8" ht="14.4" x14ac:dyDescent="0.3">
      <c r="A14" s="830" t="s">
        <v>623</v>
      </c>
      <c r="B14" s="831"/>
      <c r="C14" s="832"/>
      <c r="D14" s="834">
        <v>413143</v>
      </c>
      <c r="E14" s="832"/>
      <c r="F14" s="832"/>
      <c r="G14" s="772"/>
      <c r="H14" s="829">
        <f t="shared" si="0"/>
        <v>413143</v>
      </c>
    </row>
    <row r="15" spans="1:8" ht="15" thickBot="1" x14ac:dyDescent="0.35">
      <c r="A15" s="837" t="s">
        <v>624</v>
      </c>
      <c r="B15" s="854"/>
      <c r="C15" s="855"/>
      <c r="D15" s="851">
        <v>397211</v>
      </c>
      <c r="E15" s="856"/>
      <c r="F15" s="856"/>
      <c r="G15" s="857"/>
      <c r="H15" s="858">
        <f t="shared" si="0"/>
        <v>397211</v>
      </c>
    </row>
    <row r="16" spans="1:8" ht="14.4" x14ac:dyDescent="0.3">
      <c r="A16" s="824" t="s">
        <v>625</v>
      </c>
      <c r="B16" s="825"/>
      <c r="C16" s="826"/>
      <c r="D16" s="850"/>
      <c r="E16" s="852"/>
      <c r="F16" s="852"/>
      <c r="G16" s="853"/>
      <c r="H16" s="829">
        <f t="shared" si="0"/>
        <v>0</v>
      </c>
    </row>
    <row r="17" spans="1:8" ht="14.4" x14ac:dyDescent="0.3">
      <c r="A17" s="830" t="s">
        <v>626</v>
      </c>
      <c r="B17" s="831"/>
      <c r="C17" s="832"/>
      <c r="D17" s="834"/>
      <c r="E17" s="835"/>
      <c r="F17" s="835"/>
      <c r="G17" s="836"/>
      <c r="H17" s="829">
        <f t="shared" si="0"/>
        <v>0</v>
      </c>
    </row>
    <row r="18" spans="1:8" ht="15" thickBot="1" x14ac:dyDescent="0.35">
      <c r="A18" s="837" t="s">
        <v>627</v>
      </c>
      <c r="B18" s="838"/>
      <c r="C18" s="839"/>
      <c r="D18" s="840"/>
      <c r="E18" s="840"/>
      <c r="F18" s="840"/>
      <c r="G18" s="841"/>
      <c r="H18" s="829">
        <f t="shared" si="0"/>
        <v>0</v>
      </c>
    </row>
    <row r="19" spans="1:8" ht="15" thickBot="1" x14ac:dyDescent="0.35">
      <c r="A19" s="842" t="s">
        <v>628</v>
      </c>
      <c r="B19" s="843">
        <f>SUM(B7:B18)</f>
        <v>0</v>
      </c>
      <c r="C19" s="844">
        <f t="shared" ref="C19:H19" si="1">SUM(C7:C18)</f>
        <v>0</v>
      </c>
      <c r="D19" s="844">
        <f t="shared" si="1"/>
        <v>3705624</v>
      </c>
      <c r="E19" s="844">
        <f t="shared" si="1"/>
        <v>0</v>
      </c>
      <c r="F19" s="844">
        <f t="shared" si="1"/>
        <v>9516000</v>
      </c>
      <c r="G19" s="845">
        <f t="shared" si="1"/>
        <v>0</v>
      </c>
      <c r="H19" s="846">
        <f t="shared" si="1"/>
        <v>13221624</v>
      </c>
    </row>
  </sheetData>
  <mergeCells count="1">
    <mergeCell ref="B5:H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53"/>
  <sheetViews>
    <sheetView view="pageBreakPreview" zoomScale="75" zoomScaleNormal="75" zoomScaleSheetLayoutView="75" workbookViewId="0">
      <selection activeCell="F11" sqref="F11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9.33203125" style="22" customWidth="1"/>
    <col min="4" max="5" width="18.5546875" style="23" customWidth="1"/>
    <col min="6" max="6" width="15.5546875" style="23" hidden="1" customWidth="1"/>
    <col min="7" max="7" width="0.6640625" style="23" customWidth="1"/>
    <col min="8" max="8" width="15.5546875" style="22" customWidth="1"/>
    <col min="9" max="9" width="15.5546875" style="23" customWidth="1"/>
    <col min="10" max="10" width="15.5546875" style="23" hidden="1" customWidth="1"/>
    <col min="11" max="11" width="0.6640625" style="23" customWidth="1"/>
    <col min="12" max="13" width="10.5546875" style="22" customWidth="1"/>
    <col min="14" max="14" width="10.5546875" style="22" hidden="1" customWidth="1"/>
    <col min="15" max="15" width="0.6640625" style="23" customWidth="1"/>
    <col min="16" max="17" width="14.5546875" style="22" customWidth="1"/>
    <col min="18" max="18" width="14.5546875" style="22" hidden="1" customWidth="1"/>
    <col min="19" max="19" width="15.5546875" style="22" customWidth="1"/>
    <col min="20" max="20" width="10.5546875" style="22" customWidth="1"/>
    <col min="21" max="21" width="0.6640625" style="23" customWidth="1"/>
    <col min="22" max="22" width="4.6640625" customWidth="1"/>
  </cols>
  <sheetData>
    <row r="1" spans="1:27" ht="24.6" x14ac:dyDescent="0.4">
      <c r="A1" s="230" t="s">
        <v>464</v>
      </c>
      <c r="B1" s="229"/>
      <c r="C1" s="229"/>
      <c r="D1" s="229"/>
      <c r="E1" s="229"/>
      <c r="F1" s="344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21" hidden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227"/>
    </row>
    <row r="3" spans="1:27" ht="21" hidden="1" x14ac:dyDescent="0.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227"/>
    </row>
    <row r="4" spans="1:27" x14ac:dyDescent="0.25">
      <c r="A4" s="46"/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6"/>
      <c r="U4"/>
    </row>
    <row r="5" spans="1:27" ht="14.1" hidden="1" customHeight="1" x14ac:dyDescent="0.25">
      <c r="A5" s="46"/>
      <c r="B5" s="46"/>
      <c r="C5" s="345"/>
      <c r="D5" s="345"/>
      <c r="E5" s="345"/>
      <c r="F5" s="345"/>
      <c r="G5" s="345"/>
      <c r="H5" s="346"/>
      <c r="I5" s="346"/>
      <c r="J5" s="346"/>
      <c r="K5" s="345"/>
      <c r="L5" s="347"/>
      <c r="M5" s="36"/>
      <c r="N5" s="36"/>
      <c r="O5" s="345"/>
      <c r="P5" s="346"/>
      <c r="Q5" s="346"/>
      <c r="R5" s="346"/>
      <c r="S5" s="346"/>
      <c r="T5" s="36"/>
      <c r="U5" s="269"/>
    </row>
    <row r="6" spans="1:27" ht="14.1" hidden="1" customHeight="1" x14ac:dyDescent="0.25">
      <c r="A6" s="46"/>
      <c r="B6" s="46"/>
      <c r="C6" s="345"/>
      <c r="D6" s="345"/>
      <c r="E6" s="345"/>
      <c r="F6" s="345"/>
      <c r="G6" s="345"/>
      <c r="H6" s="346"/>
      <c r="I6" s="346"/>
      <c r="J6" s="346"/>
      <c r="K6" s="345"/>
      <c r="L6" s="347"/>
      <c r="M6" s="36"/>
      <c r="N6" s="36"/>
      <c r="O6" s="345"/>
      <c r="P6" s="346"/>
      <c r="Q6" s="346"/>
      <c r="R6" s="346"/>
      <c r="S6" s="346"/>
      <c r="T6" s="36"/>
      <c r="U6" s="269"/>
    </row>
    <row r="7" spans="1:27" ht="15.6" x14ac:dyDescent="0.3">
      <c r="A7" s="46"/>
      <c r="B7" s="46"/>
      <c r="C7" s="860" t="s">
        <v>410</v>
      </c>
      <c r="D7" s="861"/>
      <c r="E7" s="861"/>
      <c r="F7" s="862"/>
      <c r="G7" s="348"/>
      <c r="H7" s="860" t="s">
        <v>409</v>
      </c>
      <c r="I7" s="863"/>
      <c r="J7" s="863"/>
      <c r="K7" s="863"/>
      <c r="L7" s="863"/>
      <c r="M7" s="863"/>
      <c r="N7" s="864"/>
      <c r="O7" s="348"/>
      <c r="P7" s="860" t="s">
        <v>406</v>
      </c>
      <c r="Q7" s="861"/>
      <c r="R7" s="861"/>
      <c r="S7" s="861"/>
      <c r="T7" s="862"/>
      <c r="U7"/>
    </row>
    <row r="8" spans="1:27" ht="13.8" x14ac:dyDescent="0.25">
      <c r="A8" s="46"/>
      <c r="B8" s="46"/>
      <c r="C8" s="520"/>
      <c r="D8" s="467"/>
      <c r="E8" s="467"/>
      <c r="F8" s="492"/>
      <c r="G8" s="345"/>
      <c r="H8" s="865" t="s">
        <v>422</v>
      </c>
      <c r="I8" s="866"/>
      <c r="J8" s="866"/>
      <c r="K8" s="466"/>
      <c r="L8" s="867" t="s">
        <v>421</v>
      </c>
      <c r="M8" s="866"/>
      <c r="N8" s="868"/>
      <c r="O8" s="345"/>
      <c r="P8" s="491">
        <f>+'1. Sülysáp összesen'!P8</f>
        <v>1</v>
      </c>
      <c r="Q8" s="349">
        <f>+' 2. Önk. Bevételek'!Q8</f>
        <v>1</v>
      </c>
      <c r="R8" s="349">
        <f>+'1. Sülysáp összesen'!R8</f>
        <v>0</v>
      </c>
      <c r="S8" s="467"/>
      <c r="T8" s="492"/>
      <c r="U8"/>
    </row>
    <row r="9" spans="1:27" ht="20.100000000000001" customHeight="1" x14ac:dyDescent="0.25">
      <c r="A9" s="350"/>
      <c r="B9" s="351" t="s">
        <v>376</v>
      </c>
      <c r="C9" s="493">
        <f>+C22</f>
        <v>1950141657.9999998</v>
      </c>
      <c r="D9" s="352">
        <f t="shared" ref="D9:J9" si="0">+D22</f>
        <v>1962128521</v>
      </c>
      <c r="E9" s="352">
        <f t="shared" si="0"/>
        <v>1972413317</v>
      </c>
      <c r="F9" s="521">
        <f t="shared" si="0"/>
        <v>0</v>
      </c>
      <c r="G9" s="352"/>
      <c r="H9" s="493">
        <f t="shared" si="0"/>
        <v>1189751244</v>
      </c>
      <c r="I9" s="352">
        <f t="shared" si="0"/>
        <v>1488837849</v>
      </c>
      <c r="J9" s="352">
        <f t="shared" si="0"/>
        <v>0</v>
      </c>
      <c r="K9" s="353"/>
      <c r="L9" s="746">
        <f t="shared" ref="L9:N9" si="1">IF(D9=0,0,H9/D9)</f>
        <v>0.60635744869232244</v>
      </c>
      <c r="M9" s="747">
        <f t="shared" si="1"/>
        <v>0.75483056019135564</v>
      </c>
      <c r="N9" s="748">
        <f t="shared" si="1"/>
        <v>0</v>
      </c>
      <c r="O9" s="353"/>
      <c r="P9" s="493">
        <f>IF(D9&gt;0,+D9-C9,0)</f>
        <v>11986863.000000238</v>
      </c>
      <c r="Q9" s="352">
        <f>IF(E9&gt;0,+E9-D9,0)</f>
        <v>10284796</v>
      </c>
      <c r="R9" s="352">
        <f>IF(F9&gt;0,+F9-E9,0)</f>
        <v>0</v>
      </c>
      <c r="S9" s="352">
        <f>+P9*P$8+Q9*Q$8+R9*R$8</f>
        <v>22271659.000000238</v>
      </c>
      <c r="T9" s="494">
        <f>+S9/C9</f>
        <v>1.142053394359121E-2</v>
      </c>
      <c r="U9" s="250"/>
      <c r="V9" s="234">
        <f>+S9-E9+C9</f>
        <v>0</v>
      </c>
    </row>
    <row r="10" spans="1:27" ht="13.8" x14ac:dyDescent="0.25">
      <c r="A10" s="356"/>
      <c r="B10" s="357"/>
      <c r="C10" s="495"/>
      <c r="D10" s="345"/>
      <c r="E10" s="345"/>
      <c r="F10" s="522"/>
      <c r="G10" s="345"/>
      <c r="H10" s="495"/>
      <c r="I10" s="345"/>
      <c r="J10" s="345"/>
      <c r="K10" s="345"/>
      <c r="L10" s="358"/>
      <c r="M10" s="359"/>
      <c r="N10" s="496"/>
      <c r="O10" s="345"/>
      <c r="P10" s="495"/>
      <c r="Q10" s="345"/>
      <c r="R10" s="345"/>
      <c r="S10" s="345"/>
      <c r="T10" s="496"/>
      <c r="U10" s="242"/>
      <c r="V10" s="243"/>
    </row>
    <row r="11" spans="1:27" s="1" customFormat="1" ht="64.5" customHeight="1" x14ac:dyDescent="0.25">
      <c r="A11" s="360" t="s">
        <v>372</v>
      </c>
      <c r="B11" s="360" t="s">
        <v>370</v>
      </c>
      <c r="C11" s="523" t="s">
        <v>550</v>
      </c>
      <c r="D11" s="361" t="s">
        <v>551</v>
      </c>
      <c r="E11" s="361" t="s">
        <v>552</v>
      </c>
      <c r="F11" s="524" t="s">
        <v>633</v>
      </c>
      <c r="G11" s="361"/>
      <c r="H11" s="497" t="s">
        <v>553</v>
      </c>
      <c r="I11" s="362" t="s">
        <v>554</v>
      </c>
      <c r="J11" s="362" t="s">
        <v>574</v>
      </c>
      <c r="K11" s="361"/>
      <c r="L11" s="363" t="s">
        <v>555</v>
      </c>
      <c r="M11" s="363" t="s">
        <v>556</v>
      </c>
      <c r="N11" s="498" t="s">
        <v>632</v>
      </c>
      <c r="O11" s="361"/>
      <c r="P11" s="497" t="s">
        <v>557</v>
      </c>
      <c r="Q11" s="362" t="s">
        <v>558</v>
      </c>
      <c r="R11" s="362" t="s">
        <v>631</v>
      </c>
      <c r="S11" s="362" t="s">
        <v>407</v>
      </c>
      <c r="T11" s="498" t="s">
        <v>408</v>
      </c>
      <c r="U11" s="343"/>
      <c r="V11" s="132" t="s">
        <v>412</v>
      </c>
    </row>
    <row r="12" spans="1:27" x14ac:dyDescent="0.25">
      <c r="A12" s="364"/>
      <c r="B12" s="47"/>
      <c r="C12" s="525"/>
      <c r="D12" s="365"/>
      <c r="E12" s="365"/>
      <c r="F12" s="526"/>
      <c r="G12" s="365"/>
      <c r="H12" s="499"/>
      <c r="I12" s="344"/>
      <c r="J12" s="344"/>
      <c r="K12" s="365"/>
      <c r="L12" s="756"/>
      <c r="M12" s="756"/>
      <c r="N12" s="757"/>
      <c r="O12" s="365"/>
      <c r="P12" s="499"/>
      <c r="Q12" s="344"/>
      <c r="R12" s="344"/>
      <c r="S12" s="344"/>
      <c r="T12" s="500"/>
      <c r="U12" s="369"/>
      <c r="V12" s="196"/>
    </row>
    <row r="13" spans="1:27" x14ac:dyDescent="0.25">
      <c r="A13" s="34" t="s">
        <v>241</v>
      </c>
      <c r="B13" s="517" t="s">
        <v>452</v>
      </c>
      <c r="C13" s="160">
        <f>+C36</f>
        <v>572340889</v>
      </c>
      <c r="D13" s="160">
        <f t="shared" ref="D13:E13" si="2">+D36</f>
        <v>583546237</v>
      </c>
      <c r="E13" s="160">
        <f t="shared" si="2"/>
        <v>583793086</v>
      </c>
      <c r="F13" s="160">
        <f t="shared" ref="F13" si="3">+F36</f>
        <v>0</v>
      </c>
      <c r="G13" s="509"/>
      <c r="H13" s="376">
        <f t="shared" ref="H13:J13" si="4">+H36</f>
        <v>304959425</v>
      </c>
      <c r="I13" s="160">
        <f t="shared" si="4"/>
        <v>464974939</v>
      </c>
      <c r="J13" s="160">
        <f t="shared" si="4"/>
        <v>0</v>
      </c>
      <c r="K13" s="160"/>
      <c r="L13" s="732">
        <f t="shared" ref="L13:N22" si="5">IF(D13=0,0,H13/D13)</f>
        <v>0.52259684951065843</v>
      </c>
      <c r="M13" s="732">
        <f t="shared" si="5"/>
        <v>0.79647215794535808</v>
      </c>
      <c r="N13" s="732">
        <f t="shared" si="5"/>
        <v>0</v>
      </c>
      <c r="O13" s="740"/>
      <c r="P13" s="175">
        <f t="shared" ref="P13:R19" si="6">+(D13-C13)*P$8</f>
        <v>11205348</v>
      </c>
      <c r="Q13" s="175">
        <f t="shared" si="6"/>
        <v>246849</v>
      </c>
      <c r="R13" s="175">
        <f t="shared" si="6"/>
        <v>0</v>
      </c>
      <c r="S13" s="175">
        <f>+P13*P$8+Q13*Q$8+R13*R$8</f>
        <v>11452197</v>
      </c>
      <c r="T13" s="176">
        <f t="shared" ref="T13:T23" si="7">IF(C13=0,0,+S13/C13)</f>
        <v>2.0009398629563926E-2</v>
      </c>
      <c r="U13" s="488"/>
      <c r="V13" s="243">
        <f t="shared" ref="V13:V23" si="8">+S13-E13+C13</f>
        <v>0</v>
      </c>
    </row>
    <row r="14" spans="1:27" ht="15" customHeight="1" x14ac:dyDescent="0.25">
      <c r="A14" s="34" t="s">
        <v>262</v>
      </c>
      <c r="B14" s="517" t="s">
        <v>451</v>
      </c>
      <c r="C14" s="160">
        <f>+C48</f>
        <v>285600000</v>
      </c>
      <c r="D14" s="160">
        <f t="shared" ref="D14:E14" si="9">+D48</f>
        <v>285600000</v>
      </c>
      <c r="E14" s="160">
        <f t="shared" si="9"/>
        <v>285600000</v>
      </c>
      <c r="F14" s="160">
        <f t="shared" ref="F14" si="10">+F48</f>
        <v>0</v>
      </c>
      <c r="G14" s="509"/>
      <c r="H14" s="160">
        <f t="shared" ref="H14:J14" si="11">+H48</f>
        <v>52664113</v>
      </c>
      <c r="I14" s="160">
        <f t="shared" si="11"/>
        <v>50464113</v>
      </c>
      <c r="J14" s="160">
        <f t="shared" si="11"/>
        <v>0</v>
      </c>
      <c r="K14" s="160"/>
      <c r="L14" s="732">
        <f t="shared" si="5"/>
        <v>0.18439815476190477</v>
      </c>
      <c r="M14" s="732">
        <f t="shared" si="5"/>
        <v>0.17669507352941177</v>
      </c>
      <c r="N14" s="732">
        <f t="shared" si="5"/>
        <v>0</v>
      </c>
      <c r="O14" s="740"/>
      <c r="P14" s="175">
        <f t="shared" si="6"/>
        <v>0</v>
      </c>
      <c r="Q14" s="175">
        <f t="shared" si="6"/>
        <v>0</v>
      </c>
      <c r="R14" s="175">
        <f t="shared" si="6"/>
        <v>0</v>
      </c>
      <c r="S14" s="175">
        <f t="shared" ref="S14:S22" si="12">+P14*P$8+Q14*Q$8+R14*R$8</f>
        <v>0</v>
      </c>
      <c r="T14" s="176">
        <f t="shared" si="7"/>
        <v>0</v>
      </c>
      <c r="U14" s="488"/>
      <c r="V14" s="243">
        <f t="shared" si="8"/>
        <v>0</v>
      </c>
    </row>
    <row r="15" spans="1:27" x14ac:dyDescent="0.25">
      <c r="A15" s="34" t="s">
        <v>270</v>
      </c>
      <c r="B15" s="517" t="s">
        <v>271</v>
      </c>
      <c r="C15" s="160">
        <f>+C60</f>
        <v>238500000</v>
      </c>
      <c r="D15" s="160">
        <f t="shared" ref="D15:E15" si="13">+D60</f>
        <v>238500000</v>
      </c>
      <c r="E15" s="160">
        <f t="shared" si="13"/>
        <v>238500000</v>
      </c>
      <c r="F15" s="160">
        <f t="shared" ref="F15" si="14">+F60</f>
        <v>0</v>
      </c>
      <c r="G15" s="509"/>
      <c r="H15" s="160">
        <f t="shared" ref="H15:J15" si="15">+H60</f>
        <v>126487519</v>
      </c>
      <c r="I15" s="160">
        <f t="shared" si="15"/>
        <v>188691308</v>
      </c>
      <c r="J15" s="160">
        <f t="shared" si="15"/>
        <v>0</v>
      </c>
      <c r="K15" s="160"/>
      <c r="L15" s="732">
        <f t="shared" si="5"/>
        <v>0.53034599161425577</v>
      </c>
      <c r="M15" s="732">
        <f t="shared" si="5"/>
        <v>0.79115852410901466</v>
      </c>
      <c r="N15" s="732">
        <f t="shared" si="5"/>
        <v>0</v>
      </c>
      <c r="O15" s="740"/>
      <c r="P15" s="175">
        <f t="shared" si="6"/>
        <v>0</v>
      </c>
      <c r="Q15" s="175">
        <f t="shared" si="6"/>
        <v>0</v>
      </c>
      <c r="R15" s="175">
        <f t="shared" si="6"/>
        <v>0</v>
      </c>
      <c r="S15" s="175">
        <f t="shared" si="12"/>
        <v>0</v>
      </c>
      <c r="T15" s="176">
        <f t="shared" si="7"/>
        <v>0</v>
      </c>
      <c r="U15" s="488"/>
      <c r="V15" s="243">
        <f t="shared" si="8"/>
        <v>0</v>
      </c>
    </row>
    <row r="16" spans="1:27" x14ac:dyDescent="0.25">
      <c r="A16" s="34" t="s">
        <v>284</v>
      </c>
      <c r="B16" s="517" t="s">
        <v>285</v>
      </c>
      <c r="C16" s="376">
        <f>+C72</f>
        <v>270513649</v>
      </c>
      <c r="D16" s="160">
        <f t="shared" ref="D16:E16" si="16">+D72</f>
        <v>330513649</v>
      </c>
      <c r="E16" s="160">
        <f t="shared" si="16"/>
        <v>369819560</v>
      </c>
      <c r="F16" s="160">
        <f t="shared" ref="F16" si="17">+F72</f>
        <v>0</v>
      </c>
      <c r="G16" s="509"/>
      <c r="H16" s="376">
        <f t="shared" ref="H16:J16" si="18">+H72</f>
        <v>256456899</v>
      </c>
      <c r="I16" s="376">
        <f t="shared" si="18"/>
        <v>331572601</v>
      </c>
      <c r="J16" s="160">
        <f t="shared" si="18"/>
        <v>0</v>
      </c>
      <c r="K16" s="160"/>
      <c r="L16" s="732">
        <f t="shared" si="5"/>
        <v>0.77593436693441975</v>
      </c>
      <c r="M16" s="732">
        <f t="shared" si="5"/>
        <v>0.89657940483191312</v>
      </c>
      <c r="N16" s="732">
        <f t="shared" si="5"/>
        <v>0</v>
      </c>
      <c r="O16" s="740"/>
      <c r="P16" s="175">
        <f t="shared" si="6"/>
        <v>60000000</v>
      </c>
      <c r="Q16" s="175">
        <f t="shared" si="6"/>
        <v>39305911</v>
      </c>
      <c r="R16" s="175">
        <f t="shared" si="6"/>
        <v>0</v>
      </c>
      <c r="S16" s="175">
        <f t="shared" si="12"/>
        <v>99305911</v>
      </c>
      <c r="T16" s="176">
        <f t="shared" si="7"/>
        <v>0.36710129550616499</v>
      </c>
      <c r="U16" s="488"/>
      <c r="V16" s="243">
        <f t="shared" si="8"/>
        <v>0</v>
      </c>
    </row>
    <row r="17" spans="1:22" x14ac:dyDescent="0.25">
      <c r="A17" s="34" t="s">
        <v>310</v>
      </c>
      <c r="B17" s="517" t="s">
        <v>311</v>
      </c>
      <c r="C17" s="160">
        <f>+C84</f>
        <v>99395520</v>
      </c>
      <c r="D17" s="160">
        <f t="shared" ref="D17:E17" si="19">+D84</f>
        <v>99395520</v>
      </c>
      <c r="E17" s="160">
        <f t="shared" si="19"/>
        <v>60089609</v>
      </c>
      <c r="F17" s="160">
        <f t="shared" ref="F17" si="20">+F84</f>
        <v>0</v>
      </c>
      <c r="G17" s="509"/>
      <c r="H17" s="160">
        <f t="shared" ref="H17:J17" si="21">+H84</f>
        <v>24370866</v>
      </c>
      <c r="I17" s="160">
        <f t="shared" si="21"/>
        <v>27956388</v>
      </c>
      <c r="J17" s="160">
        <f t="shared" si="21"/>
        <v>0</v>
      </c>
      <c r="K17" s="160"/>
      <c r="L17" s="732">
        <f t="shared" si="5"/>
        <v>0.24519078928305824</v>
      </c>
      <c r="M17" s="732">
        <f t="shared" si="5"/>
        <v>0.46524496439975171</v>
      </c>
      <c r="N17" s="732">
        <f t="shared" si="5"/>
        <v>0</v>
      </c>
      <c r="O17" s="740"/>
      <c r="P17" s="175">
        <f t="shared" si="6"/>
        <v>0</v>
      </c>
      <c r="Q17" s="175">
        <f t="shared" si="6"/>
        <v>-39305911</v>
      </c>
      <c r="R17" s="175">
        <f t="shared" si="6"/>
        <v>0</v>
      </c>
      <c r="S17" s="175">
        <f t="shared" si="12"/>
        <v>-39305911</v>
      </c>
      <c r="T17" s="176">
        <f t="shared" si="7"/>
        <v>-0.39544952327831273</v>
      </c>
      <c r="U17" s="488"/>
      <c r="V17" s="243">
        <f t="shared" si="8"/>
        <v>0</v>
      </c>
    </row>
    <row r="18" spans="1:22" x14ac:dyDescent="0.25">
      <c r="A18" s="34" t="s">
        <v>320</v>
      </c>
      <c r="B18" s="517" t="s">
        <v>321</v>
      </c>
      <c r="C18" s="160">
        <f>+C96</f>
        <v>0</v>
      </c>
      <c r="D18" s="160">
        <f t="shared" ref="D18:E18" si="22">+D96</f>
        <v>0</v>
      </c>
      <c r="E18" s="160">
        <f t="shared" si="22"/>
        <v>10037947</v>
      </c>
      <c r="F18" s="160">
        <f t="shared" ref="F18" si="23">+F96</f>
        <v>0</v>
      </c>
      <c r="G18" s="509"/>
      <c r="H18" s="160">
        <f t="shared" ref="H18:J18" si="24">+H96</f>
        <v>0</v>
      </c>
      <c r="I18" s="160">
        <f t="shared" si="24"/>
        <v>0</v>
      </c>
      <c r="J18" s="160">
        <f t="shared" si="24"/>
        <v>0</v>
      </c>
      <c r="K18" s="160"/>
      <c r="L18" s="732">
        <f t="shared" si="5"/>
        <v>0</v>
      </c>
      <c r="M18" s="732">
        <f t="shared" si="5"/>
        <v>0</v>
      </c>
      <c r="N18" s="732">
        <f t="shared" si="5"/>
        <v>0</v>
      </c>
      <c r="O18" s="740"/>
      <c r="P18" s="175">
        <f t="shared" si="6"/>
        <v>0</v>
      </c>
      <c r="Q18" s="175">
        <f t="shared" si="6"/>
        <v>10037947</v>
      </c>
      <c r="R18" s="175">
        <f t="shared" si="6"/>
        <v>0</v>
      </c>
      <c r="S18" s="175">
        <f t="shared" si="12"/>
        <v>10037947</v>
      </c>
      <c r="T18" s="176">
        <f t="shared" si="7"/>
        <v>0</v>
      </c>
      <c r="U18" s="488"/>
      <c r="V18" s="243">
        <f t="shared" si="8"/>
        <v>0</v>
      </c>
    </row>
    <row r="19" spans="1:22" x14ac:dyDescent="0.25">
      <c r="A19" s="34" t="s">
        <v>326</v>
      </c>
      <c r="B19" s="517" t="s">
        <v>327</v>
      </c>
      <c r="C19" s="160">
        <f>+C108</f>
        <v>60000000</v>
      </c>
      <c r="D19" s="160">
        <f t="shared" ref="D19:E19" si="25">+D108</f>
        <v>112693</v>
      </c>
      <c r="E19" s="160">
        <f t="shared" si="25"/>
        <v>112693</v>
      </c>
      <c r="F19" s="160">
        <f t="shared" ref="F19" si="26">+F108</f>
        <v>0</v>
      </c>
      <c r="G19" s="509"/>
      <c r="H19" s="160">
        <f t="shared" ref="H19:J19" si="27">+H108</f>
        <v>352000</v>
      </c>
      <c r="I19" s="160">
        <f t="shared" si="27"/>
        <v>718078</v>
      </c>
      <c r="J19" s="160">
        <f t="shared" si="27"/>
        <v>0</v>
      </c>
      <c r="K19" s="160"/>
      <c r="L19" s="732">
        <f t="shared" si="5"/>
        <v>3.1235302991312683</v>
      </c>
      <c r="M19" s="732">
        <f t="shared" si="5"/>
        <v>6.3719840628965416</v>
      </c>
      <c r="N19" s="732">
        <f t="shared" si="5"/>
        <v>0</v>
      </c>
      <c r="O19" s="740"/>
      <c r="P19" s="175">
        <f t="shared" si="6"/>
        <v>-59887307</v>
      </c>
      <c r="Q19" s="175">
        <f t="shared" si="6"/>
        <v>0</v>
      </c>
      <c r="R19" s="175">
        <f t="shared" si="6"/>
        <v>0</v>
      </c>
      <c r="S19" s="175">
        <f t="shared" si="12"/>
        <v>-59887307</v>
      </c>
      <c r="T19" s="176">
        <f t="shared" si="7"/>
        <v>-0.99812178333333335</v>
      </c>
      <c r="U19" s="488"/>
      <c r="V19" s="243">
        <f t="shared" si="8"/>
        <v>0</v>
      </c>
    </row>
    <row r="20" spans="1:22" x14ac:dyDescent="0.25">
      <c r="A20" s="34" t="s">
        <v>333</v>
      </c>
      <c r="B20" s="517" t="s">
        <v>334</v>
      </c>
      <c r="C20" s="160">
        <f>+C120</f>
        <v>941116459.02999997</v>
      </c>
      <c r="D20" s="160">
        <f t="shared" ref="D20:J20" si="28">+D120</f>
        <v>950632459</v>
      </c>
      <c r="E20" s="160">
        <f t="shared" si="28"/>
        <v>953906459</v>
      </c>
      <c r="F20" s="160">
        <f t="shared" si="28"/>
        <v>0</v>
      </c>
      <c r="G20" s="509"/>
      <c r="H20" s="160">
        <f t="shared" si="28"/>
        <v>684240604</v>
      </c>
      <c r="I20" s="160">
        <f t="shared" si="28"/>
        <v>808762346</v>
      </c>
      <c r="J20" s="160">
        <f t="shared" si="28"/>
        <v>0</v>
      </c>
      <c r="K20" s="160"/>
      <c r="L20" s="732">
        <f t="shared" si="5"/>
        <v>0.71977408042617652</v>
      </c>
      <c r="M20" s="732">
        <f t="shared" si="5"/>
        <v>0.84784240463980332</v>
      </c>
      <c r="N20" s="732">
        <f t="shared" si="5"/>
        <v>0</v>
      </c>
      <c r="O20" s="740"/>
      <c r="P20" s="160">
        <f t="shared" ref="P20:R20" si="29">+P120</f>
        <v>8847177.9699999988</v>
      </c>
      <c r="Q20" s="160">
        <f t="shared" si="29"/>
        <v>3274000</v>
      </c>
      <c r="R20" s="160">
        <f t="shared" si="29"/>
        <v>0</v>
      </c>
      <c r="S20" s="160">
        <f t="shared" si="12"/>
        <v>12121177.969999999</v>
      </c>
      <c r="T20" s="176">
        <f t="shared" si="7"/>
        <v>1.2879572824061738E-2</v>
      </c>
      <c r="U20" s="488"/>
      <c r="V20" s="243">
        <f t="shared" si="8"/>
        <v>-668822</v>
      </c>
    </row>
    <row r="21" spans="1:22" x14ac:dyDescent="0.25">
      <c r="A21" s="34"/>
      <c r="B21" s="517" t="s">
        <v>448</v>
      </c>
      <c r="C21" s="160">
        <f>-C144</f>
        <v>-517324859.02999997</v>
      </c>
      <c r="D21" s="160">
        <f t="shared" ref="D21:J21" si="30">-D144</f>
        <v>-526172037</v>
      </c>
      <c r="E21" s="160">
        <f t="shared" si="30"/>
        <v>-529446037</v>
      </c>
      <c r="F21" s="160">
        <f t="shared" si="30"/>
        <v>0</v>
      </c>
      <c r="G21" s="160"/>
      <c r="H21" s="160">
        <f t="shared" si="30"/>
        <v>-259780182</v>
      </c>
      <c r="I21" s="160">
        <f t="shared" si="30"/>
        <v>-384301924</v>
      </c>
      <c r="J21" s="160">
        <f t="shared" si="30"/>
        <v>0</v>
      </c>
      <c r="K21" s="160"/>
      <c r="L21" s="732">
        <f t="shared" si="5"/>
        <v>0.49371719462925395</v>
      </c>
      <c r="M21" s="732">
        <f t="shared" si="5"/>
        <v>0.7258566447632131</v>
      </c>
      <c r="N21" s="732">
        <f t="shared" si="5"/>
        <v>0</v>
      </c>
      <c r="O21" s="740"/>
      <c r="P21" s="160">
        <f t="shared" ref="P21:R21" si="31">-P144</f>
        <v>-8847177.9699999988</v>
      </c>
      <c r="Q21" s="160">
        <f t="shared" si="31"/>
        <v>-3274000</v>
      </c>
      <c r="R21" s="160">
        <f t="shared" si="31"/>
        <v>0</v>
      </c>
      <c r="S21" s="160">
        <f t="shared" si="12"/>
        <v>-12121177.969999999</v>
      </c>
      <c r="T21" s="176">
        <f t="shared" si="7"/>
        <v>2.3430495864296141E-2</v>
      </c>
      <c r="U21" s="488"/>
      <c r="V21" s="243">
        <f t="shared" si="8"/>
        <v>0</v>
      </c>
    </row>
    <row r="22" spans="1:22" x14ac:dyDescent="0.25">
      <c r="A22" s="12"/>
      <c r="B22" s="518" t="s">
        <v>376</v>
      </c>
      <c r="C22" s="164">
        <f>SUM(C13:C21)</f>
        <v>1950141657.9999998</v>
      </c>
      <c r="D22" s="164">
        <f>SUM(D13:D21)</f>
        <v>1962128521</v>
      </c>
      <c r="E22" s="164">
        <f>SUM(E13:E21)</f>
        <v>1972413317</v>
      </c>
      <c r="F22" s="164">
        <f>SUM(F13:F21)</f>
        <v>0</v>
      </c>
      <c r="G22" s="510"/>
      <c r="H22" s="164">
        <f>SUM(H13:H21)</f>
        <v>1189751244</v>
      </c>
      <c r="I22" s="164">
        <f>SUM(I13:I21)</f>
        <v>1488837849</v>
      </c>
      <c r="J22" s="164">
        <f>SUM(J13:J21)</f>
        <v>0</v>
      </c>
      <c r="K22" s="164"/>
      <c r="L22" s="734">
        <f t="shared" si="5"/>
        <v>0.60635744869232244</v>
      </c>
      <c r="M22" s="734">
        <f t="shared" si="5"/>
        <v>0.75483056019135564</v>
      </c>
      <c r="N22" s="734">
        <f t="shared" si="5"/>
        <v>0</v>
      </c>
      <c r="O22" s="741"/>
      <c r="P22" s="164">
        <f>SUM(P13:P21)</f>
        <v>11318041</v>
      </c>
      <c r="Q22" s="164">
        <f>SUM(Q13:Q21)</f>
        <v>10284796</v>
      </c>
      <c r="R22" s="164">
        <f>SUM(R13:R21)</f>
        <v>0</v>
      </c>
      <c r="S22" s="164">
        <f t="shared" si="12"/>
        <v>21602837</v>
      </c>
      <c r="T22" s="176">
        <f t="shared" si="7"/>
        <v>1.1077573216991401E-2</v>
      </c>
      <c r="U22" s="489"/>
      <c r="V22" s="243">
        <f t="shared" si="8"/>
        <v>-668822.00000023842</v>
      </c>
    </row>
    <row r="23" spans="1:22" x14ac:dyDescent="0.25">
      <c r="A23" s="34"/>
      <c r="B23" s="519" t="s">
        <v>412</v>
      </c>
      <c r="C23" s="178"/>
      <c r="D23" s="178"/>
      <c r="E23" s="178"/>
      <c r="F23" s="178"/>
      <c r="G23" s="511"/>
      <c r="H23" s="178"/>
      <c r="I23" s="178"/>
      <c r="J23" s="178"/>
      <c r="K23" s="178"/>
      <c r="L23" s="742"/>
      <c r="M23" s="742"/>
      <c r="N23" s="742"/>
      <c r="O23" s="743"/>
      <c r="P23" s="178"/>
      <c r="Q23" s="178"/>
      <c r="R23" s="178"/>
      <c r="S23" s="178"/>
      <c r="T23" s="176">
        <f t="shared" si="7"/>
        <v>0</v>
      </c>
      <c r="U23" s="490"/>
      <c r="V23" s="243">
        <f t="shared" si="8"/>
        <v>0</v>
      </c>
    </row>
    <row r="24" spans="1:22" x14ac:dyDescent="0.25">
      <c r="C24" s="501"/>
      <c r="D24" s="74"/>
      <c r="E24" s="74"/>
      <c r="F24" s="527"/>
      <c r="G24" s="74"/>
      <c r="H24" s="501"/>
      <c r="K24" s="74"/>
      <c r="L24" s="708"/>
      <c r="M24" s="708"/>
      <c r="N24" s="749"/>
      <c r="O24" s="700"/>
      <c r="P24" s="501"/>
      <c r="Q24" s="73"/>
      <c r="R24" s="73"/>
      <c r="S24" s="73"/>
      <c r="T24" s="502"/>
      <c r="U24" s="74"/>
    </row>
    <row r="25" spans="1:22" x14ac:dyDescent="0.25">
      <c r="C25" s="501"/>
      <c r="D25" s="74"/>
      <c r="E25" s="74"/>
      <c r="F25" s="527"/>
      <c r="G25" s="74"/>
      <c r="H25" s="513"/>
      <c r="I25" s="218"/>
      <c r="K25" s="74"/>
      <c r="L25" s="708"/>
      <c r="M25" s="708"/>
      <c r="N25" s="749"/>
      <c r="O25" s="700"/>
      <c r="P25" s="501"/>
      <c r="Q25" s="73"/>
      <c r="R25" s="73"/>
      <c r="S25" s="73"/>
      <c r="T25" s="502"/>
      <c r="U25" s="74"/>
    </row>
    <row r="26" spans="1:22" x14ac:dyDescent="0.25">
      <c r="C26" s="501"/>
      <c r="D26" s="74"/>
      <c r="E26" s="74"/>
      <c r="F26" s="527"/>
      <c r="G26" s="74"/>
      <c r="H26" s="513"/>
      <c r="I26" s="219"/>
      <c r="K26" s="74"/>
      <c r="L26" s="708"/>
      <c r="M26" s="708"/>
      <c r="N26" s="749"/>
      <c r="O26" s="700"/>
      <c r="P26" s="501"/>
      <c r="Q26" s="73"/>
      <c r="R26" s="73"/>
      <c r="S26" s="73"/>
      <c r="T26" s="502"/>
      <c r="U26" s="74"/>
    </row>
    <row r="27" spans="1:22" x14ac:dyDescent="0.25">
      <c r="A27" s="322" t="s">
        <v>241</v>
      </c>
      <c r="B27" s="322" t="str">
        <f>+B13</f>
        <v>Működési célú tám-ok államháztartáson belülről</v>
      </c>
      <c r="C27" s="501"/>
      <c r="D27" s="74"/>
      <c r="E27" s="74"/>
      <c r="F27" s="527"/>
      <c r="G27" s="74"/>
      <c r="H27" s="501"/>
      <c r="K27" s="74"/>
      <c r="L27" s="708"/>
      <c r="M27" s="708"/>
      <c r="N27" s="749"/>
      <c r="O27" s="700"/>
      <c r="P27" s="501"/>
      <c r="Q27" s="73"/>
      <c r="R27" s="73"/>
      <c r="S27" s="73"/>
      <c r="T27" s="502"/>
      <c r="U27" s="74"/>
    </row>
    <row r="28" spans="1:22" x14ac:dyDescent="0.25">
      <c r="B28" s="22" t="str">
        <f>+'3. Önk. Kiadások'!A1</f>
        <v>Sülysáp Város Önkormányzata</v>
      </c>
      <c r="C28" s="501">
        <f>+' 2. Önk. Bevételek'!C13</f>
        <v>572340889</v>
      </c>
      <c r="D28" s="73">
        <f>+' 2. Önk. Bevételek'!D13</f>
        <v>581856889</v>
      </c>
      <c r="E28" s="73">
        <f>+' 2. Önk. Bevételek'!E13</f>
        <v>581856889</v>
      </c>
      <c r="F28" s="462">
        <f>+' 2. Önk. Bevételek'!F13</f>
        <v>0</v>
      </c>
      <c r="G28" s="73">
        <f>+'3. Önk. Kiadások'!G13</f>
        <v>0</v>
      </c>
      <c r="H28" s="501">
        <f>+' 2. Önk. Bevételek'!H13</f>
        <v>303198626</v>
      </c>
      <c r="I28" s="73">
        <f>+' 2. Önk. Bevételek'!I13</f>
        <v>462396099</v>
      </c>
      <c r="J28" s="73">
        <f>+' 2. Önk. Bevételek'!J13</f>
        <v>0</v>
      </c>
      <c r="K28" s="73"/>
      <c r="L28" s="710">
        <f t="shared" ref="L28:N36" si="32">IF(D28=0,0,H28/D28)</f>
        <v>0.52108797151321518</v>
      </c>
      <c r="M28" s="710">
        <f t="shared" si="32"/>
        <v>0.79469042601642204</v>
      </c>
      <c r="N28" s="749">
        <f t="shared" si="32"/>
        <v>0</v>
      </c>
      <c r="O28" s="692"/>
      <c r="P28" s="501">
        <f>+' 2. Önk. Bevételek'!P13</f>
        <v>9516000</v>
      </c>
      <c r="Q28" s="73">
        <f>+' 2. Önk. Bevételek'!Q13</f>
        <v>0</v>
      </c>
      <c r="R28" s="73">
        <f>+' 2. Önk. Bevételek'!R13</f>
        <v>0</v>
      </c>
      <c r="S28" s="73">
        <f t="shared" ref="S28:S34" si="33">+P28*P$8+Q28*Q$8+R28*R$8</f>
        <v>9516000</v>
      </c>
      <c r="T28" s="502"/>
      <c r="U28" s="74"/>
    </row>
    <row r="29" spans="1:22" x14ac:dyDescent="0.25">
      <c r="B29" s="56" t="str">
        <f>+'4. Dr Gáspár HSZK'!A1</f>
        <v>Dr. Gáspár István HSZK</v>
      </c>
      <c r="C29" s="501">
        <f>+'4. Dr Gáspár HSZK'!C93</f>
        <v>0</v>
      </c>
      <c r="D29" s="73">
        <f>+'4. Dr Gáspár HSZK'!D93</f>
        <v>0</v>
      </c>
      <c r="E29" s="73">
        <f>+'4. Dr Gáspár HSZK'!E93</f>
        <v>0</v>
      </c>
      <c r="F29" s="462">
        <f>+'4. Dr Gáspár HSZK'!F93</f>
        <v>0</v>
      </c>
      <c r="G29" s="73"/>
      <c r="H29" s="501">
        <f>+'4. Dr Gáspár HSZK'!H93</f>
        <v>0</v>
      </c>
      <c r="I29" s="73">
        <f>+'4. Dr Gáspár HSZK'!I93</f>
        <v>0</v>
      </c>
      <c r="J29" s="73">
        <f>+'4. Dr Gáspár HSZK'!J93</f>
        <v>0</v>
      </c>
      <c r="K29" s="73"/>
      <c r="L29" s="710">
        <f t="shared" si="32"/>
        <v>0</v>
      </c>
      <c r="M29" s="710">
        <f t="shared" si="32"/>
        <v>0</v>
      </c>
      <c r="N29" s="749">
        <f t="shared" si="32"/>
        <v>0</v>
      </c>
      <c r="O29" s="692"/>
      <c r="P29" s="501">
        <f>+'4. Dr Gáspár HSZK'!P93</f>
        <v>0</v>
      </c>
      <c r="Q29" s="73">
        <f>+'4. Dr Gáspár HSZK'!Q93</f>
        <v>0</v>
      </c>
      <c r="R29" s="73">
        <f>+'4. Dr Gáspár HSZK'!R93</f>
        <v>0</v>
      </c>
      <c r="S29" s="73">
        <f t="shared" si="33"/>
        <v>0</v>
      </c>
      <c r="T29" s="502"/>
      <c r="U29" s="74"/>
    </row>
    <row r="30" spans="1:22" x14ac:dyDescent="0.25">
      <c r="B30" s="56" t="str">
        <f>+'5. Csicsergő'!A1</f>
        <v>SÜLYSÁPI CSICSERGŐ ÓVODA</v>
      </c>
      <c r="C30" s="501">
        <f>+'5. Csicsergő'!C93</f>
        <v>0</v>
      </c>
      <c r="D30" s="73">
        <f>+'5. Csicsergő'!D93</f>
        <v>0</v>
      </c>
      <c r="E30" s="73">
        <f>+'5. Csicsergő'!E93</f>
        <v>0</v>
      </c>
      <c r="F30" s="462">
        <f>+'5. Csicsergő'!F93</f>
        <v>0</v>
      </c>
      <c r="G30" s="73"/>
      <c r="H30" s="501">
        <f>+'5. Csicsergő'!H93</f>
        <v>0</v>
      </c>
      <c r="I30" s="73">
        <f>+'5. Csicsergő'!I93</f>
        <v>0</v>
      </c>
      <c r="J30" s="73">
        <f>+'5. Csicsergő'!J93</f>
        <v>0</v>
      </c>
      <c r="K30" s="73"/>
      <c r="L30" s="710">
        <f t="shared" si="32"/>
        <v>0</v>
      </c>
      <c r="M30" s="710">
        <f t="shared" si="32"/>
        <v>0</v>
      </c>
      <c r="N30" s="749">
        <f t="shared" si="32"/>
        <v>0</v>
      </c>
      <c r="O30" s="692"/>
      <c r="P30" s="501">
        <f>+'5. Csicsergő'!P93</f>
        <v>0</v>
      </c>
      <c r="Q30" s="73">
        <f>+'5. Csicsergő'!Q93</f>
        <v>0</v>
      </c>
      <c r="R30" s="73">
        <f>+'5. Csicsergő'!R93</f>
        <v>0</v>
      </c>
      <c r="S30" s="73">
        <f t="shared" si="33"/>
        <v>0</v>
      </c>
      <c r="T30" s="502"/>
      <c r="U30" s="74"/>
    </row>
    <row r="31" spans="1:22" x14ac:dyDescent="0.25">
      <c r="B31" s="22" t="str">
        <f>+'6. Gólyahír'!A1</f>
        <v>GÓLYAHÍR BÖLCSŐDE</v>
      </c>
      <c r="C31" s="501">
        <f>+'6. Gólyahír'!C93</f>
        <v>0</v>
      </c>
      <c r="D31" s="73">
        <f>+'6. Gólyahír'!D93</f>
        <v>0</v>
      </c>
      <c r="E31" s="73">
        <f>+'6. Gólyahír'!E93</f>
        <v>0</v>
      </c>
      <c r="F31" s="462">
        <f>+'6. Gólyahír'!F93</f>
        <v>0</v>
      </c>
      <c r="G31" s="73"/>
      <c r="H31" s="501">
        <f>+'6. Gólyahír'!H93</f>
        <v>0</v>
      </c>
      <c r="I31" s="73">
        <f>+'6. Gólyahír'!I93</f>
        <v>0</v>
      </c>
      <c r="J31" s="73">
        <f>+'6. Gólyahír'!J93</f>
        <v>0</v>
      </c>
      <c r="K31" s="73"/>
      <c r="L31" s="710">
        <f t="shared" si="32"/>
        <v>0</v>
      </c>
      <c r="M31" s="710">
        <f t="shared" si="32"/>
        <v>0</v>
      </c>
      <c r="N31" s="749">
        <f t="shared" si="32"/>
        <v>0</v>
      </c>
      <c r="O31" s="692"/>
      <c r="P31" s="501">
        <f>+'6. Gólyahír'!P93</f>
        <v>0</v>
      </c>
      <c r="Q31" s="73">
        <f>+'6. Gólyahír'!Q93</f>
        <v>0</v>
      </c>
      <c r="R31" s="73">
        <f>+'6. Gólyahír'!R93</f>
        <v>0</v>
      </c>
      <c r="S31" s="73">
        <f t="shared" si="33"/>
        <v>0</v>
      </c>
      <c r="T31" s="502"/>
      <c r="U31" s="74"/>
    </row>
    <row r="32" spans="1:22" x14ac:dyDescent="0.25">
      <c r="B32" s="73" t="str">
        <f>+'7. Polg.Hiv.'!A1</f>
        <v>POLGÁRMESTERI HIVATAL</v>
      </c>
      <c r="C32" s="501">
        <f>+'7. Polg.Hiv.'!C93</f>
        <v>0</v>
      </c>
      <c r="D32" s="73">
        <f>+'7. Polg.Hiv.'!D93</f>
        <v>1689348</v>
      </c>
      <c r="E32" s="73">
        <f>+'7. Polg.Hiv.'!E93</f>
        <v>1936197</v>
      </c>
      <c r="F32" s="462">
        <f>+'7. Polg.Hiv.'!F93</f>
        <v>0</v>
      </c>
      <c r="G32" s="73"/>
      <c r="H32" s="501">
        <f>+'7. Polg.Hiv.'!H93</f>
        <v>1760799</v>
      </c>
      <c r="I32" s="73">
        <f>+'7. Polg.Hiv.'!I93</f>
        <v>2190160</v>
      </c>
      <c r="J32" s="73">
        <f>+'7. Polg.Hiv.'!J93</f>
        <v>0</v>
      </c>
      <c r="K32" s="73"/>
      <c r="L32" s="710">
        <f t="shared" si="32"/>
        <v>1.042295015591814</v>
      </c>
      <c r="M32" s="710">
        <f t="shared" si="32"/>
        <v>1.1311658885950138</v>
      </c>
      <c r="N32" s="749">
        <f t="shared" si="32"/>
        <v>0</v>
      </c>
      <c r="O32" s="692"/>
      <c r="P32" s="501">
        <f>+'7. Polg.Hiv.'!P93</f>
        <v>1689348</v>
      </c>
      <c r="Q32" s="73">
        <f>+'7. Polg.Hiv.'!Q93</f>
        <v>246849</v>
      </c>
      <c r="R32" s="73">
        <f>+'7. Polg.Hiv.'!R93</f>
        <v>0</v>
      </c>
      <c r="S32" s="73">
        <f t="shared" si="33"/>
        <v>1936197</v>
      </c>
      <c r="T32" s="502"/>
      <c r="U32" s="74"/>
    </row>
    <row r="33" spans="1:21" x14ac:dyDescent="0.25">
      <c r="B33" s="73" t="str">
        <f>+'8. WAMKK'!A1</f>
        <v>Wass Albert Művelődési Központ és Könyvtár</v>
      </c>
      <c r="C33" s="501">
        <f>+'8. WAMKK'!C93</f>
        <v>0</v>
      </c>
      <c r="D33" s="73">
        <f>+'8. WAMKK'!D93</f>
        <v>0</v>
      </c>
      <c r="E33" s="73">
        <f>+'8. WAMKK'!E93</f>
        <v>0</v>
      </c>
      <c r="F33" s="462">
        <f>+'8. WAMKK'!F93</f>
        <v>0</v>
      </c>
      <c r="G33" s="73"/>
      <c r="H33" s="501">
        <f>+'8. WAMKK'!H93</f>
        <v>0</v>
      </c>
      <c r="I33" s="73">
        <f>+'8. WAMKK'!I93</f>
        <v>0</v>
      </c>
      <c r="J33" s="73">
        <f>+'8. WAMKK'!J93</f>
        <v>0</v>
      </c>
      <c r="K33" s="73"/>
      <c r="L33" s="710">
        <f t="shared" si="32"/>
        <v>0</v>
      </c>
      <c r="M33" s="710">
        <f t="shared" si="32"/>
        <v>0</v>
      </c>
      <c r="N33" s="749">
        <f t="shared" si="32"/>
        <v>0</v>
      </c>
      <c r="O33" s="692"/>
      <c r="P33" s="501">
        <f>+'8. WAMKK'!P93</f>
        <v>0</v>
      </c>
      <c r="Q33" s="73">
        <f>+'8. WAMKK'!Q93</f>
        <v>0</v>
      </c>
      <c r="R33" s="73">
        <f>+'8. WAMKK'!R93</f>
        <v>0</v>
      </c>
      <c r="S33" s="73">
        <f t="shared" si="33"/>
        <v>0</v>
      </c>
      <c r="T33" s="502"/>
      <c r="U33" s="74"/>
    </row>
    <row r="34" spans="1:21" x14ac:dyDescent="0.25">
      <c r="B34" s="73" t="str">
        <f>+'9. Közp. Konyha'!A1</f>
        <v>Központi Konyha</v>
      </c>
      <c r="C34" s="501">
        <f>+'9. Közp. Konyha'!C93</f>
        <v>0</v>
      </c>
      <c r="D34" s="73">
        <f>+'9. Közp. Konyha'!D93</f>
        <v>0</v>
      </c>
      <c r="E34" s="73">
        <f>+'9. Közp. Konyha'!E93</f>
        <v>0</v>
      </c>
      <c r="F34" s="462">
        <f>+'9. Közp. Konyha'!F93</f>
        <v>0</v>
      </c>
      <c r="G34" s="73"/>
      <c r="H34" s="501">
        <f>+'9. Közp. Konyha'!H93</f>
        <v>0</v>
      </c>
      <c r="I34" s="73">
        <f>+'9. Közp. Konyha'!I93</f>
        <v>388680</v>
      </c>
      <c r="J34" s="73">
        <f>+'9. Közp. Konyha'!J93</f>
        <v>0</v>
      </c>
      <c r="K34" s="73"/>
      <c r="L34" s="710">
        <f t="shared" si="32"/>
        <v>0</v>
      </c>
      <c r="M34" s="710">
        <f t="shared" si="32"/>
        <v>0</v>
      </c>
      <c r="N34" s="749">
        <f t="shared" si="32"/>
        <v>0</v>
      </c>
      <c r="O34" s="692"/>
      <c r="P34" s="501">
        <f>+'9. Közp. Konyha'!P93</f>
        <v>0</v>
      </c>
      <c r="Q34" s="73">
        <f>+'9. Közp. Konyha'!Q93</f>
        <v>0</v>
      </c>
      <c r="R34" s="73">
        <f>+'9. Közp. Konyha'!R93</f>
        <v>0</v>
      </c>
      <c r="S34" s="73">
        <f t="shared" si="33"/>
        <v>0</v>
      </c>
      <c r="T34" s="502"/>
      <c r="U34" s="74"/>
    </row>
    <row r="35" spans="1:21" ht="8.1" customHeight="1" x14ac:dyDescent="0.25">
      <c r="B35" s="386" t="s">
        <v>453</v>
      </c>
      <c r="C35" s="503"/>
      <c r="D35" s="385"/>
      <c r="E35" s="385"/>
      <c r="F35" s="514"/>
      <c r="G35" s="385"/>
      <c r="H35" s="503"/>
      <c r="I35" s="385"/>
      <c r="J35" s="385"/>
      <c r="K35" s="385"/>
      <c r="L35" s="750"/>
      <c r="M35" s="750"/>
      <c r="N35" s="751"/>
      <c r="O35" s="744"/>
      <c r="P35" s="503"/>
      <c r="Q35" s="385"/>
      <c r="R35" s="385"/>
      <c r="S35" s="385"/>
      <c r="T35" s="502"/>
      <c r="U35" s="74"/>
    </row>
    <row r="36" spans="1:21" x14ac:dyDescent="0.25">
      <c r="A36" s="387" t="str">
        <f>+A27</f>
        <v>B1</v>
      </c>
      <c r="B36" s="367" t="s">
        <v>447</v>
      </c>
      <c r="C36" s="504">
        <f>SUM(C28:C35)</f>
        <v>572340889</v>
      </c>
      <c r="D36" s="368">
        <f t="shared" ref="D36" si="34">SUM(D28:D35)</f>
        <v>583546237</v>
      </c>
      <c r="E36" s="368">
        <f t="shared" ref="E36" si="35">SUM(E28:E35)</f>
        <v>583793086</v>
      </c>
      <c r="F36" s="515">
        <f t="shared" ref="F36" si="36">SUM(F28:F35)</f>
        <v>0</v>
      </c>
      <c r="G36" s="368"/>
      <c r="H36" s="504">
        <f>SUM(H28:H35)</f>
        <v>304959425</v>
      </c>
      <c r="I36" s="368">
        <f t="shared" ref="I36" si="37">SUM(I28:I35)</f>
        <v>464974939</v>
      </c>
      <c r="J36" s="368">
        <f t="shared" ref="J36" si="38">SUM(J28:J35)</f>
        <v>0</v>
      </c>
      <c r="K36" s="368"/>
      <c r="L36" s="752">
        <f t="shared" si="32"/>
        <v>0.52259684951065843</v>
      </c>
      <c r="M36" s="752">
        <f t="shared" si="32"/>
        <v>0.79647215794535808</v>
      </c>
      <c r="N36" s="753">
        <f t="shared" si="32"/>
        <v>0</v>
      </c>
      <c r="O36" s="745"/>
      <c r="P36" s="504">
        <f>SUM(P28:P35)</f>
        <v>11205348</v>
      </c>
      <c r="Q36" s="368">
        <f t="shared" ref="Q36" si="39">SUM(Q28:Q35)</f>
        <v>246849</v>
      </c>
      <c r="R36" s="368">
        <f t="shared" ref="R36" si="40">SUM(R28:R35)</f>
        <v>0</v>
      </c>
      <c r="S36" s="368">
        <f>+P36*P$8+Q36*Q$8+R36*R$8</f>
        <v>11452197</v>
      </c>
      <c r="T36" s="502"/>
      <c r="U36" s="74"/>
    </row>
    <row r="37" spans="1:21" x14ac:dyDescent="0.25">
      <c r="C37" s="501"/>
      <c r="D37" s="74"/>
      <c r="E37" s="74"/>
      <c r="F37" s="527"/>
      <c r="G37" s="74"/>
      <c r="H37" s="501"/>
      <c r="K37" s="74"/>
      <c r="L37" s="708"/>
      <c r="M37" s="708"/>
      <c r="N37" s="749"/>
      <c r="O37" s="700"/>
      <c r="P37" s="501"/>
      <c r="Q37" s="73"/>
      <c r="R37" s="73"/>
      <c r="S37" s="73"/>
      <c r="T37" s="502"/>
      <c r="U37" s="74"/>
    </row>
    <row r="38" spans="1:21" x14ac:dyDescent="0.25">
      <c r="C38" s="501"/>
      <c r="D38" s="74"/>
      <c r="E38" s="74"/>
      <c r="F38" s="527"/>
      <c r="G38" s="74"/>
      <c r="H38" s="501"/>
      <c r="K38" s="74"/>
      <c r="L38" s="708"/>
      <c r="M38" s="708"/>
      <c r="N38" s="749"/>
      <c r="O38" s="700"/>
      <c r="P38" s="501"/>
      <c r="Q38" s="73"/>
      <c r="R38" s="73"/>
      <c r="S38" s="73"/>
      <c r="T38" s="502"/>
      <c r="U38" s="74"/>
    </row>
    <row r="39" spans="1:21" x14ac:dyDescent="0.25">
      <c r="A39" s="322" t="s">
        <v>262</v>
      </c>
      <c r="B39" s="322" t="str">
        <f>+B14</f>
        <v>Felhalmozási célú tám-ok államházt-on belülről</v>
      </c>
      <c r="C39" s="501"/>
      <c r="D39" s="74"/>
      <c r="E39" s="74"/>
      <c r="F39" s="527"/>
      <c r="G39" s="74"/>
      <c r="H39" s="501"/>
      <c r="K39" s="74"/>
      <c r="L39" s="708"/>
      <c r="M39" s="708"/>
      <c r="N39" s="749"/>
      <c r="O39" s="700"/>
      <c r="P39" s="501"/>
      <c r="Q39" s="73"/>
      <c r="R39" s="73"/>
      <c r="S39" s="73">
        <f t="shared" ref="S39:S46" si="41">+P39*P$8+Q39*Q$8+R39*R$8</f>
        <v>0</v>
      </c>
      <c r="T39" s="502"/>
      <c r="U39" s="74"/>
    </row>
    <row r="40" spans="1:21" x14ac:dyDescent="0.25">
      <c r="B40" s="56" t="str">
        <f t="shared" ref="B40:B46" si="42">+B28</f>
        <v>Sülysáp Város Önkormányzata</v>
      </c>
      <c r="C40" s="501">
        <f>+' 2. Önk. Bevételek'!C30</f>
        <v>285600000</v>
      </c>
      <c r="D40" s="73">
        <f>+' 2. Önk. Bevételek'!D30</f>
        <v>285600000</v>
      </c>
      <c r="E40" s="73">
        <f>+' 2. Önk. Bevételek'!E30</f>
        <v>285600000</v>
      </c>
      <c r="F40" s="462">
        <f>+' 2. Önk. Bevételek'!F30</f>
        <v>0</v>
      </c>
      <c r="G40" s="74"/>
      <c r="H40" s="501">
        <f>+' 2. Önk. Bevételek'!H30</f>
        <v>52664113</v>
      </c>
      <c r="I40" s="73">
        <f>+' 2. Önk. Bevételek'!I30</f>
        <v>50464113</v>
      </c>
      <c r="J40" s="73">
        <f>+' 2. Önk. Bevételek'!J30</f>
        <v>0</v>
      </c>
      <c r="K40" s="74"/>
      <c r="L40" s="710">
        <f t="shared" ref="L40:L46" si="43">IF(D40=0,0,H40/D40)</f>
        <v>0.18439815476190477</v>
      </c>
      <c r="M40" s="710">
        <f t="shared" ref="M40:M46" si="44">IF(E40=0,0,I40/E40)</f>
        <v>0.17669507352941177</v>
      </c>
      <c r="N40" s="749">
        <f t="shared" ref="N40:N46" si="45">IF(F40=0,0,J40/F40)</f>
        <v>0</v>
      </c>
      <c r="O40" s="700"/>
      <c r="P40" s="501">
        <f>+' 2. Önk. Bevételek'!P30</f>
        <v>0</v>
      </c>
      <c r="Q40" s="73">
        <f>+' 2. Önk. Bevételek'!Q30</f>
        <v>0</v>
      </c>
      <c r="R40" s="73">
        <f>+' 2. Önk. Bevételek'!R30</f>
        <v>0</v>
      </c>
      <c r="S40" s="73">
        <f t="shared" si="41"/>
        <v>0</v>
      </c>
      <c r="T40" s="502"/>
      <c r="U40" s="74"/>
    </row>
    <row r="41" spans="1:21" x14ac:dyDescent="0.25">
      <c r="B41" s="56" t="str">
        <f t="shared" si="42"/>
        <v>Dr. Gáspár István HSZK</v>
      </c>
      <c r="C41" s="501"/>
      <c r="D41" s="73"/>
      <c r="E41" s="73"/>
      <c r="F41" s="462"/>
      <c r="G41" s="73"/>
      <c r="H41" s="501"/>
      <c r="I41" s="73"/>
      <c r="J41" s="73"/>
      <c r="K41" s="73"/>
      <c r="L41" s="710">
        <f t="shared" si="43"/>
        <v>0</v>
      </c>
      <c r="M41" s="710">
        <f t="shared" si="44"/>
        <v>0</v>
      </c>
      <c r="N41" s="749">
        <f t="shared" si="45"/>
        <v>0</v>
      </c>
      <c r="O41" s="692"/>
      <c r="P41" s="501"/>
      <c r="Q41" s="73"/>
      <c r="R41" s="73"/>
      <c r="S41" s="73">
        <f t="shared" si="41"/>
        <v>0</v>
      </c>
      <c r="T41" s="502"/>
      <c r="U41" s="74"/>
    </row>
    <row r="42" spans="1:21" x14ac:dyDescent="0.25">
      <c r="B42" s="56" t="str">
        <f t="shared" si="42"/>
        <v>SÜLYSÁPI CSICSERGŐ ÓVODA</v>
      </c>
      <c r="C42" s="501"/>
      <c r="D42" s="73"/>
      <c r="E42" s="73"/>
      <c r="F42" s="462"/>
      <c r="G42" s="73"/>
      <c r="H42" s="501"/>
      <c r="I42" s="73"/>
      <c r="J42" s="73"/>
      <c r="K42" s="73"/>
      <c r="L42" s="710">
        <f t="shared" si="43"/>
        <v>0</v>
      </c>
      <c r="M42" s="710">
        <f t="shared" si="44"/>
        <v>0</v>
      </c>
      <c r="N42" s="749">
        <f t="shared" si="45"/>
        <v>0</v>
      </c>
      <c r="O42" s="692"/>
      <c r="P42" s="501"/>
      <c r="Q42" s="73"/>
      <c r="R42" s="73"/>
      <c r="S42" s="73">
        <f t="shared" si="41"/>
        <v>0</v>
      </c>
      <c r="T42" s="502"/>
      <c r="U42" s="74"/>
    </row>
    <row r="43" spans="1:21" x14ac:dyDescent="0.25">
      <c r="B43" s="56" t="str">
        <f t="shared" si="42"/>
        <v>GÓLYAHÍR BÖLCSŐDE</v>
      </c>
      <c r="C43" s="501"/>
      <c r="D43" s="73"/>
      <c r="E43" s="73"/>
      <c r="F43" s="462"/>
      <c r="G43" s="73"/>
      <c r="H43" s="501"/>
      <c r="I43" s="73"/>
      <c r="J43" s="73"/>
      <c r="K43" s="73"/>
      <c r="L43" s="710">
        <f t="shared" si="43"/>
        <v>0</v>
      </c>
      <c r="M43" s="710">
        <f t="shared" si="44"/>
        <v>0</v>
      </c>
      <c r="N43" s="749">
        <f t="shared" si="45"/>
        <v>0</v>
      </c>
      <c r="O43" s="692"/>
      <c r="P43" s="501"/>
      <c r="Q43" s="73"/>
      <c r="R43" s="73"/>
      <c r="S43" s="73">
        <f t="shared" si="41"/>
        <v>0</v>
      </c>
      <c r="T43" s="502"/>
      <c r="U43" s="74"/>
    </row>
    <row r="44" spans="1:21" x14ac:dyDescent="0.25">
      <c r="B44" s="56" t="str">
        <f t="shared" si="42"/>
        <v>POLGÁRMESTERI HIVATAL</v>
      </c>
      <c r="C44" s="501"/>
      <c r="D44" s="73"/>
      <c r="E44" s="73"/>
      <c r="F44" s="462"/>
      <c r="G44" s="73"/>
      <c r="H44" s="501"/>
      <c r="I44" s="73"/>
      <c r="J44" s="73"/>
      <c r="K44" s="73"/>
      <c r="L44" s="710">
        <f t="shared" si="43"/>
        <v>0</v>
      </c>
      <c r="M44" s="710">
        <f t="shared" si="44"/>
        <v>0</v>
      </c>
      <c r="N44" s="749">
        <f t="shared" si="45"/>
        <v>0</v>
      </c>
      <c r="O44" s="692"/>
      <c r="P44" s="501"/>
      <c r="Q44" s="73"/>
      <c r="R44" s="73"/>
      <c r="S44" s="73">
        <f t="shared" si="41"/>
        <v>0</v>
      </c>
      <c r="T44" s="502"/>
      <c r="U44" s="74"/>
    </row>
    <row r="45" spans="1:21" x14ac:dyDescent="0.25">
      <c r="B45" s="56" t="str">
        <f t="shared" si="42"/>
        <v>Wass Albert Művelődési Központ és Könyvtár</v>
      </c>
      <c r="C45" s="501"/>
      <c r="D45" s="73"/>
      <c r="E45" s="73"/>
      <c r="F45" s="462"/>
      <c r="G45" s="73"/>
      <c r="H45" s="501"/>
      <c r="I45" s="73"/>
      <c r="J45" s="73"/>
      <c r="K45" s="73"/>
      <c r="L45" s="710">
        <f t="shared" si="43"/>
        <v>0</v>
      </c>
      <c r="M45" s="710">
        <f t="shared" si="44"/>
        <v>0</v>
      </c>
      <c r="N45" s="749">
        <f t="shared" si="45"/>
        <v>0</v>
      </c>
      <c r="O45" s="692"/>
      <c r="P45" s="501"/>
      <c r="Q45" s="73"/>
      <c r="R45" s="73"/>
      <c r="S45" s="73">
        <f t="shared" si="41"/>
        <v>0</v>
      </c>
      <c r="T45" s="502"/>
      <c r="U45" s="74"/>
    </row>
    <row r="46" spans="1:21" x14ac:dyDescent="0.25">
      <c r="B46" s="56" t="str">
        <f t="shared" si="42"/>
        <v>Központi Konyha</v>
      </c>
      <c r="C46" s="501"/>
      <c r="D46" s="73"/>
      <c r="E46" s="73"/>
      <c r="F46" s="462"/>
      <c r="G46" s="73"/>
      <c r="H46" s="501"/>
      <c r="I46" s="73"/>
      <c r="J46" s="73"/>
      <c r="K46" s="73"/>
      <c r="L46" s="710">
        <f t="shared" si="43"/>
        <v>0</v>
      </c>
      <c r="M46" s="710">
        <f t="shared" si="44"/>
        <v>0</v>
      </c>
      <c r="N46" s="749">
        <f t="shared" si="45"/>
        <v>0</v>
      </c>
      <c r="O46" s="692"/>
      <c r="P46" s="501"/>
      <c r="Q46" s="73"/>
      <c r="R46" s="73"/>
      <c r="S46" s="73">
        <f t="shared" si="41"/>
        <v>0</v>
      </c>
      <c r="T46" s="502"/>
      <c r="U46" s="74"/>
    </row>
    <row r="47" spans="1:21" ht="8.1" customHeight="1" x14ac:dyDescent="0.25">
      <c r="B47" s="386" t="s">
        <v>453</v>
      </c>
      <c r="C47" s="503"/>
      <c r="D47" s="385"/>
      <c r="E47" s="385"/>
      <c r="F47" s="514"/>
      <c r="G47" s="385"/>
      <c r="H47" s="503"/>
      <c r="I47" s="385"/>
      <c r="J47" s="385"/>
      <c r="K47" s="385"/>
      <c r="L47" s="750"/>
      <c r="M47" s="750"/>
      <c r="N47" s="751"/>
      <c r="O47" s="744"/>
      <c r="P47" s="503"/>
      <c r="Q47" s="385"/>
      <c r="R47" s="385"/>
      <c r="S47" s="385"/>
      <c r="T47" s="502"/>
      <c r="U47" s="74"/>
    </row>
    <row r="48" spans="1:21" x14ac:dyDescent="0.25">
      <c r="A48" s="387" t="str">
        <f>+A39</f>
        <v>B2</v>
      </c>
      <c r="B48" s="367" t="s">
        <v>447</v>
      </c>
      <c r="C48" s="504">
        <f>SUM(C40:C47)</f>
        <v>285600000</v>
      </c>
      <c r="D48" s="368">
        <f t="shared" ref="D48" si="46">SUM(D40:D47)</f>
        <v>285600000</v>
      </c>
      <c r="E48" s="368">
        <f t="shared" ref="E48" si="47">SUM(E40:E47)</f>
        <v>285600000</v>
      </c>
      <c r="F48" s="515">
        <f t="shared" ref="F48" si="48">SUM(F40:F47)</f>
        <v>0</v>
      </c>
      <c r="G48" s="368"/>
      <c r="H48" s="504">
        <f>SUM(H40:H47)</f>
        <v>52664113</v>
      </c>
      <c r="I48" s="368">
        <f t="shared" ref="I48" si="49">SUM(I40:I47)</f>
        <v>50464113</v>
      </c>
      <c r="J48" s="368">
        <f t="shared" ref="J48" si="50">SUM(J40:J47)</f>
        <v>0</v>
      </c>
      <c r="K48" s="368"/>
      <c r="L48" s="752">
        <f t="shared" ref="L48" si="51">IF(D48=0,0,H48/D48)</f>
        <v>0.18439815476190477</v>
      </c>
      <c r="M48" s="752">
        <f t="shared" ref="M48" si="52">IF(E48=0,0,I48/E48)</f>
        <v>0.17669507352941177</v>
      </c>
      <c r="N48" s="753">
        <f t="shared" ref="N48" si="53">IF(F48=0,0,J48/F48)</f>
        <v>0</v>
      </c>
      <c r="O48" s="745"/>
      <c r="P48" s="504">
        <f>SUM(P40:P47)</f>
        <v>0</v>
      </c>
      <c r="Q48" s="368">
        <f t="shared" ref="Q48" si="54">SUM(Q40:Q47)</f>
        <v>0</v>
      </c>
      <c r="R48" s="368">
        <f t="shared" ref="R48" si="55">SUM(R40:R47)</f>
        <v>0</v>
      </c>
      <c r="S48" s="368">
        <f>+P48*P$8+Q48*Q$8+R48*R$8</f>
        <v>0</v>
      </c>
      <c r="T48" s="502"/>
      <c r="U48" s="74"/>
    </row>
    <row r="49" spans="1:21" x14ac:dyDescent="0.25">
      <c r="C49" s="501"/>
      <c r="D49" s="74"/>
      <c r="E49" s="74"/>
      <c r="F49" s="527"/>
      <c r="G49" s="74"/>
      <c r="H49" s="501"/>
      <c r="K49" s="74"/>
      <c r="L49" s="708"/>
      <c r="M49" s="708"/>
      <c r="N49" s="749"/>
      <c r="O49" s="700"/>
      <c r="P49" s="501"/>
      <c r="Q49" s="73"/>
      <c r="R49" s="73"/>
      <c r="S49" s="73"/>
      <c r="T49" s="502"/>
      <c r="U49" s="74"/>
    </row>
    <row r="50" spans="1:21" x14ac:dyDescent="0.25">
      <c r="C50" s="501"/>
      <c r="D50" s="74"/>
      <c r="E50" s="74"/>
      <c r="F50" s="527"/>
      <c r="G50" s="74"/>
      <c r="H50" s="501"/>
      <c r="K50" s="74"/>
      <c r="L50" s="708"/>
      <c r="M50" s="708"/>
      <c r="N50" s="749"/>
      <c r="O50" s="700"/>
      <c r="P50" s="501"/>
      <c r="Q50" s="73"/>
      <c r="R50" s="73"/>
      <c r="S50" s="73"/>
      <c r="T50" s="502"/>
      <c r="U50" s="74"/>
    </row>
    <row r="51" spans="1:21" x14ac:dyDescent="0.25">
      <c r="A51" s="322" t="s">
        <v>270</v>
      </c>
      <c r="B51" s="384" t="str">
        <f>+B15</f>
        <v>Közhatalmi bevételek</v>
      </c>
      <c r="C51" s="501"/>
      <c r="D51" s="74"/>
      <c r="E51" s="74"/>
      <c r="F51" s="527"/>
      <c r="G51" s="74"/>
      <c r="H51" s="501"/>
      <c r="K51" s="74"/>
      <c r="L51" s="708"/>
      <c r="M51" s="708"/>
      <c r="N51" s="749"/>
      <c r="O51" s="700"/>
      <c r="P51" s="501"/>
      <c r="Q51" s="73"/>
      <c r="R51" s="73"/>
      <c r="S51" s="73"/>
      <c r="T51" s="502"/>
      <c r="U51" s="74"/>
    </row>
    <row r="52" spans="1:21" x14ac:dyDescent="0.25">
      <c r="B52" s="56" t="str">
        <f t="shared" ref="B52:B58" si="56">+B40</f>
        <v>Sülysáp Város Önkormányzata</v>
      </c>
      <c r="C52" s="501">
        <f>+' 2. Önk. Bevételek'!C39</f>
        <v>238500000</v>
      </c>
      <c r="D52" s="73">
        <f>+' 2. Önk. Bevételek'!D39</f>
        <v>238500000</v>
      </c>
      <c r="E52" s="73">
        <f>+' 2. Önk. Bevételek'!E39</f>
        <v>238500000</v>
      </c>
      <c r="F52" s="462">
        <f>+' 2. Önk. Bevételek'!F39</f>
        <v>0</v>
      </c>
      <c r="G52" s="74"/>
      <c r="H52" s="501">
        <f>+' 2. Önk. Bevételek'!H39</f>
        <v>126487519</v>
      </c>
      <c r="I52" s="73">
        <f>+' 2. Önk. Bevételek'!I39</f>
        <v>188691308</v>
      </c>
      <c r="J52" s="73">
        <f>+' 2. Önk. Bevételek'!J39</f>
        <v>0</v>
      </c>
      <c r="K52" s="74"/>
      <c r="L52" s="710">
        <f t="shared" ref="L52:L58" si="57">IF(D52=0,0,H52/D52)</f>
        <v>0.53034599161425577</v>
      </c>
      <c r="M52" s="710">
        <f t="shared" ref="M52:M58" si="58">IF(E52=0,0,I52/E52)</f>
        <v>0.79115852410901466</v>
      </c>
      <c r="N52" s="749">
        <f t="shared" ref="N52:N58" si="59">IF(F52=0,0,J52/F52)</f>
        <v>0</v>
      </c>
      <c r="O52" s="700"/>
      <c r="P52" s="501">
        <f>+' 2. Önk. Bevételek'!P39</f>
        <v>0</v>
      </c>
      <c r="Q52" s="73">
        <f>+' 2. Önk. Bevételek'!Q39</f>
        <v>0</v>
      </c>
      <c r="R52" s="73">
        <f>+' 2. Önk. Bevételek'!R39</f>
        <v>0</v>
      </c>
      <c r="S52" s="73">
        <f t="shared" ref="S52:S58" si="60">+P52*P$8+Q52*Q$8+R52*R$8</f>
        <v>0</v>
      </c>
      <c r="T52" s="502"/>
      <c r="U52" s="74"/>
    </row>
    <row r="53" spans="1:21" x14ac:dyDescent="0.25">
      <c r="A53" s="56"/>
      <c r="B53" s="56" t="str">
        <f t="shared" si="56"/>
        <v>Dr. Gáspár István HSZK</v>
      </c>
      <c r="C53" s="501"/>
      <c r="D53" s="73"/>
      <c r="E53" s="73"/>
      <c r="F53" s="462"/>
      <c r="G53" s="73"/>
      <c r="H53" s="501"/>
      <c r="I53" s="73"/>
      <c r="J53" s="73"/>
      <c r="K53" s="73"/>
      <c r="L53" s="710">
        <f t="shared" si="57"/>
        <v>0</v>
      </c>
      <c r="M53" s="710">
        <f t="shared" si="58"/>
        <v>0</v>
      </c>
      <c r="N53" s="749">
        <f t="shared" si="59"/>
        <v>0</v>
      </c>
      <c r="O53" s="692"/>
      <c r="P53" s="501"/>
      <c r="Q53" s="73"/>
      <c r="R53" s="73"/>
      <c r="S53" s="73">
        <f t="shared" si="60"/>
        <v>0</v>
      </c>
      <c r="T53" s="502"/>
      <c r="U53" s="74"/>
    </row>
    <row r="54" spans="1:21" x14ac:dyDescent="0.25">
      <c r="B54" s="56" t="str">
        <f t="shared" si="56"/>
        <v>SÜLYSÁPI CSICSERGŐ ÓVODA</v>
      </c>
      <c r="C54" s="501"/>
      <c r="D54" s="73"/>
      <c r="E54" s="73"/>
      <c r="F54" s="462"/>
      <c r="G54" s="73"/>
      <c r="H54" s="501"/>
      <c r="I54" s="73"/>
      <c r="J54" s="73"/>
      <c r="K54" s="73"/>
      <c r="L54" s="710">
        <f t="shared" si="57"/>
        <v>0</v>
      </c>
      <c r="M54" s="710">
        <f t="shared" si="58"/>
        <v>0</v>
      </c>
      <c r="N54" s="749">
        <f t="shared" si="59"/>
        <v>0</v>
      </c>
      <c r="O54" s="692"/>
      <c r="P54" s="501"/>
      <c r="Q54" s="73"/>
      <c r="R54" s="73"/>
      <c r="S54" s="73">
        <f t="shared" si="60"/>
        <v>0</v>
      </c>
      <c r="T54" s="502"/>
      <c r="U54" s="74"/>
    </row>
    <row r="55" spans="1:21" x14ac:dyDescent="0.25">
      <c r="B55" s="56" t="str">
        <f t="shared" si="56"/>
        <v>GÓLYAHÍR BÖLCSŐDE</v>
      </c>
      <c r="C55" s="501"/>
      <c r="D55" s="73"/>
      <c r="E55" s="73"/>
      <c r="F55" s="462"/>
      <c r="G55" s="73"/>
      <c r="H55" s="501"/>
      <c r="I55" s="73"/>
      <c r="J55" s="73"/>
      <c r="K55" s="73"/>
      <c r="L55" s="710">
        <f t="shared" si="57"/>
        <v>0</v>
      </c>
      <c r="M55" s="710">
        <f t="shared" si="58"/>
        <v>0</v>
      </c>
      <c r="N55" s="749">
        <f t="shared" si="59"/>
        <v>0</v>
      </c>
      <c r="O55" s="692"/>
      <c r="P55" s="501"/>
      <c r="Q55" s="73"/>
      <c r="R55" s="73"/>
      <c r="S55" s="73">
        <f t="shared" si="60"/>
        <v>0</v>
      </c>
      <c r="T55" s="502"/>
      <c r="U55" s="74"/>
    </row>
    <row r="56" spans="1:21" x14ac:dyDescent="0.25">
      <c r="B56" s="56" t="str">
        <f t="shared" si="56"/>
        <v>POLGÁRMESTERI HIVATAL</v>
      </c>
      <c r="C56" s="501"/>
      <c r="D56" s="73"/>
      <c r="E56" s="73"/>
      <c r="F56" s="462"/>
      <c r="G56" s="73"/>
      <c r="H56" s="501"/>
      <c r="I56" s="73"/>
      <c r="J56" s="73"/>
      <c r="K56" s="73"/>
      <c r="L56" s="710">
        <f t="shared" si="57"/>
        <v>0</v>
      </c>
      <c r="M56" s="710">
        <f t="shared" si="58"/>
        <v>0</v>
      </c>
      <c r="N56" s="749">
        <f t="shared" si="59"/>
        <v>0</v>
      </c>
      <c r="O56" s="692"/>
      <c r="P56" s="501"/>
      <c r="Q56" s="73"/>
      <c r="R56" s="73"/>
      <c r="S56" s="73">
        <f t="shared" si="60"/>
        <v>0</v>
      </c>
      <c r="T56" s="502"/>
      <c r="U56" s="74"/>
    </row>
    <row r="57" spans="1:21" x14ac:dyDescent="0.25">
      <c r="B57" s="56" t="str">
        <f t="shared" si="56"/>
        <v>Wass Albert Művelődési Központ és Könyvtár</v>
      </c>
      <c r="C57" s="501"/>
      <c r="D57" s="73"/>
      <c r="E57" s="73"/>
      <c r="F57" s="462"/>
      <c r="G57" s="73"/>
      <c r="H57" s="501"/>
      <c r="I57" s="73"/>
      <c r="J57" s="73"/>
      <c r="K57" s="73"/>
      <c r="L57" s="710">
        <f t="shared" si="57"/>
        <v>0</v>
      </c>
      <c r="M57" s="710">
        <f t="shared" si="58"/>
        <v>0</v>
      </c>
      <c r="N57" s="749">
        <f t="shared" si="59"/>
        <v>0</v>
      </c>
      <c r="O57" s="692"/>
      <c r="P57" s="501"/>
      <c r="Q57" s="73"/>
      <c r="R57" s="73"/>
      <c r="S57" s="73">
        <f t="shared" si="60"/>
        <v>0</v>
      </c>
      <c r="T57" s="502"/>
      <c r="U57" s="74"/>
    </row>
    <row r="58" spans="1:21" x14ac:dyDescent="0.25">
      <c r="B58" s="56" t="str">
        <f t="shared" si="56"/>
        <v>Központi Konyha</v>
      </c>
      <c r="C58" s="501"/>
      <c r="D58" s="73"/>
      <c r="E58" s="73"/>
      <c r="F58" s="462"/>
      <c r="G58" s="73"/>
      <c r="H58" s="501"/>
      <c r="I58" s="73"/>
      <c r="J58" s="73"/>
      <c r="K58" s="73"/>
      <c r="L58" s="710">
        <f t="shared" si="57"/>
        <v>0</v>
      </c>
      <c r="M58" s="710">
        <f t="shared" si="58"/>
        <v>0</v>
      </c>
      <c r="N58" s="749">
        <f t="shared" si="59"/>
        <v>0</v>
      </c>
      <c r="O58" s="692"/>
      <c r="P58" s="501"/>
      <c r="Q58" s="73"/>
      <c r="R58" s="73"/>
      <c r="S58" s="73">
        <f t="shared" si="60"/>
        <v>0</v>
      </c>
      <c r="T58" s="502"/>
      <c r="U58" s="74"/>
    </row>
    <row r="59" spans="1:21" ht="8.1" customHeight="1" x14ac:dyDescent="0.25">
      <c r="B59" s="386" t="s">
        <v>453</v>
      </c>
      <c r="C59" s="503"/>
      <c r="D59" s="385"/>
      <c r="E59" s="385"/>
      <c r="F59" s="514"/>
      <c r="G59" s="385"/>
      <c r="H59" s="503"/>
      <c r="I59" s="385"/>
      <c r="J59" s="385"/>
      <c r="K59" s="385"/>
      <c r="L59" s="750"/>
      <c r="M59" s="750"/>
      <c r="N59" s="751"/>
      <c r="O59" s="744"/>
      <c r="P59" s="503"/>
      <c r="Q59" s="385"/>
      <c r="R59" s="385"/>
      <c r="S59" s="385"/>
      <c r="T59" s="502"/>
      <c r="U59" s="74"/>
    </row>
    <row r="60" spans="1:21" x14ac:dyDescent="0.25">
      <c r="A60" s="387" t="str">
        <f>+A51</f>
        <v>B3</v>
      </c>
      <c r="B60" s="367" t="s">
        <v>447</v>
      </c>
      <c r="C60" s="504">
        <f>SUM(C52:C59)</f>
        <v>238500000</v>
      </c>
      <c r="D60" s="368">
        <f t="shared" ref="D60:F60" si="61">SUM(D52:D59)</f>
        <v>238500000</v>
      </c>
      <c r="E60" s="368">
        <f t="shared" si="61"/>
        <v>238500000</v>
      </c>
      <c r="F60" s="515">
        <f t="shared" si="61"/>
        <v>0</v>
      </c>
      <c r="G60" s="368"/>
      <c r="H60" s="504">
        <f>SUM(H52:H59)</f>
        <v>126487519</v>
      </c>
      <c r="I60" s="368">
        <f t="shared" ref="I60:J60" si="62">SUM(I52:I59)</f>
        <v>188691308</v>
      </c>
      <c r="J60" s="368">
        <f t="shared" si="62"/>
        <v>0</v>
      </c>
      <c r="K60" s="368"/>
      <c r="L60" s="752">
        <f t="shared" ref="L60" si="63">IF(D60=0,0,H60/D60)</f>
        <v>0.53034599161425577</v>
      </c>
      <c r="M60" s="752">
        <f t="shared" ref="M60" si="64">IF(E60=0,0,I60/E60)</f>
        <v>0.79115852410901466</v>
      </c>
      <c r="N60" s="753">
        <f t="shared" ref="N60" si="65">IF(F60=0,0,J60/F60)</f>
        <v>0</v>
      </c>
      <c r="O60" s="745"/>
      <c r="P60" s="504">
        <f>SUM(P52:P59)</f>
        <v>0</v>
      </c>
      <c r="Q60" s="368">
        <f t="shared" ref="Q60:R60" si="66">SUM(Q52:Q59)</f>
        <v>0</v>
      </c>
      <c r="R60" s="368">
        <f t="shared" si="66"/>
        <v>0</v>
      </c>
      <c r="S60" s="368">
        <f>+P60*P$8+Q60*Q$8+R60*R$8</f>
        <v>0</v>
      </c>
      <c r="T60" s="502"/>
      <c r="U60" s="74"/>
    </row>
    <row r="61" spans="1:21" x14ac:dyDescent="0.25">
      <c r="C61" s="501"/>
      <c r="D61" s="74"/>
      <c r="E61" s="74"/>
      <c r="F61" s="527"/>
      <c r="G61" s="74"/>
      <c r="H61" s="501"/>
      <c r="K61" s="74"/>
      <c r="L61" s="708"/>
      <c r="M61" s="708"/>
      <c r="N61" s="749"/>
      <c r="O61" s="700"/>
      <c r="P61" s="501"/>
      <c r="Q61" s="73"/>
      <c r="R61" s="73"/>
      <c r="S61" s="73"/>
      <c r="T61" s="502"/>
      <c r="U61" s="74"/>
    </row>
    <row r="62" spans="1:21" x14ac:dyDescent="0.25">
      <c r="C62" s="501"/>
      <c r="D62" s="74"/>
      <c r="E62" s="74"/>
      <c r="F62" s="527"/>
      <c r="G62" s="74"/>
      <c r="H62" s="501"/>
      <c r="K62" s="74"/>
      <c r="L62" s="708"/>
      <c r="M62" s="708"/>
      <c r="N62" s="749"/>
      <c r="O62" s="700"/>
      <c r="P62" s="501"/>
      <c r="Q62" s="73"/>
      <c r="R62" s="73"/>
      <c r="S62" s="73"/>
      <c r="T62" s="502"/>
      <c r="U62" s="74"/>
    </row>
    <row r="63" spans="1:21" x14ac:dyDescent="0.25">
      <c r="A63" s="322" t="s">
        <v>284</v>
      </c>
      <c r="B63" s="322" t="str">
        <f>+B16</f>
        <v>Működési bevételek</v>
      </c>
      <c r="C63" s="501"/>
      <c r="D63" s="74"/>
      <c r="E63" s="74"/>
      <c r="F63" s="527"/>
      <c r="G63" s="74"/>
      <c r="H63" s="501"/>
      <c r="K63" s="74"/>
      <c r="L63" s="708"/>
      <c r="M63" s="708"/>
      <c r="N63" s="749"/>
      <c r="O63" s="700"/>
      <c r="P63" s="501"/>
      <c r="Q63" s="73"/>
      <c r="R63" s="73"/>
      <c r="S63" s="73"/>
      <c r="T63" s="502"/>
      <c r="U63" s="74"/>
    </row>
    <row r="64" spans="1:21" x14ac:dyDescent="0.25">
      <c r="B64" s="56" t="str">
        <f t="shared" ref="B64:B70" si="67">+B52</f>
        <v>Sülysáp Város Önkormányzata</v>
      </c>
      <c r="C64" s="501">
        <f>+' 2. Önk. Bevételek'!C50</f>
        <v>228427649</v>
      </c>
      <c r="D64" s="73">
        <f>+' 2. Önk. Bevételek'!D50</f>
        <v>288427649</v>
      </c>
      <c r="E64" s="73">
        <f>+' 2. Önk. Bevételek'!E50</f>
        <v>327733560</v>
      </c>
      <c r="F64" s="462">
        <f>+' 2. Önk. Bevételek'!F50</f>
        <v>0</v>
      </c>
      <c r="G64" s="74"/>
      <c r="H64" s="501">
        <f>+' 2. Önk. Bevételek'!H50</f>
        <v>237582694</v>
      </c>
      <c r="I64" s="73">
        <f>+' 2. Önk. Bevételek'!I50</f>
        <v>304508752</v>
      </c>
      <c r="J64" s="73">
        <f>+' 2. Önk. Bevételek'!J50</f>
        <v>0</v>
      </c>
      <c r="K64" s="74"/>
      <c r="L64" s="710">
        <f t="shared" ref="L64:L70" si="68">IF(D64=0,0,H64/D64)</f>
        <v>0.82371677896941153</v>
      </c>
      <c r="M64" s="710">
        <f t="shared" ref="M64:M70" si="69">IF(E64=0,0,I64/E64)</f>
        <v>0.92913509376336068</v>
      </c>
      <c r="N64" s="749">
        <f t="shared" ref="N64:N70" si="70">IF(F64=0,0,J64/F64)</f>
        <v>0</v>
      </c>
      <c r="O64" s="700"/>
      <c r="P64" s="501">
        <f>+' 2. Önk. Bevételek'!P50</f>
        <v>60000000</v>
      </c>
      <c r="Q64" s="73">
        <f>+' 2. Önk. Bevételek'!Q50</f>
        <v>39305911</v>
      </c>
      <c r="R64" s="73">
        <f>+' 2. Önk. Bevételek'!R50</f>
        <v>0</v>
      </c>
      <c r="S64" s="73">
        <f t="shared" ref="S64:S70" si="71">+P64*P$8+Q64*Q$8+R64*R$8</f>
        <v>99305911</v>
      </c>
      <c r="T64" s="502"/>
      <c r="U64" s="74"/>
    </row>
    <row r="65" spans="1:21" x14ac:dyDescent="0.25">
      <c r="A65" s="56"/>
      <c r="B65" s="56" t="str">
        <f t="shared" si="67"/>
        <v>Dr. Gáspár István HSZK</v>
      </c>
      <c r="C65" s="501">
        <f>+'4. Dr Gáspár HSZK'!C95</f>
        <v>7110000</v>
      </c>
      <c r="D65" s="73">
        <f>+'4. Dr Gáspár HSZK'!D95</f>
        <v>7110000</v>
      </c>
      <c r="E65" s="73">
        <f>+'4. Dr Gáspár HSZK'!E95</f>
        <v>7110000</v>
      </c>
      <c r="F65" s="462">
        <f>+'4. Dr Gáspár HSZK'!F95</f>
        <v>0</v>
      </c>
      <c r="G65" s="73"/>
      <c r="H65" s="501">
        <f>+'4. Dr Gáspár HSZK'!H95</f>
        <v>2602942</v>
      </c>
      <c r="I65" s="73">
        <f>+'4. Dr Gáspár HSZK'!I95</f>
        <v>4348032</v>
      </c>
      <c r="J65" s="73">
        <f>+'4. Dr Gáspár HSZK'!J95</f>
        <v>0</v>
      </c>
      <c r="K65" s="73"/>
      <c r="L65" s="710">
        <f t="shared" si="68"/>
        <v>0.36609592123769341</v>
      </c>
      <c r="M65" s="710">
        <f t="shared" si="69"/>
        <v>0.61153755274261601</v>
      </c>
      <c r="N65" s="749">
        <f t="shared" si="70"/>
        <v>0</v>
      </c>
      <c r="O65" s="692"/>
      <c r="P65" s="501">
        <f>+'4. Dr Gáspár HSZK'!P95</f>
        <v>0</v>
      </c>
      <c r="Q65" s="73">
        <f>+'4. Dr Gáspár HSZK'!Q95</f>
        <v>0</v>
      </c>
      <c r="R65" s="73">
        <f>+'4. Dr Gáspár HSZK'!R95</f>
        <v>0</v>
      </c>
      <c r="S65" s="73">
        <f t="shared" si="71"/>
        <v>0</v>
      </c>
      <c r="T65" s="502"/>
      <c r="U65" s="74"/>
    </row>
    <row r="66" spans="1:21" x14ac:dyDescent="0.25">
      <c r="B66" s="56" t="str">
        <f t="shared" si="67"/>
        <v>SÜLYSÁPI CSICSERGŐ ÓVODA</v>
      </c>
      <c r="C66" s="501">
        <f>+'5. Csicsergő'!C95</f>
        <v>0</v>
      </c>
      <c r="D66" s="73">
        <f>+'5. Csicsergő'!D95</f>
        <v>0</v>
      </c>
      <c r="E66" s="73">
        <f>+'5. Csicsergő'!E95</f>
        <v>0</v>
      </c>
      <c r="F66" s="462">
        <f>+'5. Csicsergő'!F95</f>
        <v>0</v>
      </c>
      <c r="G66" s="73"/>
      <c r="H66" s="501">
        <f>+'5. Csicsergő'!H95</f>
        <v>1422</v>
      </c>
      <c r="I66" s="73">
        <f>+'5. Csicsergő'!I95</f>
        <v>2093</v>
      </c>
      <c r="J66" s="73">
        <f>+'5. Csicsergő'!J95</f>
        <v>0</v>
      </c>
      <c r="K66" s="73"/>
      <c r="L66" s="710">
        <f t="shared" si="68"/>
        <v>0</v>
      </c>
      <c r="M66" s="710">
        <f t="shared" si="69"/>
        <v>0</v>
      </c>
      <c r="N66" s="749">
        <f t="shared" si="70"/>
        <v>0</v>
      </c>
      <c r="O66" s="692"/>
      <c r="P66" s="501">
        <f>+'5. Csicsergő'!P95</f>
        <v>0</v>
      </c>
      <c r="Q66" s="73">
        <f>+'5. Csicsergő'!Q95</f>
        <v>0</v>
      </c>
      <c r="R66" s="73">
        <f>+'5. Csicsergő'!R95</f>
        <v>0</v>
      </c>
      <c r="S66" s="73">
        <f t="shared" si="71"/>
        <v>0</v>
      </c>
      <c r="T66" s="502"/>
      <c r="U66" s="74"/>
    </row>
    <row r="67" spans="1:21" x14ac:dyDescent="0.25">
      <c r="B67" s="56" t="str">
        <f t="shared" si="67"/>
        <v>GÓLYAHÍR BÖLCSŐDE</v>
      </c>
      <c r="C67" s="501">
        <f>+'6. Gólyahír'!C95</f>
        <v>3610000</v>
      </c>
      <c r="D67" s="73">
        <f>+'6. Gólyahír'!D95</f>
        <v>3610000</v>
      </c>
      <c r="E67" s="73">
        <f>+'6. Gólyahír'!E95</f>
        <v>3610000</v>
      </c>
      <c r="F67" s="462">
        <f>+'6. Gólyahír'!F95</f>
        <v>0</v>
      </c>
      <c r="G67" s="73"/>
      <c r="H67" s="501">
        <f>+'6. Gólyahír'!H95</f>
        <v>1730005</v>
      </c>
      <c r="I67" s="73">
        <f>+'6. Gólyahír'!I95</f>
        <v>2811829</v>
      </c>
      <c r="J67" s="73">
        <f>+'6. Gólyahír'!J95</f>
        <v>0</v>
      </c>
      <c r="K67" s="73"/>
      <c r="L67" s="710">
        <f t="shared" si="68"/>
        <v>0.4792257617728532</v>
      </c>
      <c r="M67" s="710">
        <f t="shared" si="69"/>
        <v>0.77890000000000004</v>
      </c>
      <c r="N67" s="749">
        <f t="shared" si="70"/>
        <v>0</v>
      </c>
      <c r="O67" s="692"/>
      <c r="P67" s="501">
        <f>+'6. Gólyahír'!P95</f>
        <v>0</v>
      </c>
      <c r="Q67" s="73">
        <f>+'6. Gólyahír'!Q95</f>
        <v>0</v>
      </c>
      <c r="R67" s="73">
        <f>+'6. Gólyahír'!R95</f>
        <v>0</v>
      </c>
      <c r="S67" s="73">
        <f t="shared" si="71"/>
        <v>0</v>
      </c>
      <c r="T67" s="502"/>
      <c r="U67" s="74"/>
    </row>
    <row r="68" spans="1:21" x14ac:dyDescent="0.25">
      <c r="B68" s="56" t="str">
        <f t="shared" si="67"/>
        <v>POLGÁRMESTERI HIVATAL</v>
      </c>
      <c r="C68" s="501">
        <f>+'7. Polg.Hiv.'!C95</f>
        <v>10000</v>
      </c>
      <c r="D68" s="73">
        <f>+'7. Polg.Hiv.'!D95</f>
        <v>10000</v>
      </c>
      <c r="E68" s="73">
        <f>+'7. Polg.Hiv.'!E95</f>
        <v>10000</v>
      </c>
      <c r="F68" s="462">
        <f>+'7. Polg.Hiv.'!F95</f>
        <v>0</v>
      </c>
      <c r="G68" s="73"/>
      <c r="H68" s="501">
        <f>+'7. Polg.Hiv.'!H95</f>
        <v>2119</v>
      </c>
      <c r="I68" s="73">
        <f>+'7. Polg.Hiv.'!I95</f>
        <v>3754</v>
      </c>
      <c r="J68" s="73">
        <f>+'7. Polg.Hiv.'!J95</f>
        <v>0</v>
      </c>
      <c r="K68" s="73"/>
      <c r="L68" s="710">
        <f t="shared" si="68"/>
        <v>0.21190000000000001</v>
      </c>
      <c r="M68" s="710">
        <f t="shared" si="69"/>
        <v>0.37540000000000001</v>
      </c>
      <c r="N68" s="749">
        <f t="shared" si="70"/>
        <v>0</v>
      </c>
      <c r="O68" s="692"/>
      <c r="P68" s="501">
        <f>+'7. Polg.Hiv.'!P95</f>
        <v>0</v>
      </c>
      <c r="Q68" s="73">
        <f>+'7. Polg.Hiv.'!Q95</f>
        <v>0</v>
      </c>
      <c r="R68" s="73">
        <f>+'7. Polg.Hiv.'!R95</f>
        <v>0</v>
      </c>
      <c r="S68" s="73">
        <f t="shared" si="71"/>
        <v>0</v>
      </c>
      <c r="T68" s="502"/>
      <c r="U68" s="74"/>
    </row>
    <row r="69" spans="1:21" x14ac:dyDescent="0.25">
      <c r="B69" s="56" t="str">
        <f t="shared" si="67"/>
        <v>Wass Albert Művelődési Központ és Könyvtár</v>
      </c>
      <c r="C69" s="501">
        <f>+'8. WAMKK'!C95</f>
        <v>1221000</v>
      </c>
      <c r="D69" s="73">
        <f>+'8. WAMKK'!D95</f>
        <v>1221000</v>
      </c>
      <c r="E69" s="73">
        <f>+'8. WAMKK'!E95</f>
        <v>1221000</v>
      </c>
      <c r="F69" s="462">
        <f>+'8. WAMKK'!F95</f>
        <v>0</v>
      </c>
      <c r="G69" s="73"/>
      <c r="H69" s="501">
        <f>+'8. WAMKK'!H95</f>
        <v>718358</v>
      </c>
      <c r="I69" s="73">
        <f>+'8. WAMKK'!I95</f>
        <v>943177</v>
      </c>
      <c r="J69" s="73">
        <f>+'8. WAMKK'!J95</f>
        <v>0</v>
      </c>
      <c r="K69" s="73"/>
      <c r="L69" s="710">
        <f t="shared" si="68"/>
        <v>0.58833579033579031</v>
      </c>
      <c r="M69" s="710">
        <f t="shared" si="69"/>
        <v>0.77246273546273547</v>
      </c>
      <c r="N69" s="749">
        <f t="shared" si="70"/>
        <v>0</v>
      </c>
      <c r="O69" s="692"/>
      <c r="P69" s="501">
        <f>+'8. WAMKK'!P95</f>
        <v>0</v>
      </c>
      <c r="Q69" s="73">
        <f>+'8. WAMKK'!Q95</f>
        <v>0</v>
      </c>
      <c r="R69" s="73">
        <f>+'8. WAMKK'!R95</f>
        <v>0</v>
      </c>
      <c r="S69" s="73">
        <f t="shared" si="71"/>
        <v>0</v>
      </c>
      <c r="T69" s="502"/>
      <c r="U69" s="74"/>
    </row>
    <row r="70" spans="1:21" x14ac:dyDescent="0.25">
      <c r="B70" s="56" t="str">
        <f t="shared" si="67"/>
        <v>Központi Konyha</v>
      </c>
      <c r="C70" s="501">
        <f>+'9. Közp. Konyha'!C95</f>
        <v>30135000</v>
      </c>
      <c r="D70" s="73">
        <f>+'9. Közp. Konyha'!D95</f>
        <v>30135000</v>
      </c>
      <c r="E70" s="73">
        <f>+'9. Közp. Konyha'!E95</f>
        <v>30135000</v>
      </c>
      <c r="F70" s="462">
        <f>+'9. Közp. Konyha'!F95</f>
        <v>0</v>
      </c>
      <c r="G70" s="73"/>
      <c r="H70" s="501">
        <f>+'9. Közp. Konyha'!H95</f>
        <v>13819359</v>
      </c>
      <c r="I70" s="73">
        <f>+'9. Közp. Konyha'!I95</f>
        <v>18954964</v>
      </c>
      <c r="J70" s="73">
        <f>+'9. Közp. Konyha'!J95</f>
        <v>0</v>
      </c>
      <c r="K70" s="73"/>
      <c r="L70" s="710">
        <f t="shared" si="68"/>
        <v>0.45858168242906922</v>
      </c>
      <c r="M70" s="710">
        <f t="shared" si="69"/>
        <v>0.6290016260162602</v>
      </c>
      <c r="N70" s="749">
        <f t="shared" si="70"/>
        <v>0</v>
      </c>
      <c r="O70" s="692"/>
      <c r="P70" s="501">
        <f>+'9. Közp. Konyha'!P95</f>
        <v>0</v>
      </c>
      <c r="Q70" s="73">
        <f>+'9. Közp. Konyha'!Q95</f>
        <v>0</v>
      </c>
      <c r="R70" s="73">
        <f>+'9. Közp. Konyha'!R95</f>
        <v>0</v>
      </c>
      <c r="S70" s="73">
        <f t="shared" si="71"/>
        <v>0</v>
      </c>
      <c r="T70" s="502"/>
      <c r="U70" s="74"/>
    </row>
    <row r="71" spans="1:21" ht="8.1" customHeight="1" x14ac:dyDescent="0.25">
      <c r="B71" s="386" t="s">
        <v>453</v>
      </c>
      <c r="C71" s="503"/>
      <c r="D71" s="385"/>
      <c r="E71" s="385"/>
      <c r="F71" s="514"/>
      <c r="G71" s="385"/>
      <c r="H71" s="503"/>
      <c r="I71" s="385"/>
      <c r="J71" s="385"/>
      <c r="K71" s="385"/>
      <c r="L71" s="750"/>
      <c r="M71" s="750"/>
      <c r="N71" s="751"/>
      <c r="O71" s="744"/>
      <c r="P71" s="503"/>
      <c r="Q71" s="385"/>
      <c r="R71" s="385"/>
      <c r="S71" s="385"/>
      <c r="T71" s="502"/>
      <c r="U71" s="74"/>
    </row>
    <row r="72" spans="1:21" x14ac:dyDescent="0.25">
      <c r="A72" s="387" t="str">
        <f>+A63</f>
        <v>B4</v>
      </c>
      <c r="B72" s="367" t="s">
        <v>447</v>
      </c>
      <c r="C72" s="504">
        <f>SUM(C64:C71)</f>
        <v>270513649</v>
      </c>
      <c r="D72" s="368">
        <f t="shared" ref="D72" si="72">SUM(D64:D71)</f>
        <v>330513649</v>
      </c>
      <c r="E72" s="368">
        <f t="shared" ref="E72" si="73">SUM(E64:E71)</f>
        <v>369819560</v>
      </c>
      <c r="F72" s="515">
        <f t="shared" ref="F72" si="74">SUM(F64:F71)</f>
        <v>0</v>
      </c>
      <c r="G72" s="368"/>
      <c r="H72" s="504">
        <f>SUM(H64:H71)</f>
        <v>256456899</v>
      </c>
      <c r="I72" s="368">
        <f t="shared" ref="I72" si="75">SUM(I64:I71)</f>
        <v>331572601</v>
      </c>
      <c r="J72" s="368">
        <f t="shared" ref="J72" si="76">SUM(J64:J71)</f>
        <v>0</v>
      </c>
      <c r="K72" s="368"/>
      <c r="L72" s="752">
        <f t="shared" ref="L72" si="77">IF(D72=0,0,H72/D72)</f>
        <v>0.77593436693441975</v>
      </c>
      <c r="M72" s="752">
        <f t="shared" ref="M72" si="78">IF(E72=0,0,I72/E72)</f>
        <v>0.89657940483191312</v>
      </c>
      <c r="N72" s="753">
        <f t="shared" ref="N72" si="79">IF(F72=0,0,J72/F72)</f>
        <v>0</v>
      </c>
      <c r="O72" s="745"/>
      <c r="P72" s="504">
        <f>SUM(P64:P71)</f>
        <v>60000000</v>
      </c>
      <c r="Q72" s="368">
        <f t="shared" ref="Q72" si="80">SUM(Q64:Q71)</f>
        <v>39305911</v>
      </c>
      <c r="R72" s="368">
        <f t="shared" ref="R72" si="81">SUM(R64:R71)</f>
        <v>0</v>
      </c>
      <c r="S72" s="368">
        <f>+P72*P$8+Q72*Q$8+R72*R$8</f>
        <v>99305911</v>
      </c>
      <c r="T72" s="502"/>
      <c r="U72" s="74"/>
    </row>
    <row r="73" spans="1:21" x14ac:dyDescent="0.25">
      <c r="C73" s="505"/>
      <c r="F73" s="460"/>
      <c r="H73" s="505"/>
      <c r="L73" s="710"/>
      <c r="M73" s="710"/>
      <c r="N73" s="749"/>
      <c r="O73" s="693"/>
      <c r="P73" s="505"/>
      <c r="T73" s="502"/>
    </row>
    <row r="74" spans="1:21" x14ac:dyDescent="0.25">
      <c r="C74" s="505"/>
      <c r="F74" s="460"/>
      <c r="H74" s="505"/>
      <c r="L74" s="710"/>
      <c r="M74" s="710"/>
      <c r="N74" s="749"/>
      <c r="O74" s="693"/>
      <c r="P74" s="505"/>
      <c r="T74" s="502"/>
    </row>
    <row r="75" spans="1:21" x14ac:dyDescent="0.25">
      <c r="A75" s="322" t="s">
        <v>310</v>
      </c>
      <c r="B75" s="322" t="str">
        <f>+B17</f>
        <v>Felhalmozási bevételek</v>
      </c>
      <c r="C75" s="501"/>
      <c r="D75" s="74"/>
      <c r="E75" s="74"/>
      <c r="F75" s="527"/>
      <c r="G75" s="74"/>
      <c r="H75" s="501"/>
      <c r="K75" s="74"/>
      <c r="L75" s="708"/>
      <c r="M75" s="708"/>
      <c r="N75" s="749"/>
      <c r="O75" s="700"/>
      <c r="P75" s="501"/>
      <c r="Q75" s="73"/>
      <c r="R75" s="73"/>
      <c r="S75" s="73"/>
      <c r="T75" s="502"/>
      <c r="U75" s="74"/>
    </row>
    <row r="76" spans="1:21" x14ac:dyDescent="0.25">
      <c r="B76" s="56" t="str">
        <f t="shared" ref="B76:B82" si="82">+B64</f>
        <v>Sülysáp Város Önkormányzata</v>
      </c>
      <c r="C76" s="501">
        <f>+' 2. Önk. Bevételek'!C67</f>
        <v>99395520</v>
      </c>
      <c r="D76" s="73">
        <f>+' 2. Önk. Bevételek'!D67</f>
        <v>99395520</v>
      </c>
      <c r="E76" s="73">
        <f>+' 2. Önk. Bevételek'!E67</f>
        <v>60089609</v>
      </c>
      <c r="F76" s="462">
        <f>+' 2. Önk. Bevételek'!F67</f>
        <v>0</v>
      </c>
      <c r="G76" s="74"/>
      <c r="H76" s="501">
        <f>+' 2. Önk. Bevételek'!H67</f>
        <v>24370866</v>
      </c>
      <c r="I76" s="73">
        <f>+' 2. Önk. Bevételek'!I67</f>
        <v>27956388</v>
      </c>
      <c r="J76" s="73">
        <f>+' 2. Önk. Bevételek'!J67</f>
        <v>0</v>
      </c>
      <c r="K76" s="74"/>
      <c r="L76" s="710">
        <f t="shared" ref="L76:L82" si="83">IF(D76=0,0,H76/D76)</f>
        <v>0.24519078928305824</v>
      </c>
      <c r="M76" s="710">
        <f t="shared" ref="M76:M82" si="84">IF(E76=0,0,I76/E76)</f>
        <v>0.46524496439975171</v>
      </c>
      <c r="N76" s="749">
        <f t="shared" ref="N76:N82" si="85">IF(F76=0,0,J76/F76)</f>
        <v>0</v>
      </c>
      <c r="O76" s="700"/>
      <c r="P76" s="501">
        <f>+' 2. Önk. Bevételek'!P67</f>
        <v>0</v>
      </c>
      <c r="Q76" s="73">
        <f>+' 2. Önk. Bevételek'!Q67</f>
        <v>-39305911</v>
      </c>
      <c r="R76" s="73">
        <f>+' 2. Önk. Bevételek'!R67</f>
        <v>0</v>
      </c>
      <c r="S76" s="73">
        <f t="shared" ref="S76:S82" si="86">+P76*P$8+Q76*Q$8+R76*R$8</f>
        <v>-39305911</v>
      </c>
      <c r="T76" s="502"/>
      <c r="U76" s="74"/>
    </row>
    <row r="77" spans="1:21" x14ac:dyDescent="0.25">
      <c r="A77" s="56"/>
      <c r="B77" s="56" t="str">
        <f t="shared" si="82"/>
        <v>Dr. Gáspár István HSZK</v>
      </c>
      <c r="C77" s="501"/>
      <c r="D77" s="73"/>
      <c r="E77" s="73"/>
      <c r="F77" s="462"/>
      <c r="G77" s="73"/>
      <c r="H77" s="501"/>
      <c r="I77" s="73"/>
      <c r="J77" s="73"/>
      <c r="K77" s="73"/>
      <c r="L77" s="710">
        <f t="shared" si="83"/>
        <v>0</v>
      </c>
      <c r="M77" s="710">
        <f t="shared" si="84"/>
        <v>0</v>
      </c>
      <c r="N77" s="749">
        <f t="shared" si="85"/>
        <v>0</v>
      </c>
      <c r="O77" s="692"/>
      <c r="P77" s="501"/>
      <c r="Q77" s="73"/>
      <c r="R77" s="73"/>
      <c r="S77" s="73">
        <f t="shared" si="86"/>
        <v>0</v>
      </c>
      <c r="T77" s="502"/>
      <c r="U77" s="74"/>
    </row>
    <row r="78" spans="1:21" x14ac:dyDescent="0.25">
      <c r="B78" s="56" t="str">
        <f t="shared" si="82"/>
        <v>SÜLYSÁPI CSICSERGŐ ÓVODA</v>
      </c>
      <c r="C78" s="501"/>
      <c r="D78" s="73"/>
      <c r="E78" s="73"/>
      <c r="F78" s="462"/>
      <c r="G78" s="73"/>
      <c r="H78" s="501"/>
      <c r="I78" s="73"/>
      <c r="J78" s="73"/>
      <c r="K78" s="73"/>
      <c r="L78" s="710">
        <f t="shared" si="83"/>
        <v>0</v>
      </c>
      <c r="M78" s="710">
        <f t="shared" si="84"/>
        <v>0</v>
      </c>
      <c r="N78" s="749">
        <f t="shared" si="85"/>
        <v>0</v>
      </c>
      <c r="O78" s="692"/>
      <c r="P78" s="501"/>
      <c r="Q78" s="73"/>
      <c r="R78" s="73"/>
      <c r="S78" s="73">
        <f t="shared" si="86"/>
        <v>0</v>
      </c>
      <c r="T78" s="502"/>
      <c r="U78" s="74"/>
    </row>
    <row r="79" spans="1:21" x14ac:dyDescent="0.25">
      <c r="B79" s="56" t="str">
        <f t="shared" si="82"/>
        <v>GÓLYAHÍR BÖLCSŐDE</v>
      </c>
      <c r="C79" s="501"/>
      <c r="D79" s="73"/>
      <c r="E79" s="73"/>
      <c r="F79" s="462"/>
      <c r="G79" s="73"/>
      <c r="H79" s="501"/>
      <c r="I79" s="73"/>
      <c r="J79" s="73"/>
      <c r="K79" s="73"/>
      <c r="L79" s="710">
        <f t="shared" si="83"/>
        <v>0</v>
      </c>
      <c r="M79" s="710">
        <f t="shared" si="84"/>
        <v>0</v>
      </c>
      <c r="N79" s="749">
        <f t="shared" si="85"/>
        <v>0</v>
      </c>
      <c r="O79" s="692"/>
      <c r="P79" s="501"/>
      <c r="Q79" s="73"/>
      <c r="R79" s="73"/>
      <c r="S79" s="73">
        <f t="shared" si="86"/>
        <v>0</v>
      </c>
      <c r="T79" s="502"/>
      <c r="U79" s="74"/>
    </row>
    <row r="80" spans="1:21" x14ac:dyDescent="0.25">
      <c r="B80" s="56" t="str">
        <f t="shared" si="82"/>
        <v>POLGÁRMESTERI HIVATAL</v>
      </c>
      <c r="C80" s="501"/>
      <c r="D80" s="73"/>
      <c r="E80" s="73"/>
      <c r="F80" s="462"/>
      <c r="G80" s="73"/>
      <c r="H80" s="501"/>
      <c r="I80" s="73"/>
      <c r="J80" s="73"/>
      <c r="K80" s="73"/>
      <c r="L80" s="710">
        <f t="shared" si="83"/>
        <v>0</v>
      </c>
      <c r="M80" s="710">
        <f t="shared" si="84"/>
        <v>0</v>
      </c>
      <c r="N80" s="749">
        <f t="shared" si="85"/>
        <v>0</v>
      </c>
      <c r="O80" s="692"/>
      <c r="P80" s="501"/>
      <c r="Q80" s="73"/>
      <c r="R80" s="73"/>
      <c r="S80" s="73">
        <f t="shared" si="86"/>
        <v>0</v>
      </c>
      <c r="T80" s="502"/>
      <c r="U80" s="74"/>
    </row>
    <row r="81" spans="1:21" x14ac:dyDescent="0.25">
      <c r="B81" s="56" t="str">
        <f t="shared" si="82"/>
        <v>Wass Albert Művelődési Központ és Könyvtár</v>
      </c>
      <c r="C81" s="501"/>
      <c r="D81" s="73"/>
      <c r="E81" s="73"/>
      <c r="F81" s="462"/>
      <c r="G81" s="73"/>
      <c r="H81" s="501"/>
      <c r="I81" s="73"/>
      <c r="J81" s="73"/>
      <c r="K81" s="73"/>
      <c r="L81" s="710">
        <f t="shared" si="83"/>
        <v>0</v>
      </c>
      <c r="M81" s="710">
        <f t="shared" si="84"/>
        <v>0</v>
      </c>
      <c r="N81" s="749">
        <f t="shared" si="85"/>
        <v>0</v>
      </c>
      <c r="O81" s="692"/>
      <c r="P81" s="501"/>
      <c r="Q81" s="73"/>
      <c r="R81" s="73"/>
      <c r="S81" s="73">
        <f t="shared" si="86"/>
        <v>0</v>
      </c>
      <c r="T81" s="502"/>
      <c r="U81" s="74"/>
    </row>
    <row r="82" spans="1:21" x14ac:dyDescent="0.25">
      <c r="B82" s="56" t="str">
        <f t="shared" si="82"/>
        <v>Központi Konyha</v>
      </c>
      <c r="C82" s="501"/>
      <c r="D82" s="73"/>
      <c r="E82" s="73"/>
      <c r="F82" s="462"/>
      <c r="G82" s="73"/>
      <c r="H82" s="501"/>
      <c r="I82" s="73"/>
      <c r="J82" s="73"/>
      <c r="K82" s="73"/>
      <c r="L82" s="710">
        <f t="shared" si="83"/>
        <v>0</v>
      </c>
      <c r="M82" s="710">
        <f t="shared" si="84"/>
        <v>0</v>
      </c>
      <c r="N82" s="749">
        <f t="shared" si="85"/>
        <v>0</v>
      </c>
      <c r="O82" s="692"/>
      <c r="P82" s="501"/>
      <c r="Q82" s="73"/>
      <c r="R82" s="73"/>
      <c r="S82" s="73">
        <f t="shared" si="86"/>
        <v>0</v>
      </c>
      <c r="T82" s="502"/>
      <c r="U82" s="74"/>
    </row>
    <row r="83" spans="1:21" ht="8.1" customHeight="1" x14ac:dyDescent="0.25">
      <c r="B83" s="386" t="s">
        <v>453</v>
      </c>
      <c r="C83" s="503"/>
      <c r="D83" s="385"/>
      <c r="E83" s="385"/>
      <c r="F83" s="514"/>
      <c r="G83" s="385"/>
      <c r="H83" s="503"/>
      <c r="I83" s="385"/>
      <c r="J83" s="385"/>
      <c r="K83" s="385"/>
      <c r="L83" s="750"/>
      <c r="M83" s="750"/>
      <c r="N83" s="751"/>
      <c r="O83" s="744"/>
      <c r="P83" s="503"/>
      <c r="Q83" s="385"/>
      <c r="R83" s="385"/>
      <c r="S83" s="385"/>
      <c r="T83" s="502"/>
      <c r="U83" s="74"/>
    </row>
    <row r="84" spans="1:21" x14ac:dyDescent="0.25">
      <c r="A84" s="387" t="str">
        <f>+A75</f>
        <v>B5</v>
      </c>
      <c r="B84" s="367" t="s">
        <v>447</v>
      </c>
      <c r="C84" s="504">
        <f>SUM(C76:C83)</f>
        <v>99395520</v>
      </c>
      <c r="D84" s="368">
        <f t="shared" ref="D84" si="87">SUM(D76:D83)</f>
        <v>99395520</v>
      </c>
      <c r="E84" s="368">
        <f t="shared" ref="E84" si="88">SUM(E76:E83)</f>
        <v>60089609</v>
      </c>
      <c r="F84" s="515">
        <f t="shared" ref="F84" si="89">SUM(F76:F83)</f>
        <v>0</v>
      </c>
      <c r="G84" s="368"/>
      <c r="H84" s="504">
        <f>SUM(H76:H83)</f>
        <v>24370866</v>
      </c>
      <c r="I84" s="368">
        <f t="shared" ref="I84" si="90">SUM(I76:I83)</f>
        <v>27956388</v>
      </c>
      <c r="J84" s="368">
        <f t="shared" ref="J84" si="91">SUM(J76:J83)</f>
        <v>0</v>
      </c>
      <c r="K84" s="368"/>
      <c r="L84" s="752">
        <f t="shared" ref="L84" si="92">IF(D84=0,0,H84/D84)</f>
        <v>0.24519078928305824</v>
      </c>
      <c r="M84" s="752">
        <f t="shared" ref="M84" si="93">IF(E84=0,0,I84/E84)</f>
        <v>0.46524496439975171</v>
      </c>
      <c r="N84" s="753">
        <f t="shared" ref="N84" si="94">IF(F84=0,0,J84/F84)</f>
        <v>0</v>
      </c>
      <c r="O84" s="745"/>
      <c r="P84" s="504">
        <f>SUM(P76:P83)</f>
        <v>0</v>
      </c>
      <c r="Q84" s="368">
        <f t="shared" ref="Q84" si="95">SUM(Q76:Q83)</f>
        <v>-39305911</v>
      </c>
      <c r="R84" s="368">
        <f t="shared" ref="R84" si="96">SUM(R76:R83)</f>
        <v>0</v>
      </c>
      <c r="S84" s="368">
        <f>+P84*P$8+Q84*Q$8+R84*R$8</f>
        <v>-39305911</v>
      </c>
      <c r="T84" s="502"/>
      <c r="U84" s="74"/>
    </row>
    <row r="85" spans="1:21" x14ac:dyDescent="0.25">
      <c r="C85" s="505"/>
      <c r="F85" s="460"/>
      <c r="H85" s="505"/>
      <c r="L85" s="710"/>
      <c r="M85" s="710"/>
      <c r="N85" s="749"/>
      <c r="O85" s="693"/>
      <c r="P85" s="505"/>
      <c r="T85" s="502"/>
    </row>
    <row r="86" spans="1:21" x14ac:dyDescent="0.25">
      <c r="C86" s="505"/>
      <c r="F86" s="460"/>
      <c r="H86" s="505"/>
      <c r="L86" s="710"/>
      <c r="M86" s="710"/>
      <c r="N86" s="749"/>
      <c r="O86" s="693"/>
      <c r="P86" s="505"/>
      <c r="T86" s="502"/>
    </row>
    <row r="87" spans="1:21" x14ac:dyDescent="0.25">
      <c r="A87" s="322" t="s">
        <v>320</v>
      </c>
      <c r="B87" s="384" t="str">
        <f>+B18</f>
        <v>Működési célú átvett pénzeszközök</v>
      </c>
      <c r="C87" s="501"/>
      <c r="D87" s="74"/>
      <c r="E87" s="74"/>
      <c r="F87" s="527"/>
      <c r="G87" s="74"/>
      <c r="H87" s="501"/>
      <c r="K87" s="74"/>
      <c r="L87" s="708"/>
      <c r="M87" s="708"/>
      <c r="N87" s="749"/>
      <c r="O87" s="700"/>
      <c r="P87" s="501"/>
      <c r="Q87" s="73"/>
      <c r="R87" s="73"/>
      <c r="S87" s="73"/>
      <c r="T87" s="502"/>
      <c r="U87" s="74"/>
    </row>
    <row r="88" spans="1:21" x14ac:dyDescent="0.25">
      <c r="B88" s="56" t="str">
        <f t="shared" ref="B88:B94" si="97">+B76</f>
        <v>Sülysáp Város Önkormányzata</v>
      </c>
      <c r="C88" s="501">
        <f>+' 2. Önk. Bevételek'!C72</f>
        <v>0</v>
      </c>
      <c r="D88" s="73">
        <f>+' 2. Önk. Bevételek'!D72</f>
        <v>0</v>
      </c>
      <c r="E88" s="73">
        <f>+' 2. Önk. Bevételek'!E72</f>
        <v>10037947</v>
      </c>
      <c r="F88" s="462">
        <f>+' 2. Önk. Bevételek'!F72</f>
        <v>0</v>
      </c>
      <c r="G88" s="74"/>
      <c r="H88" s="501">
        <f>+' 2. Önk. Bevételek'!H72</f>
        <v>0</v>
      </c>
      <c r="I88" s="73">
        <f>+' 2. Önk. Bevételek'!I72</f>
        <v>0</v>
      </c>
      <c r="J88" s="73">
        <f>+' 2. Önk. Bevételek'!J72</f>
        <v>0</v>
      </c>
      <c r="K88" s="74"/>
      <c r="L88" s="710">
        <f t="shared" ref="L88:L94" si="98">IF(D88=0,0,H88/D88)</f>
        <v>0</v>
      </c>
      <c r="M88" s="710">
        <f t="shared" ref="M88:M94" si="99">IF(E88=0,0,I88/E88)</f>
        <v>0</v>
      </c>
      <c r="N88" s="749">
        <f t="shared" ref="N88:N94" si="100">IF(F88=0,0,J88/F88)</f>
        <v>0</v>
      </c>
      <c r="O88" s="700"/>
      <c r="P88" s="501">
        <f>+' 2. Önk. Bevételek'!P72</f>
        <v>0</v>
      </c>
      <c r="Q88" s="73">
        <f>+' 2. Önk. Bevételek'!Q72</f>
        <v>10037947</v>
      </c>
      <c r="R88" s="73">
        <f>+' 2. Önk. Bevételek'!R72</f>
        <v>0</v>
      </c>
      <c r="S88" s="73">
        <f t="shared" ref="S88:S94" si="101">+P88*P$8+Q88*Q$8+R88*R$8</f>
        <v>10037947</v>
      </c>
      <c r="T88" s="502"/>
      <c r="U88" s="74"/>
    </row>
    <row r="89" spans="1:21" x14ac:dyDescent="0.25">
      <c r="A89" s="56"/>
      <c r="B89" s="56" t="str">
        <f t="shared" si="97"/>
        <v>Dr. Gáspár István HSZK</v>
      </c>
      <c r="C89" s="501"/>
      <c r="D89" s="73"/>
      <c r="E89" s="73"/>
      <c r="F89" s="462"/>
      <c r="G89" s="73"/>
      <c r="H89" s="501"/>
      <c r="I89" s="73"/>
      <c r="J89" s="73"/>
      <c r="K89" s="73"/>
      <c r="L89" s="710">
        <f t="shared" si="98"/>
        <v>0</v>
      </c>
      <c r="M89" s="710">
        <f t="shared" si="99"/>
        <v>0</v>
      </c>
      <c r="N89" s="749">
        <f t="shared" si="100"/>
        <v>0</v>
      </c>
      <c r="O89" s="692"/>
      <c r="P89" s="501"/>
      <c r="Q89" s="73"/>
      <c r="R89" s="73"/>
      <c r="S89" s="73">
        <f t="shared" si="101"/>
        <v>0</v>
      </c>
      <c r="T89" s="502"/>
      <c r="U89" s="74"/>
    </row>
    <row r="90" spans="1:21" x14ac:dyDescent="0.25">
      <c r="B90" s="56" t="str">
        <f t="shared" si="97"/>
        <v>SÜLYSÁPI CSICSERGŐ ÓVODA</v>
      </c>
      <c r="C90" s="501"/>
      <c r="D90" s="73"/>
      <c r="E90" s="73"/>
      <c r="F90" s="462"/>
      <c r="G90" s="73"/>
      <c r="H90" s="501"/>
      <c r="I90" s="73"/>
      <c r="J90" s="73"/>
      <c r="K90" s="73"/>
      <c r="L90" s="710">
        <f t="shared" si="98"/>
        <v>0</v>
      </c>
      <c r="M90" s="710">
        <f t="shared" si="99"/>
        <v>0</v>
      </c>
      <c r="N90" s="749">
        <f t="shared" si="100"/>
        <v>0</v>
      </c>
      <c r="O90" s="692"/>
      <c r="P90" s="501"/>
      <c r="Q90" s="73"/>
      <c r="R90" s="73"/>
      <c r="S90" s="73">
        <f t="shared" si="101"/>
        <v>0</v>
      </c>
      <c r="T90" s="502"/>
      <c r="U90" s="74"/>
    </row>
    <row r="91" spans="1:21" x14ac:dyDescent="0.25">
      <c r="B91" s="56" t="str">
        <f t="shared" si="97"/>
        <v>GÓLYAHÍR BÖLCSŐDE</v>
      </c>
      <c r="C91" s="501"/>
      <c r="D91" s="73"/>
      <c r="E91" s="73"/>
      <c r="F91" s="462"/>
      <c r="G91" s="73"/>
      <c r="H91" s="501"/>
      <c r="I91" s="73"/>
      <c r="J91" s="73"/>
      <c r="K91" s="73"/>
      <c r="L91" s="710">
        <f t="shared" si="98"/>
        <v>0</v>
      </c>
      <c r="M91" s="710">
        <f t="shared" si="99"/>
        <v>0</v>
      </c>
      <c r="N91" s="749">
        <f t="shared" si="100"/>
        <v>0</v>
      </c>
      <c r="O91" s="692"/>
      <c r="P91" s="501"/>
      <c r="Q91" s="73"/>
      <c r="R91" s="73"/>
      <c r="S91" s="73">
        <f t="shared" si="101"/>
        <v>0</v>
      </c>
      <c r="T91" s="502"/>
      <c r="U91" s="74"/>
    </row>
    <row r="92" spans="1:21" x14ac:dyDescent="0.25">
      <c r="B92" s="56" t="str">
        <f t="shared" si="97"/>
        <v>POLGÁRMESTERI HIVATAL</v>
      </c>
      <c r="C92" s="501"/>
      <c r="D92" s="73"/>
      <c r="E92" s="73"/>
      <c r="F92" s="462"/>
      <c r="G92" s="73"/>
      <c r="H92" s="501"/>
      <c r="I92" s="73"/>
      <c r="J92" s="73"/>
      <c r="K92" s="73"/>
      <c r="L92" s="710">
        <f t="shared" si="98"/>
        <v>0</v>
      </c>
      <c r="M92" s="710">
        <f t="shared" si="99"/>
        <v>0</v>
      </c>
      <c r="N92" s="749">
        <f t="shared" si="100"/>
        <v>0</v>
      </c>
      <c r="O92" s="692"/>
      <c r="P92" s="501"/>
      <c r="Q92" s="73"/>
      <c r="R92" s="73"/>
      <c r="S92" s="73">
        <f t="shared" si="101"/>
        <v>0</v>
      </c>
      <c r="T92" s="502"/>
      <c r="U92" s="74"/>
    </row>
    <row r="93" spans="1:21" x14ac:dyDescent="0.25">
      <c r="B93" s="56" t="str">
        <f t="shared" si="97"/>
        <v>Wass Albert Művelődési Központ és Könyvtár</v>
      </c>
      <c r="C93" s="501"/>
      <c r="D93" s="73"/>
      <c r="E93" s="73"/>
      <c r="F93" s="462"/>
      <c r="G93" s="73"/>
      <c r="H93" s="501"/>
      <c r="I93" s="73"/>
      <c r="J93" s="73"/>
      <c r="K93" s="73"/>
      <c r="L93" s="710">
        <f t="shared" si="98"/>
        <v>0</v>
      </c>
      <c r="M93" s="710">
        <f t="shared" si="99"/>
        <v>0</v>
      </c>
      <c r="N93" s="749">
        <f t="shared" si="100"/>
        <v>0</v>
      </c>
      <c r="O93" s="692"/>
      <c r="P93" s="501"/>
      <c r="Q93" s="73"/>
      <c r="R93" s="73"/>
      <c r="S93" s="73">
        <f t="shared" si="101"/>
        <v>0</v>
      </c>
      <c r="T93" s="502"/>
      <c r="U93" s="74"/>
    </row>
    <row r="94" spans="1:21" x14ac:dyDescent="0.25">
      <c r="B94" s="56" t="str">
        <f t="shared" si="97"/>
        <v>Központi Konyha</v>
      </c>
      <c r="C94" s="501"/>
      <c r="D94" s="73"/>
      <c r="E94" s="73"/>
      <c r="F94" s="462"/>
      <c r="G94" s="73"/>
      <c r="H94" s="501"/>
      <c r="I94" s="73"/>
      <c r="J94" s="73"/>
      <c r="K94" s="73"/>
      <c r="L94" s="710">
        <f t="shared" si="98"/>
        <v>0</v>
      </c>
      <c r="M94" s="710">
        <f t="shared" si="99"/>
        <v>0</v>
      </c>
      <c r="N94" s="749">
        <f t="shared" si="100"/>
        <v>0</v>
      </c>
      <c r="O94" s="692"/>
      <c r="P94" s="501"/>
      <c r="Q94" s="73"/>
      <c r="R94" s="73"/>
      <c r="S94" s="73">
        <f t="shared" si="101"/>
        <v>0</v>
      </c>
      <c r="T94" s="502"/>
      <c r="U94" s="74"/>
    </row>
    <row r="95" spans="1:21" ht="8.1" customHeight="1" x14ac:dyDescent="0.25">
      <c r="B95" s="386" t="s">
        <v>453</v>
      </c>
      <c r="C95" s="503"/>
      <c r="D95" s="385"/>
      <c r="E95" s="385"/>
      <c r="F95" s="514"/>
      <c r="G95" s="385"/>
      <c r="H95" s="503"/>
      <c r="I95" s="385"/>
      <c r="J95" s="385"/>
      <c r="K95" s="385"/>
      <c r="L95" s="750"/>
      <c r="M95" s="750"/>
      <c r="N95" s="751"/>
      <c r="O95" s="744"/>
      <c r="P95" s="503"/>
      <c r="Q95" s="385"/>
      <c r="R95" s="385"/>
      <c r="S95" s="385"/>
      <c r="T95" s="502"/>
      <c r="U95" s="74"/>
    </row>
    <row r="96" spans="1:21" x14ac:dyDescent="0.25">
      <c r="A96" s="387" t="str">
        <f>+A87</f>
        <v>B6</v>
      </c>
      <c r="B96" s="367" t="s">
        <v>447</v>
      </c>
      <c r="C96" s="504">
        <f>SUM(C88:C95)</f>
        <v>0</v>
      </c>
      <c r="D96" s="368">
        <f t="shared" ref="D96" si="102">SUM(D88:D95)</f>
        <v>0</v>
      </c>
      <c r="E96" s="368">
        <f t="shared" ref="E96" si="103">SUM(E88:E95)</f>
        <v>10037947</v>
      </c>
      <c r="F96" s="515">
        <f t="shared" ref="F96" si="104">SUM(F88:F95)</f>
        <v>0</v>
      </c>
      <c r="G96" s="368"/>
      <c r="H96" s="504">
        <f>SUM(H88:H95)</f>
        <v>0</v>
      </c>
      <c r="I96" s="368">
        <f t="shared" ref="I96" si="105">SUM(I88:I95)</f>
        <v>0</v>
      </c>
      <c r="J96" s="368">
        <f t="shared" ref="J96" si="106">SUM(J88:J95)</f>
        <v>0</v>
      </c>
      <c r="K96" s="368"/>
      <c r="L96" s="752">
        <f t="shared" ref="L96" si="107">IF(D96=0,0,H96/D96)</f>
        <v>0</v>
      </c>
      <c r="M96" s="752">
        <f t="shared" ref="M96" si="108">IF(E96=0,0,I96/E96)</f>
        <v>0</v>
      </c>
      <c r="N96" s="753">
        <f t="shared" ref="N96" si="109">IF(F96=0,0,J96/F96)</f>
        <v>0</v>
      </c>
      <c r="O96" s="745"/>
      <c r="P96" s="504">
        <f>SUM(P88:P95)</f>
        <v>0</v>
      </c>
      <c r="Q96" s="368">
        <f t="shared" ref="Q96" si="110">SUM(Q88:Q95)</f>
        <v>10037947</v>
      </c>
      <c r="R96" s="368">
        <f t="shared" ref="R96" si="111">SUM(R88:R95)</f>
        <v>0</v>
      </c>
      <c r="S96" s="368">
        <f>+P96*P$8+Q96*Q$8+R96*R$8</f>
        <v>10037947</v>
      </c>
      <c r="T96" s="502"/>
      <c r="U96" s="74"/>
    </row>
    <row r="97" spans="1:21" x14ac:dyDescent="0.25">
      <c r="C97" s="505"/>
      <c r="F97" s="460"/>
      <c r="H97" s="505"/>
      <c r="L97" s="710"/>
      <c r="M97" s="710"/>
      <c r="N97" s="749"/>
      <c r="O97" s="693"/>
      <c r="P97" s="505"/>
      <c r="T97" s="502"/>
    </row>
    <row r="98" spans="1:21" x14ac:dyDescent="0.25">
      <c r="C98" s="505"/>
      <c r="F98" s="460"/>
      <c r="H98" s="505"/>
      <c r="L98" s="710"/>
      <c r="M98" s="710"/>
      <c r="N98" s="749"/>
      <c r="O98" s="693"/>
      <c r="P98" s="505"/>
      <c r="T98" s="502"/>
    </row>
    <row r="99" spans="1:21" x14ac:dyDescent="0.25">
      <c r="A99" s="322" t="s">
        <v>326</v>
      </c>
      <c r="B99" s="384" t="str">
        <f>+B19</f>
        <v>Felhalmozási célú átvett pénzeszközök</v>
      </c>
      <c r="C99" s="501"/>
      <c r="D99" s="74"/>
      <c r="E99" s="74"/>
      <c r="F99" s="527"/>
      <c r="G99" s="74"/>
      <c r="H99" s="501"/>
      <c r="K99" s="74"/>
      <c r="L99" s="708"/>
      <c r="M99" s="708"/>
      <c r="N99" s="749"/>
      <c r="O99" s="700"/>
      <c r="P99" s="501"/>
      <c r="Q99" s="73"/>
      <c r="R99" s="73"/>
      <c r="S99" s="73"/>
      <c r="T99" s="502"/>
      <c r="U99" s="74"/>
    </row>
    <row r="100" spans="1:21" x14ac:dyDescent="0.25">
      <c r="B100" s="56" t="str">
        <f t="shared" ref="B100:B106" si="112">+B88</f>
        <v>Sülysáp Város Önkormányzata</v>
      </c>
      <c r="C100" s="501">
        <f>+' 2. Önk. Bevételek'!C76</f>
        <v>60000000</v>
      </c>
      <c r="D100" s="73">
        <f>+' 2. Önk. Bevételek'!D76</f>
        <v>112693</v>
      </c>
      <c r="E100" s="73">
        <f>+' 2. Önk. Bevételek'!E76</f>
        <v>112693</v>
      </c>
      <c r="F100" s="462">
        <f>+' 2. Önk. Bevételek'!F76</f>
        <v>0</v>
      </c>
      <c r="G100" s="74"/>
      <c r="H100" s="501">
        <f>+' 2. Önk. Bevételek'!H76</f>
        <v>352000</v>
      </c>
      <c r="I100" s="73">
        <f>+' 2. Önk. Bevételek'!I76</f>
        <v>718078</v>
      </c>
      <c r="J100" s="73">
        <f>+' 2. Önk. Bevételek'!J76</f>
        <v>0</v>
      </c>
      <c r="K100" s="74"/>
      <c r="L100" s="710">
        <f t="shared" ref="L100:L106" si="113">IF(D100=0,0,H100/D100)</f>
        <v>3.1235302991312683</v>
      </c>
      <c r="M100" s="710">
        <f t="shared" ref="M100:M106" si="114">IF(E100=0,0,I100/E100)</f>
        <v>6.3719840628965416</v>
      </c>
      <c r="N100" s="749">
        <f t="shared" ref="N100:N106" si="115">IF(F100=0,0,J100/F100)</f>
        <v>0</v>
      </c>
      <c r="O100" s="700"/>
      <c r="P100" s="501">
        <f>+' 2. Önk. Bevételek'!P76</f>
        <v>-59887307</v>
      </c>
      <c r="Q100" s="73">
        <f>+' 2. Önk. Bevételek'!Q76</f>
        <v>0</v>
      </c>
      <c r="R100" s="73">
        <f>+' 2. Önk. Bevételek'!R76</f>
        <v>0</v>
      </c>
      <c r="S100" s="73">
        <f t="shared" ref="S100:S106" si="116">+P100*P$8+Q100*Q$8+R100*R$8</f>
        <v>-59887307</v>
      </c>
      <c r="T100" s="502"/>
      <c r="U100" s="74"/>
    </row>
    <row r="101" spans="1:21" x14ac:dyDescent="0.25">
      <c r="A101" s="56"/>
      <c r="B101" s="56" t="str">
        <f t="shared" si="112"/>
        <v>Dr. Gáspár István HSZK</v>
      </c>
      <c r="C101" s="501"/>
      <c r="D101" s="73"/>
      <c r="E101" s="73"/>
      <c r="F101" s="462"/>
      <c r="G101" s="73"/>
      <c r="H101" s="501"/>
      <c r="I101" s="73"/>
      <c r="J101" s="73"/>
      <c r="K101" s="73"/>
      <c r="L101" s="710">
        <f t="shared" si="113"/>
        <v>0</v>
      </c>
      <c r="M101" s="710">
        <f t="shared" si="114"/>
        <v>0</v>
      </c>
      <c r="N101" s="749">
        <f t="shared" si="115"/>
        <v>0</v>
      </c>
      <c r="O101" s="692"/>
      <c r="P101" s="501"/>
      <c r="Q101" s="73"/>
      <c r="R101" s="73"/>
      <c r="S101" s="73">
        <f t="shared" si="116"/>
        <v>0</v>
      </c>
      <c r="T101" s="502"/>
      <c r="U101" s="74"/>
    </row>
    <row r="102" spans="1:21" x14ac:dyDescent="0.25">
      <c r="B102" s="56" t="str">
        <f t="shared" si="112"/>
        <v>SÜLYSÁPI CSICSERGŐ ÓVODA</v>
      </c>
      <c r="C102" s="501"/>
      <c r="D102" s="73"/>
      <c r="E102" s="73"/>
      <c r="F102" s="462"/>
      <c r="G102" s="73"/>
      <c r="H102" s="501"/>
      <c r="I102" s="73"/>
      <c r="J102" s="73"/>
      <c r="K102" s="73"/>
      <c r="L102" s="710">
        <f t="shared" si="113"/>
        <v>0</v>
      </c>
      <c r="M102" s="710">
        <f t="shared" si="114"/>
        <v>0</v>
      </c>
      <c r="N102" s="749">
        <f t="shared" si="115"/>
        <v>0</v>
      </c>
      <c r="O102" s="692"/>
      <c r="P102" s="501"/>
      <c r="Q102" s="73"/>
      <c r="R102" s="73"/>
      <c r="S102" s="73">
        <f t="shared" si="116"/>
        <v>0</v>
      </c>
      <c r="T102" s="502"/>
      <c r="U102" s="74"/>
    </row>
    <row r="103" spans="1:21" x14ac:dyDescent="0.25">
      <c r="B103" s="56" t="str">
        <f t="shared" si="112"/>
        <v>GÓLYAHÍR BÖLCSŐDE</v>
      </c>
      <c r="C103" s="501"/>
      <c r="D103" s="73"/>
      <c r="E103" s="73"/>
      <c r="F103" s="462"/>
      <c r="G103" s="73"/>
      <c r="H103" s="501"/>
      <c r="I103" s="73"/>
      <c r="J103" s="73"/>
      <c r="K103" s="73"/>
      <c r="L103" s="710">
        <f t="shared" si="113"/>
        <v>0</v>
      </c>
      <c r="M103" s="710">
        <f t="shared" si="114"/>
        <v>0</v>
      </c>
      <c r="N103" s="749">
        <f t="shared" si="115"/>
        <v>0</v>
      </c>
      <c r="O103" s="692"/>
      <c r="P103" s="501"/>
      <c r="Q103" s="73"/>
      <c r="R103" s="73"/>
      <c r="S103" s="73">
        <f t="shared" si="116"/>
        <v>0</v>
      </c>
      <c r="T103" s="502"/>
      <c r="U103" s="74"/>
    </row>
    <row r="104" spans="1:21" x14ac:dyDescent="0.25">
      <c r="B104" s="56" t="str">
        <f t="shared" si="112"/>
        <v>POLGÁRMESTERI HIVATAL</v>
      </c>
      <c r="C104" s="501"/>
      <c r="D104" s="73"/>
      <c r="E104" s="73"/>
      <c r="F104" s="462"/>
      <c r="G104" s="73"/>
      <c r="H104" s="501"/>
      <c r="I104" s="73"/>
      <c r="J104" s="73"/>
      <c r="K104" s="73"/>
      <c r="L104" s="710">
        <f t="shared" si="113"/>
        <v>0</v>
      </c>
      <c r="M104" s="710">
        <f t="shared" si="114"/>
        <v>0</v>
      </c>
      <c r="N104" s="749">
        <f t="shared" si="115"/>
        <v>0</v>
      </c>
      <c r="O104" s="692"/>
      <c r="P104" s="501"/>
      <c r="Q104" s="73"/>
      <c r="R104" s="73"/>
      <c r="S104" s="73">
        <f t="shared" si="116"/>
        <v>0</v>
      </c>
      <c r="T104" s="502"/>
      <c r="U104" s="74"/>
    </row>
    <row r="105" spans="1:21" x14ac:dyDescent="0.25">
      <c r="B105" s="56" t="str">
        <f t="shared" si="112"/>
        <v>Wass Albert Művelődési Központ és Könyvtár</v>
      </c>
      <c r="C105" s="501"/>
      <c r="D105" s="73"/>
      <c r="E105" s="73"/>
      <c r="F105" s="462"/>
      <c r="G105" s="73"/>
      <c r="H105" s="501"/>
      <c r="I105" s="73"/>
      <c r="J105" s="73"/>
      <c r="K105" s="73"/>
      <c r="L105" s="710">
        <f t="shared" si="113"/>
        <v>0</v>
      </c>
      <c r="M105" s="710">
        <f t="shared" si="114"/>
        <v>0</v>
      </c>
      <c r="N105" s="749">
        <f t="shared" si="115"/>
        <v>0</v>
      </c>
      <c r="O105" s="692"/>
      <c r="P105" s="501"/>
      <c r="Q105" s="73"/>
      <c r="R105" s="73"/>
      <c r="S105" s="73">
        <f t="shared" si="116"/>
        <v>0</v>
      </c>
      <c r="T105" s="502"/>
      <c r="U105" s="74"/>
    </row>
    <row r="106" spans="1:21" x14ac:dyDescent="0.25">
      <c r="B106" s="56" t="str">
        <f t="shared" si="112"/>
        <v>Központi Konyha</v>
      </c>
      <c r="C106" s="501"/>
      <c r="D106" s="73"/>
      <c r="E106" s="73"/>
      <c r="F106" s="462"/>
      <c r="G106" s="73"/>
      <c r="H106" s="501"/>
      <c r="I106" s="73"/>
      <c r="J106" s="73"/>
      <c r="K106" s="73"/>
      <c r="L106" s="710">
        <f t="shared" si="113"/>
        <v>0</v>
      </c>
      <c r="M106" s="710">
        <f t="shared" si="114"/>
        <v>0</v>
      </c>
      <c r="N106" s="749">
        <f t="shared" si="115"/>
        <v>0</v>
      </c>
      <c r="O106" s="692"/>
      <c r="P106" s="501"/>
      <c r="Q106" s="73"/>
      <c r="R106" s="73"/>
      <c r="S106" s="73">
        <f t="shared" si="116"/>
        <v>0</v>
      </c>
      <c r="T106" s="502"/>
      <c r="U106" s="74"/>
    </row>
    <row r="107" spans="1:21" ht="8.1" customHeight="1" x14ac:dyDescent="0.25">
      <c r="B107" s="386" t="s">
        <v>453</v>
      </c>
      <c r="C107" s="503"/>
      <c r="D107" s="385"/>
      <c r="E107" s="385"/>
      <c r="F107" s="514"/>
      <c r="G107" s="385"/>
      <c r="H107" s="503"/>
      <c r="I107" s="385"/>
      <c r="J107" s="385"/>
      <c r="K107" s="385"/>
      <c r="L107" s="750"/>
      <c r="M107" s="750"/>
      <c r="N107" s="751"/>
      <c r="O107" s="744"/>
      <c r="P107" s="503"/>
      <c r="Q107" s="385"/>
      <c r="R107" s="385"/>
      <c r="S107" s="385"/>
      <c r="T107" s="502"/>
      <c r="U107" s="74"/>
    </row>
    <row r="108" spans="1:21" x14ac:dyDescent="0.25">
      <c r="A108" s="387" t="str">
        <f>+A99</f>
        <v>B7</v>
      </c>
      <c r="B108" s="367" t="s">
        <v>447</v>
      </c>
      <c r="C108" s="504">
        <f>SUM(C100:C107)</f>
        <v>60000000</v>
      </c>
      <c r="D108" s="368">
        <f t="shared" ref="D108" si="117">SUM(D100:D107)</f>
        <v>112693</v>
      </c>
      <c r="E108" s="368">
        <f t="shared" ref="E108" si="118">SUM(E100:E107)</f>
        <v>112693</v>
      </c>
      <c r="F108" s="515">
        <f t="shared" ref="F108" si="119">SUM(F100:F107)</f>
        <v>0</v>
      </c>
      <c r="G108" s="368"/>
      <c r="H108" s="504">
        <f>SUM(H100:H107)</f>
        <v>352000</v>
      </c>
      <c r="I108" s="368">
        <f t="shared" ref="I108" si="120">SUM(I100:I107)</f>
        <v>718078</v>
      </c>
      <c r="J108" s="368">
        <f t="shared" ref="J108" si="121">SUM(J100:J107)</f>
        <v>0</v>
      </c>
      <c r="K108" s="368"/>
      <c r="L108" s="752">
        <f t="shared" ref="L108" si="122">IF(D108=0,0,H108/D108)</f>
        <v>3.1235302991312683</v>
      </c>
      <c r="M108" s="752">
        <f t="shared" ref="M108" si="123">IF(E108=0,0,I108/E108)</f>
        <v>6.3719840628965416</v>
      </c>
      <c r="N108" s="753">
        <f t="shared" ref="N108" si="124">IF(F108=0,0,J108/F108)</f>
        <v>0</v>
      </c>
      <c r="O108" s="745"/>
      <c r="P108" s="504">
        <f>SUM(P100:P107)</f>
        <v>-59887307</v>
      </c>
      <c r="Q108" s="368">
        <f t="shared" ref="Q108" si="125">SUM(Q100:Q107)</f>
        <v>0</v>
      </c>
      <c r="R108" s="368">
        <f t="shared" ref="R108" si="126">SUM(R100:R107)</f>
        <v>0</v>
      </c>
      <c r="S108" s="368">
        <f>+P108*P$8+Q108*Q$8+R108*R$8</f>
        <v>-59887307</v>
      </c>
      <c r="T108" s="502"/>
      <c r="U108" s="74"/>
    </row>
    <row r="109" spans="1:21" x14ac:dyDescent="0.25">
      <c r="C109" s="505"/>
      <c r="F109" s="460"/>
      <c r="H109" s="505"/>
      <c r="L109" s="710"/>
      <c r="M109" s="710"/>
      <c r="N109" s="749"/>
      <c r="O109" s="693"/>
      <c r="P109" s="505"/>
      <c r="T109" s="502"/>
    </row>
    <row r="110" spans="1:21" x14ac:dyDescent="0.25">
      <c r="C110" s="505"/>
      <c r="F110" s="460"/>
      <c r="H110" s="505"/>
      <c r="L110" s="710"/>
      <c r="M110" s="710"/>
      <c r="N110" s="749"/>
      <c r="O110" s="693"/>
      <c r="P110" s="505"/>
      <c r="T110" s="502"/>
    </row>
    <row r="111" spans="1:21" x14ac:dyDescent="0.25">
      <c r="A111" s="322" t="s">
        <v>333</v>
      </c>
      <c r="B111" s="322"/>
      <c r="C111" s="501"/>
      <c r="D111" s="375" t="s">
        <v>449</v>
      </c>
      <c r="E111" s="74"/>
      <c r="F111" s="527"/>
      <c r="G111" s="74"/>
      <c r="H111" s="501"/>
      <c r="K111" s="74"/>
      <c r="L111" s="708"/>
      <c r="M111" s="708"/>
      <c r="N111" s="749"/>
      <c r="O111" s="700"/>
      <c r="P111" s="501"/>
      <c r="Q111" s="73"/>
      <c r="R111" s="73"/>
      <c r="S111" s="73"/>
      <c r="T111" s="502"/>
      <c r="U111" s="74"/>
    </row>
    <row r="112" spans="1:21" x14ac:dyDescent="0.25">
      <c r="B112" s="56" t="str">
        <f t="shared" ref="B112:B118" si="127">+B100</f>
        <v>Sülysáp Város Önkormányzata</v>
      </c>
      <c r="C112" s="501">
        <f>+' 2. Önk. Bevételek'!C80</f>
        <v>410956549</v>
      </c>
      <c r="D112" s="73">
        <f>+' 2. Önk. Bevételek'!D80</f>
        <v>410956549</v>
      </c>
      <c r="E112" s="73">
        <f>+' 2. Önk. Bevételek'!E80</f>
        <v>410956549</v>
      </c>
      <c r="F112" s="462">
        <f>+' 2. Önk. Bevételek'!F80-F124</f>
        <v>0</v>
      </c>
      <c r="G112" s="74"/>
      <c r="H112" s="501">
        <f>' 2. Önk. Bevételek'!H80</f>
        <v>410956549</v>
      </c>
      <c r="I112" s="73">
        <f>' 2. Önk. Bevételek'!I80</f>
        <v>410956549</v>
      </c>
      <c r="J112" s="73">
        <f>+' 2. Önk. Bevételek'!J80-J124</f>
        <v>0</v>
      </c>
      <c r="K112" s="74"/>
      <c r="L112" s="710">
        <f t="shared" ref="L112:L118" si="128">IF(D112=0,0,H112/D112)</f>
        <v>1</v>
      </c>
      <c r="M112" s="710">
        <f t="shared" ref="M112:M118" si="129">IF(E112=0,0,I112/E112)</f>
        <v>1</v>
      </c>
      <c r="N112" s="749">
        <f t="shared" ref="N112:N118" si="130">IF(F112=0,0,J112/F112)</f>
        <v>0</v>
      </c>
      <c r="O112" s="700"/>
      <c r="P112" s="501">
        <f>+' 2. Önk. Bevételek'!P80-P124</f>
        <v>0</v>
      </c>
      <c r="Q112" s="73">
        <f>+' 2. Önk. Bevételek'!Q80-Q124</f>
        <v>0</v>
      </c>
      <c r="R112" s="73">
        <f>+' 2. Önk. Bevételek'!R80-R124</f>
        <v>0</v>
      </c>
      <c r="S112" s="73">
        <f t="shared" ref="S112:S118" si="131">+P112*P$8+Q112*Q$8+R112*R$8</f>
        <v>0</v>
      </c>
      <c r="T112" s="502"/>
      <c r="U112" s="74"/>
    </row>
    <row r="113" spans="1:21" x14ac:dyDescent="0.25">
      <c r="A113" s="56"/>
      <c r="B113" s="56" t="str">
        <f t="shared" si="127"/>
        <v>Dr. Gáspár István HSZK</v>
      </c>
      <c r="C113" s="501">
        <f>+'4. Dr Gáspár HSZK'!C99</f>
        <v>34298310.030000001</v>
      </c>
      <c r="D113" s="73">
        <f>+'4. Dr Gáspár HSZK'!D99</f>
        <v>34298310</v>
      </c>
      <c r="E113" s="73">
        <f>+'4. Dr Gáspár HSZK'!E99</f>
        <v>34298310</v>
      </c>
      <c r="F113" s="462">
        <f>+'4. Dr Gáspár HSZK'!F99-F125</f>
        <v>0</v>
      </c>
      <c r="G113" s="73"/>
      <c r="H113" s="73">
        <f>+'4. Dr Gáspár HSZK'!H99</f>
        <v>16667105</v>
      </c>
      <c r="I113" s="73">
        <f>+'4. Dr Gáspár HSZK'!I99</f>
        <v>24834096</v>
      </c>
      <c r="J113" s="73">
        <f>+'4. Dr Gáspár HSZK'!J99-J125</f>
        <v>0</v>
      </c>
      <c r="K113" s="73"/>
      <c r="L113" s="710">
        <f t="shared" si="128"/>
        <v>0.48594537165242252</v>
      </c>
      <c r="M113" s="710">
        <f t="shared" si="129"/>
        <v>0.72406179779703428</v>
      </c>
      <c r="N113" s="749">
        <f t="shared" si="130"/>
        <v>0</v>
      </c>
      <c r="O113" s="692"/>
      <c r="P113" s="501">
        <f>+'4. Dr Gáspár HSZK'!P99-P125</f>
        <v>-668822.03000000119</v>
      </c>
      <c r="Q113" s="73">
        <f>+'4. Dr Gáspár HSZK'!Q99-Q125</f>
        <v>0</v>
      </c>
      <c r="R113" s="73">
        <f>+'4. Dr Gáspár HSZK'!R99-R125</f>
        <v>0</v>
      </c>
      <c r="S113" s="73">
        <f t="shared" si="131"/>
        <v>-668822.03000000119</v>
      </c>
      <c r="T113" s="502"/>
      <c r="U113" s="74"/>
    </row>
    <row r="114" spans="1:21" x14ac:dyDescent="0.25">
      <c r="B114" s="56" t="str">
        <f t="shared" si="127"/>
        <v>SÜLYSÁPI CSICSERGŐ ÓVODA</v>
      </c>
      <c r="C114" s="501">
        <f>+'5. Csicsergő'!C99</f>
        <v>193219000</v>
      </c>
      <c r="D114" s="73">
        <f>+'5. Csicsergő'!D99</f>
        <v>193219000</v>
      </c>
      <c r="E114" s="73">
        <f>+'5. Csicsergő'!E99</f>
        <v>193219000</v>
      </c>
      <c r="F114" s="462">
        <f>+'5. Csicsergő'!F99-F126</f>
        <v>0</v>
      </c>
      <c r="G114" s="73"/>
      <c r="H114" s="73">
        <f>+'5. Csicsergő'!H99</f>
        <v>94141502</v>
      </c>
      <c r="I114" s="73">
        <f>+'5. Csicsergő'!I99</f>
        <v>140302554</v>
      </c>
      <c r="J114" s="73">
        <f>+'5. Csicsergő'!J99-J126</f>
        <v>0</v>
      </c>
      <c r="K114" s="73"/>
      <c r="L114" s="710">
        <f t="shared" si="128"/>
        <v>0.48722693937966766</v>
      </c>
      <c r="M114" s="710">
        <f t="shared" si="129"/>
        <v>0.72613228512723904</v>
      </c>
      <c r="N114" s="749">
        <f t="shared" si="130"/>
        <v>0</v>
      </c>
      <c r="O114" s="692"/>
      <c r="P114" s="501">
        <f>+'5. Csicsergő'!P99-P126</f>
        <v>0</v>
      </c>
      <c r="Q114" s="73">
        <f>+'5. Csicsergő'!Q99-Q126</f>
        <v>0</v>
      </c>
      <c r="R114" s="73">
        <f>+'5. Csicsergő'!R99-R126</f>
        <v>0</v>
      </c>
      <c r="S114" s="73">
        <f t="shared" si="131"/>
        <v>0</v>
      </c>
      <c r="T114" s="502"/>
      <c r="U114" s="74"/>
    </row>
    <row r="115" spans="1:21" x14ac:dyDescent="0.25">
      <c r="B115" s="56" t="str">
        <f t="shared" si="127"/>
        <v>GÓLYAHÍR BÖLCSŐDE</v>
      </c>
      <c r="C115" s="501">
        <f>+'6. Gólyahír'!C99</f>
        <v>61968000</v>
      </c>
      <c r="D115" s="73">
        <f>+'6. Gólyahír'!D99</f>
        <v>61968000</v>
      </c>
      <c r="E115" s="73">
        <f>+'6. Gólyahír'!E99</f>
        <v>61968000</v>
      </c>
      <c r="F115" s="462">
        <f>+'6. Gólyahír'!F99-F127</f>
        <v>0</v>
      </c>
      <c r="G115" s="73"/>
      <c r="H115" s="73">
        <f>+'6. Gólyahír'!H99</f>
        <v>35861075</v>
      </c>
      <c r="I115" s="73">
        <f>+'6. Gólyahír'!I99</f>
        <v>48347425</v>
      </c>
      <c r="J115" s="73">
        <f>+'6. Gólyahír'!J99-J127</f>
        <v>0</v>
      </c>
      <c r="K115" s="73"/>
      <c r="L115" s="710">
        <f t="shared" si="128"/>
        <v>0.57870312096565968</v>
      </c>
      <c r="M115" s="710">
        <f t="shared" si="129"/>
        <v>0.78019986121869356</v>
      </c>
      <c r="N115" s="749">
        <f t="shared" si="130"/>
        <v>0</v>
      </c>
      <c r="O115" s="692"/>
      <c r="P115" s="501">
        <f>+'6. Gólyahír'!P99-P127</f>
        <v>0</v>
      </c>
      <c r="Q115" s="73">
        <f>+'6. Gólyahír'!Q99-Q127</f>
        <v>0</v>
      </c>
      <c r="R115" s="73">
        <f>+'6. Gólyahír'!R99-R127</f>
        <v>0</v>
      </c>
      <c r="S115" s="73">
        <f t="shared" si="131"/>
        <v>0</v>
      </c>
      <c r="T115" s="502"/>
      <c r="U115" s="74"/>
    </row>
    <row r="116" spans="1:21" x14ac:dyDescent="0.25">
      <c r="B116" s="56" t="str">
        <f t="shared" si="127"/>
        <v>POLGÁRMESTERI HIVATAL</v>
      </c>
      <c r="C116" s="501">
        <f>+'7. Polg.Hiv.'!C99</f>
        <v>135425600</v>
      </c>
      <c r="D116" s="73">
        <f>+'7. Polg.Hiv.'!D99</f>
        <v>144941600</v>
      </c>
      <c r="E116" s="73">
        <f>+'7. Polg.Hiv.'!E99</f>
        <v>144941600</v>
      </c>
      <c r="F116" s="462">
        <f>+'7. Polg.Hiv.'!F99-F128</f>
        <v>0</v>
      </c>
      <c r="G116" s="73"/>
      <c r="H116" s="73">
        <f>+'7. Polg.Hiv.'!H99</f>
        <v>71040097</v>
      </c>
      <c r="I116" s="73">
        <f>+'7. Polg.Hiv.'!I99</f>
        <v>102050486</v>
      </c>
      <c r="J116" s="73">
        <f>+'7. Polg.Hiv.'!J99-J128</f>
        <v>0</v>
      </c>
      <c r="K116" s="73"/>
      <c r="L116" s="710">
        <f t="shared" si="128"/>
        <v>0.49012910717144009</v>
      </c>
      <c r="M116" s="710">
        <f t="shared" si="129"/>
        <v>0.70408002947393988</v>
      </c>
      <c r="N116" s="749">
        <f t="shared" si="130"/>
        <v>0</v>
      </c>
      <c r="O116" s="692"/>
      <c r="P116" s="501">
        <f>+'7. Polg.Hiv.'!P99-P128</f>
        <v>9516000</v>
      </c>
      <c r="Q116" s="73">
        <f>+'7. Polg.Hiv.'!Q99-Q128</f>
        <v>0</v>
      </c>
      <c r="R116" s="73">
        <f>+'7. Polg.Hiv.'!R99-R128</f>
        <v>0</v>
      </c>
      <c r="S116" s="73">
        <f t="shared" si="131"/>
        <v>9516000</v>
      </c>
      <c r="T116" s="502"/>
      <c r="U116" s="74"/>
    </row>
    <row r="117" spans="1:21" x14ac:dyDescent="0.25">
      <c r="B117" s="56" t="str">
        <f t="shared" si="127"/>
        <v>Wass Albert Művelődési Központ és Könyvtár</v>
      </c>
      <c r="C117" s="501">
        <f>+'8. WAMKK'!C99</f>
        <v>29041000</v>
      </c>
      <c r="D117" s="73">
        <f>+'8. WAMKK'!D99</f>
        <v>29041000</v>
      </c>
      <c r="E117" s="73">
        <f>+'8. WAMKK'!E99</f>
        <v>32315000</v>
      </c>
      <c r="F117" s="462">
        <f>+'8. WAMKK'!F99-F129</f>
        <v>0</v>
      </c>
      <c r="G117" s="73"/>
      <c r="H117" s="73">
        <f>+'8. WAMKK'!H99</f>
        <v>12202714</v>
      </c>
      <c r="I117" s="73">
        <f>+'8. WAMKK'!I99</f>
        <v>25083522</v>
      </c>
      <c r="J117" s="73">
        <f>+'8. WAMKK'!J99-J129</f>
        <v>0</v>
      </c>
      <c r="K117" s="73"/>
      <c r="L117" s="710">
        <f t="shared" si="128"/>
        <v>0.4201891808133329</v>
      </c>
      <c r="M117" s="710">
        <f t="shared" si="129"/>
        <v>0.77621915519108775</v>
      </c>
      <c r="N117" s="749">
        <f t="shared" si="130"/>
        <v>0</v>
      </c>
      <c r="O117" s="692"/>
      <c r="P117" s="501">
        <f>+'8. WAMKK'!P99-P129</f>
        <v>0</v>
      </c>
      <c r="Q117" s="73">
        <f>+'8. WAMKK'!Q99-Q129</f>
        <v>3274000</v>
      </c>
      <c r="R117" s="73">
        <f>+'8. WAMKK'!R99-R129</f>
        <v>0</v>
      </c>
      <c r="S117" s="73">
        <f t="shared" si="131"/>
        <v>3274000</v>
      </c>
      <c r="T117" s="502"/>
      <c r="U117" s="74"/>
    </row>
    <row r="118" spans="1:21" x14ac:dyDescent="0.25">
      <c r="B118" s="56" t="str">
        <f t="shared" si="127"/>
        <v>Központi Konyha</v>
      </c>
      <c r="C118" s="501">
        <f>+'9. Közp. Konyha'!C99</f>
        <v>76208000</v>
      </c>
      <c r="D118" s="73">
        <f>+'9. Közp. Konyha'!D99</f>
        <v>76208000</v>
      </c>
      <c r="E118" s="73">
        <f>+'9. Közp. Konyha'!E99</f>
        <v>76208000</v>
      </c>
      <c r="F118" s="462">
        <f>+'9. Közp. Konyha'!F99-F130</f>
        <v>0</v>
      </c>
      <c r="G118" s="73"/>
      <c r="H118" s="73">
        <f>+'9. Közp. Konyha'!H99</f>
        <v>43371562</v>
      </c>
      <c r="I118" s="73">
        <f>+'9. Közp. Konyha'!I99</f>
        <v>57187714</v>
      </c>
      <c r="J118" s="73">
        <f>+'9. Közp. Konyha'!J99-J130</f>
        <v>0</v>
      </c>
      <c r="K118" s="73"/>
      <c r="L118" s="710">
        <f t="shared" si="128"/>
        <v>0.56912085345370567</v>
      </c>
      <c r="M118" s="710">
        <f t="shared" si="129"/>
        <v>0.75041615053537691</v>
      </c>
      <c r="N118" s="749">
        <f t="shared" si="130"/>
        <v>0</v>
      </c>
      <c r="O118" s="692"/>
      <c r="P118" s="501">
        <f>+'9. Közp. Konyha'!P99-P130</f>
        <v>0</v>
      </c>
      <c r="Q118" s="73">
        <f>+'9. Közp. Konyha'!Q99-Q130</f>
        <v>0</v>
      </c>
      <c r="R118" s="73">
        <f>+'9. Közp. Konyha'!R99-R130</f>
        <v>0</v>
      </c>
      <c r="S118" s="73">
        <f t="shared" si="131"/>
        <v>0</v>
      </c>
      <c r="T118" s="502"/>
      <c r="U118" s="74"/>
    </row>
    <row r="119" spans="1:21" ht="8.1" customHeight="1" x14ac:dyDescent="0.25">
      <c r="B119" s="386" t="s">
        <v>453</v>
      </c>
      <c r="C119" s="503"/>
      <c r="D119" s="385"/>
      <c r="E119" s="385"/>
      <c r="F119" s="514"/>
      <c r="G119" s="385"/>
      <c r="H119" s="503"/>
      <c r="I119" s="385"/>
      <c r="J119" s="385"/>
      <c r="K119" s="385"/>
      <c r="L119" s="750"/>
      <c r="M119" s="750"/>
      <c r="N119" s="751"/>
      <c r="O119" s="744"/>
      <c r="P119" s="503"/>
      <c r="Q119" s="385"/>
      <c r="R119" s="385"/>
      <c r="S119" s="385"/>
      <c r="T119" s="502"/>
      <c r="U119" s="74"/>
    </row>
    <row r="120" spans="1:21" x14ac:dyDescent="0.25">
      <c r="A120" s="387" t="str">
        <f>+A111</f>
        <v>B8</v>
      </c>
      <c r="B120" s="367" t="s">
        <v>447</v>
      </c>
      <c r="C120" s="504">
        <f>SUM(C112:C119)</f>
        <v>941116459.02999997</v>
      </c>
      <c r="D120" s="368">
        <f t="shared" ref="D120" si="132">SUM(D112:D119)</f>
        <v>950632459</v>
      </c>
      <c r="E120" s="368">
        <f t="shared" ref="E120" si="133">SUM(E112:E119)</f>
        <v>953906459</v>
      </c>
      <c r="F120" s="515">
        <f t="shared" ref="F120" si="134">SUM(F112:F119)</f>
        <v>0</v>
      </c>
      <c r="G120" s="368"/>
      <c r="H120" s="504">
        <f>SUM(H112:H119)</f>
        <v>684240604</v>
      </c>
      <c r="I120" s="368">
        <f t="shared" ref="I120" si="135">SUM(I112:I119)</f>
        <v>808762346</v>
      </c>
      <c r="J120" s="368">
        <f t="shared" ref="J120" si="136">SUM(J112:J119)</f>
        <v>0</v>
      </c>
      <c r="K120" s="368"/>
      <c r="L120" s="752">
        <f t="shared" ref="L120" si="137">IF(D120=0,0,H120/D120)</f>
        <v>0.71977408042617652</v>
      </c>
      <c r="M120" s="752">
        <f t="shared" ref="M120" si="138">IF(E120=0,0,I120/E120)</f>
        <v>0.84784240463980332</v>
      </c>
      <c r="N120" s="753">
        <f t="shared" ref="N120" si="139">IF(F120=0,0,J120/F120)</f>
        <v>0</v>
      </c>
      <c r="O120" s="745"/>
      <c r="P120" s="504">
        <f>SUM(P112:P119)</f>
        <v>8847177.9699999988</v>
      </c>
      <c r="Q120" s="368">
        <f t="shared" ref="Q120" si="140">SUM(Q112:Q119)</f>
        <v>3274000</v>
      </c>
      <c r="R120" s="368">
        <f t="shared" ref="R120" si="141">SUM(R112:R119)</f>
        <v>0</v>
      </c>
      <c r="S120" s="368">
        <f>+P120*P$8+Q120*Q$8+R120*R$8</f>
        <v>12121177.969999999</v>
      </c>
      <c r="T120" s="502"/>
      <c r="U120" s="74"/>
    </row>
    <row r="121" spans="1:21" x14ac:dyDescent="0.25">
      <c r="C121" s="505"/>
      <c r="F121" s="460"/>
      <c r="H121" s="505"/>
      <c r="L121" s="710"/>
      <c r="M121" s="710"/>
      <c r="N121" s="749"/>
      <c r="O121" s="693"/>
      <c r="P121" s="505"/>
      <c r="T121" s="502"/>
    </row>
    <row r="122" spans="1:21" x14ac:dyDescent="0.25">
      <c r="C122" s="505"/>
      <c r="F122" s="460"/>
      <c r="H122" s="505"/>
      <c r="L122" s="710"/>
      <c r="M122" s="710"/>
      <c r="N122" s="749"/>
      <c r="O122" s="693"/>
      <c r="P122" s="505"/>
      <c r="T122" s="502"/>
    </row>
    <row r="123" spans="1:21" x14ac:dyDescent="0.25">
      <c r="A123" s="322" t="s">
        <v>454</v>
      </c>
      <c r="B123" s="322"/>
      <c r="C123" s="501"/>
      <c r="D123" s="74"/>
      <c r="E123" s="74"/>
      <c r="F123" s="527"/>
      <c r="G123" s="74"/>
      <c r="H123" s="501"/>
      <c r="K123" s="74"/>
      <c r="L123" s="708"/>
      <c r="M123" s="708"/>
      <c r="N123" s="749"/>
      <c r="O123" s="700"/>
      <c r="P123" s="501"/>
      <c r="Q123" s="73"/>
      <c r="R123" s="73"/>
      <c r="S123" s="73"/>
      <c r="T123" s="502"/>
      <c r="U123" s="74"/>
    </row>
    <row r="124" spans="1:21" x14ac:dyDescent="0.25">
      <c r="B124" s="56" t="str">
        <f t="shared" ref="B124:B130" si="142">+B112</f>
        <v>Sülysáp Város Önkormányzata</v>
      </c>
      <c r="C124" s="501">
        <f>+' 2. Önk. Bevételek'!C87</f>
        <v>410956549</v>
      </c>
      <c r="D124" s="73">
        <f>+' 2. Önk. Bevételek'!D87</f>
        <v>410956549</v>
      </c>
      <c r="E124" s="73">
        <f>+' 2. Önk. Bevételek'!E87</f>
        <v>410956549</v>
      </c>
      <c r="F124" s="462">
        <f>+' 2. Önk. Bevételek'!F87</f>
        <v>0</v>
      </c>
      <c r="G124" s="74"/>
      <c r="H124" s="501">
        <f>+' 2. Önk. Bevételek'!H87</f>
        <v>410956549</v>
      </c>
      <c r="I124" s="73">
        <f>+' 2. Önk. Bevételek'!I87</f>
        <v>410956549</v>
      </c>
      <c r="J124" s="73">
        <f>+' 2. Önk. Bevételek'!J87</f>
        <v>0</v>
      </c>
      <c r="K124" s="74"/>
      <c r="L124" s="710">
        <f t="shared" ref="L124:L130" si="143">IF(D124=0,0,H124/D124)</f>
        <v>1</v>
      </c>
      <c r="M124" s="710">
        <f t="shared" ref="M124:M130" si="144">IF(E124=0,0,I124/E124)</f>
        <v>1</v>
      </c>
      <c r="N124" s="749">
        <f t="shared" ref="N124:N130" si="145">IF(F124=0,0,J124/F124)</f>
        <v>0</v>
      </c>
      <c r="O124" s="700"/>
      <c r="P124" s="501">
        <f>+' 2. Önk. Bevételek'!P87</f>
        <v>0</v>
      </c>
      <c r="Q124" s="73">
        <f>+' 2. Önk. Bevételek'!Q87</f>
        <v>0</v>
      </c>
      <c r="R124" s="73">
        <f>+' 2. Önk. Bevételek'!R87</f>
        <v>0</v>
      </c>
      <c r="S124" s="73">
        <f t="shared" ref="S124:S130" si="146">+P124*P$8+Q124*Q$8+R124*R$8</f>
        <v>0</v>
      </c>
      <c r="T124" s="502"/>
      <c r="U124" s="74"/>
    </row>
    <row r="125" spans="1:21" x14ac:dyDescent="0.25">
      <c r="A125" s="56"/>
      <c r="B125" s="56" t="str">
        <f t="shared" si="142"/>
        <v>Dr. Gáspár István HSZK</v>
      </c>
      <c r="C125" s="501">
        <f>+'4. Dr Gáspár HSZK'!C101</f>
        <v>670000</v>
      </c>
      <c r="D125" s="73">
        <f>+'4. Dr Gáspár HSZK'!D101</f>
        <v>1338822</v>
      </c>
      <c r="E125" s="73">
        <f>+'4. Dr Gáspár HSZK'!E101</f>
        <v>1338822</v>
      </c>
      <c r="F125" s="462">
        <f>+'4. Dr Gáspár HSZK'!F101</f>
        <v>0</v>
      </c>
      <c r="G125" s="73"/>
      <c r="H125" s="501">
        <f>+'4. Dr Gáspár HSZK'!H101</f>
        <v>1338822</v>
      </c>
      <c r="I125" s="73">
        <f>+'4. Dr Gáspár HSZK'!I101</f>
        <v>1338822</v>
      </c>
      <c r="J125" s="73">
        <f>+'4. Dr Gáspár HSZK'!J101</f>
        <v>0</v>
      </c>
      <c r="K125" s="73"/>
      <c r="L125" s="710">
        <f t="shared" si="143"/>
        <v>1</v>
      </c>
      <c r="M125" s="710">
        <f t="shared" si="144"/>
        <v>1</v>
      </c>
      <c r="N125" s="749">
        <f t="shared" si="145"/>
        <v>0</v>
      </c>
      <c r="O125" s="692"/>
      <c r="P125" s="501">
        <f>+'4. Dr Gáspár HSZK'!P101</f>
        <v>668822</v>
      </c>
      <c r="Q125" s="73">
        <f>+'4. Dr Gáspár HSZK'!Q101</f>
        <v>0</v>
      </c>
      <c r="R125" s="73">
        <f>+'4. Dr Gáspár HSZK'!R101</f>
        <v>0</v>
      </c>
      <c r="S125" s="73">
        <f t="shared" si="146"/>
        <v>668822</v>
      </c>
      <c r="T125" s="502"/>
      <c r="U125" s="74"/>
    </row>
    <row r="126" spans="1:21" x14ac:dyDescent="0.25">
      <c r="B126" s="56" t="str">
        <f t="shared" si="142"/>
        <v>SÜLYSÁPI CSICSERGŐ ÓVODA</v>
      </c>
      <c r="C126" s="501">
        <f>+'5. Csicsergő'!C101</f>
        <v>1562141</v>
      </c>
      <c r="D126" s="73">
        <f>+'5. Csicsergő'!D101</f>
        <v>1562141</v>
      </c>
      <c r="E126" s="73">
        <f>+'5. Csicsergő'!E101</f>
        <v>1562141</v>
      </c>
      <c r="F126" s="462">
        <f>+'5. Csicsergő'!F101</f>
        <v>0</v>
      </c>
      <c r="G126" s="73"/>
      <c r="H126" s="501">
        <f>+'5. Csicsergő'!H101</f>
        <v>1562141</v>
      </c>
      <c r="I126" s="73">
        <f>+'5. Csicsergő'!I101</f>
        <v>1562141</v>
      </c>
      <c r="J126" s="73">
        <f>+'5. Csicsergő'!J101</f>
        <v>0</v>
      </c>
      <c r="K126" s="73"/>
      <c r="L126" s="710">
        <f t="shared" si="143"/>
        <v>1</v>
      </c>
      <c r="M126" s="710">
        <f t="shared" si="144"/>
        <v>1</v>
      </c>
      <c r="N126" s="749">
        <f t="shared" si="145"/>
        <v>0</v>
      </c>
      <c r="O126" s="692"/>
      <c r="P126" s="501">
        <f>+'5. Csicsergő'!P101</f>
        <v>0</v>
      </c>
      <c r="Q126" s="73">
        <f>+'5. Csicsergő'!Q101</f>
        <v>0</v>
      </c>
      <c r="R126" s="73">
        <f>+'5. Csicsergő'!R101</f>
        <v>0</v>
      </c>
      <c r="S126" s="73">
        <f t="shared" si="146"/>
        <v>0</v>
      </c>
      <c r="T126" s="502"/>
      <c r="U126" s="74"/>
    </row>
    <row r="127" spans="1:21" x14ac:dyDescent="0.25">
      <c r="B127" s="56" t="str">
        <f t="shared" si="142"/>
        <v>GÓLYAHÍR BÖLCSŐDE</v>
      </c>
      <c r="C127" s="501">
        <f>+'6. Gólyahír'!C101</f>
        <v>2656361</v>
      </c>
      <c r="D127" s="73">
        <f>+'6. Gólyahír'!D101</f>
        <v>2656361</v>
      </c>
      <c r="E127" s="73">
        <f>+'6. Gólyahír'!E101</f>
        <v>2656361</v>
      </c>
      <c r="F127" s="462">
        <f>+'6. Gólyahír'!F101</f>
        <v>0</v>
      </c>
      <c r="G127" s="73"/>
      <c r="H127" s="501">
        <f>+'6. Gólyahír'!H101</f>
        <v>2656361</v>
      </c>
      <c r="I127" s="73">
        <f>+'6. Gólyahír'!I101</f>
        <v>2656361</v>
      </c>
      <c r="J127" s="73">
        <f>+'6. Gólyahír'!J101</f>
        <v>0</v>
      </c>
      <c r="K127" s="73"/>
      <c r="L127" s="710">
        <f t="shared" si="143"/>
        <v>1</v>
      </c>
      <c r="M127" s="710">
        <f t="shared" si="144"/>
        <v>1</v>
      </c>
      <c r="N127" s="749">
        <f t="shared" si="145"/>
        <v>0</v>
      </c>
      <c r="O127" s="692"/>
      <c r="P127" s="501">
        <f>+'6. Gólyahír'!P101</f>
        <v>0</v>
      </c>
      <c r="Q127" s="73">
        <f>+'6. Gólyahír'!Q101</f>
        <v>0</v>
      </c>
      <c r="R127" s="73">
        <f>+'6. Gólyahír'!R101</f>
        <v>0</v>
      </c>
      <c r="S127" s="73">
        <f t="shared" si="146"/>
        <v>0</v>
      </c>
      <c r="T127" s="502"/>
      <c r="U127" s="74"/>
    </row>
    <row r="128" spans="1:21" x14ac:dyDescent="0.25">
      <c r="B128" s="56" t="str">
        <f t="shared" si="142"/>
        <v>POLGÁRMESTERI HIVATAL</v>
      </c>
      <c r="C128" s="501">
        <f>+'7. Polg.Hiv.'!C101</f>
        <v>2430883</v>
      </c>
      <c r="D128" s="73">
        <f>+'7. Polg.Hiv.'!D101</f>
        <v>2430883</v>
      </c>
      <c r="E128" s="73">
        <f>+'7. Polg.Hiv.'!E101</f>
        <v>2430883</v>
      </c>
      <c r="F128" s="462">
        <f>+'7. Polg.Hiv.'!F101</f>
        <v>0</v>
      </c>
      <c r="G128" s="73"/>
      <c r="H128" s="501">
        <f>+'7. Polg.Hiv.'!H101</f>
        <v>2430883</v>
      </c>
      <c r="I128" s="73">
        <f>+'7. Polg.Hiv.'!I101</f>
        <v>2430883</v>
      </c>
      <c r="J128" s="73">
        <f>+'7. Polg.Hiv.'!J101</f>
        <v>0</v>
      </c>
      <c r="K128" s="73"/>
      <c r="L128" s="710">
        <f t="shared" si="143"/>
        <v>1</v>
      </c>
      <c r="M128" s="710">
        <f t="shared" si="144"/>
        <v>1</v>
      </c>
      <c r="N128" s="749">
        <f t="shared" si="145"/>
        <v>0</v>
      </c>
      <c r="O128" s="692"/>
      <c r="P128" s="501">
        <f>+'7. Polg.Hiv.'!P101</f>
        <v>0</v>
      </c>
      <c r="Q128" s="73">
        <f>+'7. Polg.Hiv.'!Q101</f>
        <v>0</v>
      </c>
      <c r="R128" s="73">
        <f>+'7. Polg.Hiv.'!R101</f>
        <v>0</v>
      </c>
      <c r="S128" s="73">
        <f t="shared" si="146"/>
        <v>0</v>
      </c>
      <c r="T128" s="502"/>
      <c r="U128" s="74"/>
    </row>
    <row r="129" spans="1:21" x14ac:dyDescent="0.25">
      <c r="B129" s="56" t="str">
        <f t="shared" si="142"/>
        <v>Wass Albert Művelődési Központ és Könyvtár</v>
      </c>
      <c r="C129" s="501">
        <f>+'8. WAMKK'!C101</f>
        <v>706412</v>
      </c>
      <c r="D129" s="73">
        <f>+'8. WAMKK'!D101</f>
        <v>706412</v>
      </c>
      <c r="E129" s="73">
        <f>+'8. WAMKK'!E101</f>
        <v>706412</v>
      </c>
      <c r="F129" s="462">
        <f>+'8. WAMKK'!F101</f>
        <v>0</v>
      </c>
      <c r="G129" s="73"/>
      <c r="H129" s="501">
        <f>+'8. WAMKK'!H101</f>
        <v>706412</v>
      </c>
      <c r="I129" s="73">
        <f>+'8. WAMKK'!I101</f>
        <v>706412</v>
      </c>
      <c r="J129" s="73">
        <f>+'8. WAMKK'!J101</f>
        <v>0</v>
      </c>
      <c r="K129" s="73"/>
      <c r="L129" s="710">
        <f t="shared" si="143"/>
        <v>1</v>
      </c>
      <c r="M129" s="710">
        <f t="shared" si="144"/>
        <v>1</v>
      </c>
      <c r="N129" s="749">
        <f t="shared" si="145"/>
        <v>0</v>
      </c>
      <c r="O129" s="692"/>
      <c r="P129" s="501">
        <f>+'8. WAMKK'!P101</f>
        <v>0</v>
      </c>
      <c r="Q129" s="73">
        <f>+'8. WAMKK'!Q101</f>
        <v>0</v>
      </c>
      <c r="R129" s="73">
        <f>+'8. WAMKK'!R101</f>
        <v>0</v>
      </c>
      <c r="S129" s="73">
        <f t="shared" si="146"/>
        <v>0</v>
      </c>
      <c r="T129" s="502"/>
      <c r="U129" s="74"/>
    </row>
    <row r="130" spans="1:21" x14ac:dyDescent="0.25">
      <c r="B130" s="56" t="str">
        <f t="shared" si="142"/>
        <v>Központi Konyha</v>
      </c>
      <c r="C130" s="501">
        <f>+'9. Közp. Konyha'!C101</f>
        <v>4809254</v>
      </c>
      <c r="D130" s="73">
        <f>+'9. Közp. Konyha'!D101</f>
        <v>4809254</v>
      </c>
      <c r="E130" s="73">
        <f>+'9. Közp. Konyha'!E101</f>
        <v>4809254</v>
      </c>
      <c r="F130" s="462">
        <f>+'9. Közp. Konyha'!F101</f>
        <v>0</v>
      </c>
      <c r="G130" s="73"/>
      <c r="H130" s="501">
        <f>+'9. Közp. Konyha'!H101</f>
        <v>4809254</v>
      </c>
      <c r="I130" s="73">
        <f>+'9. Közp. Konyha'!I101</f>
        <v>4809254</v>
      </c>
      <c r="J130" s="73">
        <f>+'9. Közp. Konyha'!J101</f>
        <v>0</v>
      </c>
      <c r="K130" s="73"/>
      <c r="L130" s="710">
        <f t="shared" si="143"/>
        <v>1</v>
      </c>
      <c r="M130" s="710">
        <f t="shared" si="144"/>
        <v>1</v>
      </c>
      <c r="N130" s="749">
        <f t="shared" si="145"/>
        <v>0</v>
      </c>
      <c r="O130" s="692"/>
      <c r="P130" s="501">
        <f>+'9. Közp. Konyha'!P101</f>
        <v>0</v>
      </c>
      <c r="Q130" s="73">
        <f>+'9. Közp. Konyha'!Q101</f>
        <v>0</v>
      </c>
      <c r="R130" s="73">
        <f>+'9. Közp. Konyha'!R101</f>
        <v>0</v>
      </c>
      <c r="S130" s="73">
        <f t="shared" si="146"/>
        <v>0</v>
      </c>
      <c r="T130" s="502"/>
      <c r="U130" s="74"/>
    </row>
    <row r="131" spans="1:21" ht="8.1" customHeight="1" x14ac:dyDescent="0.25">
      <c r="B131" s="386" t="s">
        <v>453</v>
      </c>
      <c r="C131" s="503"/>
      <c r="D131" s="385"/>
      <c r="E131" s="385"/>
      <c r="F131" s="514"/>
      <c r="G131" s="385"/>
      <c r="H131" s="503"/>
      <c r="I131" s="385"/>
      <c r="J131" s="385"/>
      <c r="K131" s="385"/>
      <c r="L131" s="750"/>
      <c r="M131" s="750"/>
      <c r="N131" s="751"/>
      <c r="O131" s="744"/>
      <c r="P131" s="503"/>
      <c r="Q131" s="385"/>
      <c r="R131" s="385"/>
      <c r="S131" s="385"/>
      <c r="T131" s="502"/>
      <c r="U131" s="74"/>
    </row>
    <row r="132" spans="1:21" x14ac:dyDescent="0.25">
      <c r="A132" s="387" t="str">
        <f>+A123</f>
        <v>B8-ból előző évi mardvány igénybevétele</v>
      </c>
      <c r="B132" s="367" t="s">
        <v>447</v>
      </c>
      <c r="C132" s="504">
        <f>SUM(C124:C131)</f>
        <v>423791600</v>
      </c>
      <c r="D132" s="368">
        <f t="shared" ref="D132" si="147">SUM(D124:D131)</f>
        <v>424460422</v>
      </c>
      <c r="E132" s="368">
        <f t="shared" ref="E132" si="148">SUM(E124:E131)</f>
        <v>424460422</v>
      </c>
      <c r="F132" s="515">
        <f t="shared" ref="F132" si="149">SUM(F124:F131)</f>
        <v>0</v>
      </c>
      <c r="G132" s="368"/>
      <c r="H132" s="504">
        <f>SUM(H124:H131)</f>
        <v>424460422</v>
      </c>
      <c r="I132" s="368">
        <f t="shared" ref="I132" si="150">SUM(I124:I131)</f>
        <v>424460422</v>
      </c>
      <c r="J132" s="368">
        <f t="shared" ref="J132" si="151">SUM(J124:J131)</f>
        <v>0</v>
      </c>
      <c r="K132" s="368"/>
      <c r="L132" s="752">
        <f t="shared" ref="L132" si="152">IF(D132=0,0,H132/D132)</f>
        <v>1</v>
      </c>
      <c r="M132" s="752">
        <f t="shared" ref="M132" si="153">IF(E132=0,0,I132/E132)</f>
        <v>1</v>
      </c>
      <c r="N132" s="753">
        <f t="shared" ref="N132" si="154">IF(F132=0,0,J132/F132)</f>
        <v>0</v>
      </c>
      <c r="O132" s="745"/>
      <c r="P132" s="504">
        <f>SUM(P124:P131)</f>
        <v>668822</v>
      </c>
      <c r="Q132" s="368">
        <f t="shared" ref="Q132" si="155">SUM(Q124:Q131)</f>
        <v>0</v>
      </c>
      <c r="R132" s="368">
        <f t="shared" ref="R132" si="156">SUM(R124:R131)</f>
        <v>0</v>
      </c>
      <c r="S132" s="368">
        <f>+P132*P$8+Q132*Q$8+R132*R$8</f>
        <v>668822</v>
      </c>
      <c r="T132" s="502"/>
      <c r="U132" s="74"/>
    </row>
    <row r="133" spans="1:21" x14ac:dyDescent="0.25">
      <c r="C133" s="501"/>
      <c r="F133" s="460"/>
      <c r="H133" s="505"/>
      <c r="L133" s="710"/>
      <c r="M133" s="710"/>
      <c r="N133" s="749"/>
      <c r="O133" s="693"/>
      <c r="P133" s="505"/>
      <c r="T133" s="502"/>
    </row>
    <row r="134" spans="1:21" x14ac:dyDescent="0.25">
      <c r="C134" s="505"/>
      <c r="F134" s="460"/>
      <c r="H134" s="505"/>
      <c r="L134" s="710"/>
      <c r="M134" s="710"/>
      <c r="N134" s="749"/>
      <c r="O134" s="693"/>
      <c r="P134" s="505"/>
      <c r="T134" s="502"/>
    </row>
    <row r="135" spans="1:21" x14ac:dyDescent="0.25">
      <c r="A135" s="322" t="s">
        <v>359</v>
      </c>
      <c r="B135" s="322" t="str">
        <f>+'4. Dr Gáspár HSZK'!B100</f>
        <v>Központi, irányító szervi támogatás</v>
      </c>
      <c r="C135" s="528" t="s">
        <v>449</v>
      </c>
      <c r="D135" s="74"/>
      <c r="E135" s="74"/>
      <c r="F135" s="527"/>
      <c r="G135" s="74"/>
      <c r="H135" s="501"/>
      <c r="K135" s="74"/>
      <c r="L135" s="708"/>
      <c r="M135" s="708"/>
      <c r="N135" s="749"/>
      <c r="O135" s="700"/>
      <c r="P135" s="501"/>
      <c r="Q135" s="73"/>
      <c r="R135" s="73"/>
      <c r="S135" s="73"/>
      <c r="T135" s="502"/>
      <c r="U135" s="74"/>
    </row>
    <row r="136" spans="1:21" x14ac:dyDescent="0.25">
      <c r="B136" s="56" t="str">
        <f t="shared" ref="B136:B142" si="157">+B124</f>
        <v>Sülysáp Város Önkormányzata</v>
      </c>
      <c r="C136" s="501"/>
      <c r="D136" s="73"/>
      <c r="E136" s="73"/>
      <c r="F136" s="462"/>
      <c r="G136" s="74"/>
      <c r="H136" s="501"/>
      <c r="I136" s="73"/>
      <c r="J136" s="73"/>
      <c r="K136" s="74"/>
      <c r="L136" s="708"/>
      <c r="M136" s="708"/>
      <c r="N136" s="749"/>
      <c r="O136" s="700"/>
      <c r="P136" s="501"/>
      <c r="Q136" s="73"/>
      <c r="R136" s="73"/>
      <c r="S136" s="73"/>
      <c r="T136" s="502"/>
      <c r="U136" s="74"/>
    </row>
    <row r="137" spans="1:21" x14ac:dyDescent="0.25">
      <c r="A137" s="56"/>
      <c r="B137" s="56" t="str">
        <f t="shared" si="157"/>
        <v>Dr. Gáspár István HSZK</v>
      </c>
      <c r="C137" s="501">
        <f>+'4. Dr Gáspár HSZK'!C100</f>
        <v>33628310.030000001</v>
      </c>
      <c r="D137" s="73">
        <f>+'4. Dr Gáspár HSZK'!D100</f>
        <v>32959488</v>
      </c>
      <c r="E137" s="73">
        <f>+'4. Dr Gáspár HSZK'!E100</f>
        <v>32959488</v>
      </c>
      <c r="F137" s="462">
        <f>+'4. Dr Gáspár HSZK'!F100</f>
        <v>0</v>
      </c>
      <c r="G137" s="73"/>
      <c r="H137" s="501">
        <f>+'4. Dr Gáspár HSZK'!H100</f>
        <v>15328283</v>
      </c>
      <c r="I137" s="73">
        <f>+'4. Dr Gáspár HSZK'!I100</f>
        <v>23495274</v>
      </c>
      <c r="J137" s="73">
        <f>+'4. Dr Gáspár HSZK'!J100</f>
        <v>0</v>
      </c>
      <c r="K137" s="73"/>
      <c r="L137" s="710">
        <f t="shared" ref="L137:L144" si="158">IF(D137=0,0,H137/D137)</f>
        <v>0.46506435415501601</v>
      </c>
      <c r="M137" s="710">
        <f t="shared" ref="M137:M144" si="159">IF(E137=0,0,I137/E137)</f>
        <v>0.71285312441746673</v>
      </c>
      <c r="N137" s="749">
        <f t="shared" ref="N137:N144" si="160">IF(F137=0,0,J137/F137)</f>
        <v>0</v>
      </c>
      <c r="O137" s="692"/>
      <c r="P137" s="501">
        <f>+'4. Dr Gáspár HSZK'!P100</f>
        <v>-668822.03000000119</v>
      </c>
      <c r="Q137" s="73">
        <f>+'4. Dr Gáspár HSZK'!Q100</f>
        <v>0</v>
      </c>
      <c r="R137" s="73">
        <f>+'4. Dr Gáspár HSZK'!R100</f>
        <v>0</v>
      </c>
      <c r="S137" s="73">
        <f t="shared" ref="S137:S142" si="161">+P137*P$8+Q137*Q$8+R137*R$8</f>
        <v>-668822.03000000119</v>
      </c>
      <c r="T137" s="502"/>
      <c r="U137" s="74"/>
    </row>
    <row r="138" spans="1:21" x14ac:dyDescent="0.25">
      <c r="B138" s="56" t="str">
        <f t="shared" si="157"/>
        <v>SÜLYSÁPI CSICSERGŐ ÓVODA</v>
      </c>
      <c r="C138" s="501">
        <f>+'5. Csicsergő'!C100</f>
        <v>191656859</v>
      </c>
      <c r="D138" s="73">
        <f>+'5. Csicsergő'!D100</f>
        <v>191656859</v>
      </c>
      <c r="E138" s="73">
        <f>+'5. Csicsergő'!E100</f>
        <v>191656859</v>
      </c>
      <c r="F138" s="462">
        <f>+'5. Csicsergő'!F100</f>
        <v>0</v>
      </c>
      <c r="G138" s="73"/>
      <c r="H138" s="501">
        <f>+'5. Csicsergő'!H100</f>
        <v>92579361</v>
      </c>
      <c r="I138" s="73">
        <f>+'5. Csicsergő'!I100</f>
        <v>138740413</v>
      </c>
      <c r="J138" s="73">
        <f>+'5. Csicsergő'!J100</f>
        <v>0</v>
      </c>
      <c r="K138" s="73"/>
      <c r="L138" s="710">
        <f t="shared" si="158"/>
        <v>0.48304747079257937</v>
      </c>
      <c r="M138" s="710">
        <f t="shared" si="159"/>
        <v>0.72390006662897466</v>
      </c>
      <c r="N138" s="749">
        <f t="shared" si="160"/>
        <v>0</v>
      </c>
      <c r="O138" s="692"/>
      <c r="P138" s="501">
        <f>+'5. Csicsergő'!P100</f>
        <v>0</v>
      </c>
      <c r="Q138" s="73">
        <f>+'5. Csicsergő'!Q100</f>
        <v>0</v>
      </c>
      <c r="R138" s="73">
        <f>+'5. Csicsergő'!R100</f>
        <v>0</v>
      </c>
      <c r="S138" s="73">
        <f t="shared" si="161"/>
        <v>0</v>
      </c>
      <c r="T138" s="502"/>
      <c r="U138" s="74"/>
    </row>
    <row r="139" spans="1:21" x14ac:dyDescent="0.25">
      <c r="B139" s="56" t="str">
        <f t="shared" si="157"/>
        <v>GÓLYAHÍR BÖLCSŐDE</v>
      </c>
      <c r="C139" s="501">
        <f>+'6. Gólyahír'!C100</f>
        <v>59311639</v>
      </c>
      <c r="D139" s="73">
        <f>+'6. Gólyahír'!D100</f>
        <v>59311639</v>
      </c>
      <c r="E139" s="73">
        <f>+'6. Gólyahír'!E100</f>
        <v>59311639</v>
      </c>
      <c r="F139" s="462">
        <f>+'6. Gólyahír'!F100</f>
        <v>0</v>
      </c>
      <c r="G139" s="73"/>
      <c r="H139" s="501">
        <f>+'6. Gólyahír'!H100</f>
        <v>33204714</v>
      </c>
      <c r="I139" s="73">
        <f>+'6. Gólyahír'!I100</f>
        <v>45691064</v>
      </c>
      <c r="J139" s="73">
        <f>+'6. Gólyahír'!J100</f>
        <v>0</v>
      </c>
      <c r="K139" s="73"/>
      <c r="L139" s="710">
        <f t="shared" si="158"/>
        <v>0.55983470630444054</v>
      </c>
      <c r="M139" s="710">
        <f t="shared" si="159"/>
        <v>0.7703557812657984</v>
      </c>
      <c r="N139" s="749">
        <f t="shared" si="160"/>
        <v>0</v>
      </c>
      <c r="O139" s="692"/>
      <c r="P139" s="501">
        <f>+'6. Gólyahír'!P100</f>
        <v>0</v>
      </c>
      <c r="Q139" s="73">
        <f>+'6. Gólyahír'!Q100</f>
        <v>0</v>
      </c>
      <c r="R139" s="73">
        <f>+'6. Gólyahír'!R100</f>
        <v>0</v>
      </c>
      <c r="S139" s="73">
        <f t="shared" si="161"/>
        <v>0</v>
      </c>
      <c r="T139" s="502"/>
      <c r="U139" s="74"/>
    </row>
    <row r="140" spans="1:21" x14ac:dyDescent="0.25">
      <c r="B140" s="56" t="str">
        <f t="shared" si="157"/>
        <v>POLGÁRMESTERI HIVATAL</v>
      </c>
      <c r="C140" s="501">
        <f>+'7. Polg.Hiv.'!C100</f>
        <v>132994717</v>
      </c>
      <c r="D140" s="73">
        <f>+'7. Polg.Hiv.'!D100</f>
        <v>142510717</v>
      </c>
      <c r="E140" s="73">
        <f>+'7. Polg.Hiv.'!E100</f>
        <v>142510717</v>
      </c>
      <c r="F140" s="462">
        <f>+'7. Polg.Hiv.'!F100</f>
        <v>0</v>
      </c>
      <c r="G140" s="73"/>
      <c r="H140" s="501">
        <f>+'7. Polg.Hiv.'!H100</f>
        <v>68609214</v>
      </c>
      <c r="I140" s="73">
        <f>+'7. Polg.Hiv.'!I100</f>
        <v>99619603</v>
      </c>
      <c r="J140" s="73">
        <f>+'7. Polg.Hiv.'!J100</f>
        <v>0</v>
      </c>
      <c r="K140" s="73"/>
      <c r="L140" s="710">
        <f t="shared" si="158"/>
        <v>0.4814319613590885</v>
      </c>
      <c r="M140" s="710">
        <f t="shared" si="159"/>
        <v>0.69903236119428125</v>
      </c>
      <c r="N140" s="749">
        <f t="shared" si="160"/>
        <v>0</v>
      </c>
      <c r="O140" s="692"/>
      <c r="P140" s="501">
        <f>+'7. Polg.Hiv.'!P100</f>
        <v>9516000</v>
      </c>
      <c r="Q140" s="73">
        <f>+'7. Polg.Hiv.'!Q100</f>
        <v>0</v>
      </c>
      <c r="R140" s="73">
        <f>+'7. Polg.Hiv.'!R100</f>
        <v>0</v>
      </c>
      <c r="S140" s="73">
        <f t="shared" si="161"/>
        <v>9516000</v>
      </c>
      <c r="T140" s="502"/>
      <c r="U140" s="74"/>
    </row>
    <row r="141" spans="1:21" x14ac:dyDescent="0.25">
      <c r="B141" s="56" t="str">
        <f t="shared" si="157"/>
        <v>Wass Albert Művelődési Központ és Könyvtár</v>
      </c>
      <c r="C141" s="501">
        <f>+'8. WAMKK'!C100</f>
        <v>28334588</v>
      </c>
      <c r="D141" s="73">
        <f>+'8. WAMKK'!D100</f>
        <v>28334588</v>
      </c>
      <c r="E141" s="73">
        <f>+'8. WAMKK'!E100</f>
        <v>31608588</v>
      </c>
      <c r="F141" s="462">
        <f>+'8. WAMKK'!F100</f>
        <v>0</v>
      </c>
      <c r="G141" s="73"/>
      <c r="H141" s="501">
        <f>+'8. WAMKK'!H100</f>
        <v>11496302</v>
      </c>
      <c r="I141" s="73">
        <f>+'8. WAMKK'!I100</f>
        <v>24377110</v>
      </c>
      <c r="J141" s="73">
        <f>+'8. WAMKK'!J100</f>
        <v>0</v>
      </c>
      <c r="K141" s="73"/>
      <c r="L141" s="710">
        <f t="shared" si="158"/>
        <v>0.40573386844375503</v>
      </c>
      <c r="M141" s="710">
        <f t="shared" si="159"/>
        <v>0.77121793608749623</v>
      </c>
      <c r="N141" s="749">
        <f t="shared" si="160"/>
        <v>0</v>
      </c>
      <c r="O141" s="692"/>
      <c r="P141" s="501">
        <f>+'8. WAMKK'!P100</f>
        <v>0</v>
      </c>
      <c r="Q141" s="73">
        <f>+'8. WAMKK'!Q100</f>
        <v>3274000</v>
      </c>
      <c r="R141" s="73">
        <f>+'8. WAMKK'!R100</f>
        <v>0</v>
      </c>
      <c r="S141" s="73">
        <f t="shared" si="161"/>
        <v>3274000</v>
      </c>
      <c r="T141" s="502"/>
      <c r="U141" s="74"/>
    </row>
    <row r="142" spans="1:21" x14ac:dyDescent="0.25">
      <c r="B142" s="56" t="str">
        <f t="shared" si="157"/>
        <v>Központi Konyha</v>
      </c>
      <c r="C142" s="501">
        <f>+'9. Közp. Konyha'!C100</f>
        <v>71398746</v>
      </c>
      <c r="D142" s="73">
        <f>+'9. Közp. Konyha'!D100</f>
        <v>71398746</v>
      </c>
      <c r="E142" s="73">
        <f>+'9. Közp. Konyha'!E100</f>
        <v>71398746</v>
      </c>
      <c r="F142" s="462">
        <f>+'9. Közp. Konyha'!F100</f>
        <v>0</v>
      </c>
      <c r="G142" s="73"/>
      <c r="H142" s="501">
        <f>+'9. Közp. Konyha'!H100</f>
        <v>38562308</v>
      </c>
      <c r="I142" s="73">
        <f>+'9. Közp. Konyha'!I100</f>
        <v>52378460</v>
      </c>
      <c r="J142" s="73">
        <f>+'9. Közp. Konyha'!J100</f>
        <v>0</v>
      </c>
      <c r="K142" s="73"/>
      <c r="L142" s="710">
        <f t="shared" si="158"/>
        <v>0.54009783309079407</v>
      </c>
      <c r="M142" s="710">
        <f t="shared" si="159"/>
        <v>0.73360476106961314</v>
      </c>
      <c r="N142" s="749">
        <f t="shared" si="160"/>
        <v>0</v>
      </c>
      <c r="O142" s="692"/>
      <c r="P142" s="501">
        <f>+'9. Közp. Konyha'!P100</f>
        <v>0</v>
      </c>
      <c r="Q142" s="73">
        <f>+'9. Közp. Konyha'!Q100</f>
        <v>0</v>
      </c>
      <c r="R142" s="73">
        <f>+'9. Közp. Konyha'!R100</f>
        <v>0</v>
      </c>
      <c r="S142" s="73">
        <f t="shared" si="161"/>
        <v>0</v>
      </c>
      <c r="T142" s="502"/>
      <c r="U142" s="74"/>
    </row>
    <row r="143" spans="1:21" ht="8.1" customHeight="1" x14ac:dyDescent="0.25">
      <c r="B143" s="386" t="s">
        <v>453</v>
      </c>
      <c r="C143" s="503"/>
      <c r="D143" s="385"/>
      <c r="E143" s="385"/>
      <c r="F143" s="514"/>
      <c r="G143" s="385"/>
      <c r="H143" s="503"/>
      <c r="I143" s="385"/>
      <c r="J143" s="385"/>
      <c r="K143" s="385"/>
      <c r="L143" s="750"/>
      <c r="M143" s="750"/>
      <c r="N143" s="751"/>
      <c r="O143" s="744"/>
      <c r="P143" s="503"/>
      <c r="Q143" s="385"/>
      <c r="R143" s="385"/>
      <c r="S143" s="385"/>
      <c r="T143" s="502"/>
      <c r="U143" s="74"/>
    </row>
    <row r="144" spans="1:21" x14ac:dyDescent="0.25">
      <c r="B144" s="367" t="s">
        <v>447</v>
      </c>
      <c r="C144" s="504">
        <f>SUM(C136:C142)</f>
        <v>517324859.02999997</v>
      </c>
      <c r="D144" s="368">
        <f t="shared" ref="D144:F144" si="162">SUM(D136:D142)</f>
        <v>526172037</v>
      </c>
      <c r="E144" s="368">
        <f t="shared" si="162"/>
        <v>529446037</v>
      </c>
      <c r="F144" s="515">
        <f t="shared" si="162"/>
        <v>0</v>
      </c>
      <c r="G144" s="368"/>
      <c r="H144" s="504">
        <f t="shared" ref="H144:J144" si="163">SUM(H136:H142)</f>
        <v>259780182</v>
      </c>
      <c r="I144" s="368">
        <f t="shared" si="163"/>
        <v>384301924</v>
      </c>
      <c r="J144" s="368">
        <f t="shared" si="163"/>
        <v>0</v>
      </c>
      <c r="K144" s="368"/>
      <c r="L144" s="752">
        <f t="shared" si="158"/>
        <v>0.49371719462925395</v>
      </c>
      <c r="M144" s="752">
        <f t="shared" si="159"/>
        <v>0.7258566447632131</v>
      </c>
      <c r="N144" s="753">
        <f t="shared" si="160"/>
        <v>0</v>
      </c>
      <c r="O144" s="745"/>
      <c r="P144" s="504">
        <f>SUM(P137:P142)</f>
        <v>8847177.9699999988</v>
      </c>
      <c r="Q144" s="368">
        <f>SUM(Q136:Q142)</f>
        <v>3274000</v>
      </c>
      <c r="R144" s="368">
        <f>SUM(R136:R142)</f>
        <v>0</v>
      </c>
      <c r="S144" s="368">
        <f>+P144*P$8+Q144*Q$8+R144*R$8</f>
        <v>12121177.969999999</v>
      </c>
      <c r="T144" s="502"/>
      <c r="U144" s="74"/>
    </row>
    <row r="145" spans="3:20" x14ac:dyDescent="0.25">
      <c r="C145" s="506"/>
      <c r="D145" s="516"/>
      <c r="E145" s="516"/>
      <c r="F145" s="529"/>
      <c r="H145" s="506"/>
      <c r="I145" s="516"/>
      <c r="J145" s="516"/>
      <c r="K145" s="516"/>
      <c r="L145" s="754"/>
      <c r="M145" s="754"/>
      <c r="N145" s="755"/>
      <c r="O145" s="693"/>
      <c r="P145" s="506"/>
      <c r="Q145" s="507"/>
      <c r="R145" s="507"/>
      <c r="S145" s="507"/>
      <c r="T145" s="508"/>
    </row>
    <row r="146" spans="3:20" x14ac:dyDescent="0.25">
      <c r="C146" s="23"/>
      <c r="L146" s="710"/>
      <c r="M146" s="710"/>
      <c r="N146" s="710"/>
      <c r="O146" s="693"/>
    </row>
    <row r="147" spans="3:20" x14ac:dyDescent="0.25">
      <c r="C147" s="23"/>
      <c r="L147" s="710"/>
      <c r="M147" s="710"/>
      <c r="N147" s="710"/>
      <c r="O147" s="693"/>
    </row>
    <row r="148" spans="3:20" x14ac:dyDescent="0.25">
      <c r="C148" s="23"/>
      <c r="L148" s="710"/>
      <c r="M148" s="710"/>
      <c r="N148" s="710"/>
      <c r="O148" s="693"/>
    </row>
    <row r="149" spans="3:20" x14ac:dyDescent="0.25">
      <c r="C149" s="23"/>
      <c r="L149" s="710"/>
      <c r="M149" s="710"/>
      <c r="N149" s="710"/>
      <c r="O149" s="693"/>
    </row>
    <row r="150" spans="3:20" x14ac:dyDescent="0.25">
      <c r="C150" s="23"/>
      <c r="L150" s="710"/>
      <c r="M150" s="710"/>
      <c r="N150" s="710"/>
      <c r="O150" s="693"/>
    </row>
    <row r="151" spans="3:20" x14ac:dyDescent="0.25">
      <c r="C151" s="23"/>
      <c r="L151" s="710"/>
      <c r="M151" s="710"/>
      <c r="N151" s="710"/>
      <c r="O151" s="693"/>
    </row>
    <row r="152" spans="3:20" x14ac:dyDescent="0.25">
      <c r="C152" s="23"/>
      <c r="L152" s="710"/>
      <c r="M152" s="710"/>
      <c r="N152" s="710"/>
      <c r="O152" s="693"/>
    </row>
    <row r="153" spans="3:20" x14ac:dyDescent="0.25">
      <c r="L153" s="695"/>
      <c r="M153" s="695"/>
      <c r="N153" s="695"/>
      <c r="O153" s="69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96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00"/>
  <sheetViews>
    <sheetView view="pageBreakPreview" zoomScale="75" zoomScaleNormal="75" zoomScaleSheetLayoutView="75" workbookViewId="0">
      <selection activeCell="R9" sqref="R9"/>
    </sheetView>
  </sheetViews>
  <sheetFormatPr defaultRowHeight="13.2" x14ac:dyDescent="0.25"/>
  <cols>
    <col min="1" max="1" width="8.44140625" style="22" customWidth="1"/>
    <col min="2" max="2" width="40" style="22" customWidth="1"/>
    <col min="3" max="3" width="14.6640625" style="22" customWidth="1"/>
    <col min="4" max="5" width="14.6640625" style="23" customWidth="1"/>
    <col min="6" max="6" width="14.6640625" style="23" hidden="1" customWidth="1"/>
    <col min="7" max="7" width="0.6640625" style="23" customWidth="1"/>
    <col min="8" max="8" width="14.6640625" style="22" customWidth="1"/>
    <col min="9" max="9" width="14.6640625" style="23" customWidth="1"/>
    <col min="10" max="10" width="17.33203125" style="23" hidden="1" customWidth="1"/>
    <col min="11" max="11" width="0.6640625" style="23" customWidth="1"/>
    <col min="12" max="13" width="14.109375" style="22" customWidth="1"/>
    <col min="14" max="14" width="14.109375" style="22" hidden="1" customWidth="1"/>
    <col min="15" max="15" width="0.6640625" style="23" customWidth="1"/>
    <col min="16" max="17" width="13.6640625" style="22" customWidth="1"/>
    <col min="18" max="18" width="13.6640625" style="22" hidden="1" customWidth="1"/>
    <col min="19" max="19" width="13.6640625" style="22" customWidth="1"/>
    <col min="20" max="20" width="13.44140625" style="22" customWidth="1"/>
  </cols>
  <sheetData>
    <row r="1" spans="1:25" ht="24.6" x14ac:dyDescent="0.4">
      <c r="A1" s="230" t="s">
        <v>540</v>
      </c>
      <c r="B1" s="229"/>
      <c r="C1" s="229"/>
      <c r="D1" s="229"/>
      <c r="E1" s="229"/>
      <c r="F1" s="344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5" hidden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hidden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ht="13.8" thickBot="1" x14ac:dyDescent="0.3">
      <c r="B4" s="4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>
        <v>1</v>
      </c>
      <c r="Q4" s="63">
        <v>1</v>
      </c>
      <c r="R4" s="63">
        <v>0</v>
      </c>
      <c r="S4" s="63"/>
      <c r="T4" s="46"/>
    </row>
    <row r="5" spans="1:25" ht="14.1" hidden="1" customHeight="1" x14ac:dyDescent="0.25">
      <c r="A5" s="46"/>
      <c r="B5" s="46"/>
      <c r="C5" s="345"/>
      <c r="D5" s="345"/>
      <c r="E5" s="345"/>
      <c r="F5" s="345"/>
      <c r="G5" s="345"/>
      <c r="H5" s="346"/>
      <c r="I5" s="346"/>
      <c r="J5" s="346"/>
      <c r="K5" s="345"/>
      <c r="L5" s="347"/>
      <c r="M5" s="36"/>
      <c r="N5" s="36"/>
      <c r="O5" s="345"/>
      <c r="P5" s="346"/>
      <c r="Q5" s="346"/>
      <c r="R5" s="346"/>
      <c r="S5" s="346"/>
      <c r="T5" s="36"/>
    </row>
    <row r="6" spans="1:25" ht="14.1" hidden="1" customHeight="1" x14ac:dyDescent="0.25">
      <c r="A6" s="46"/>
      <c r="B6" s="46"/>
      <c r="C6" s="345"/>
      <c r="D6" s="345"/>
      <c r="E6" s="345"/>
      <c r="F6" s="345"/>
      <c r="G6" s="345"/>
      <c r="H6" s="346"/>
      <c r="I6" s="346"/>
      <c r="J6" s="346"/>
      <c r="K6" s="345"/>
      <c r="L6" s="347"/>
      <c r="M6" s="36"/>
      <c r="N6" s="36"/>
      <c r="O6" s="345"/>
      <c r="P6" s="346"/>
      <c r="Q6" s="346"/>
      <c r="R6" s="346"/>
      <c r="S6" s="346"/>
      <c r="T6" s="36"/>
    </row>
    <row r="7" spans="1:25" ht="15.6" x14ac:dyDescent="0.3">
      <c r="A7" s="46"/>
      <c r="B7" s="46"/>
      <c r="C7" s="869" t="s">
        <v>410</v>
      </c>
      <c r="D7" s="870"/>
      <c r="E7" s="870"/>
      <c r="F7" s="871"/>
      <c r="G7" s="348"/>
      <c r="H7" s="869" t="s">
        <v>409</v>
      </c>
      <c r="I7" s="872"/>
      <c r="J7" s="872"/>
      <c r="K7" s="872"/>
      <c r="L7" s="872"/>
      <c r="M7" s="872"/>
      <c r="N7" s="873"/>
      <c r="O7" s="348"/>
      <c r="P7" s="869" t="s">
        <v>406</v>
      </c>
      <c r="Q7" s="870"/>
      <c r="R7" s="870"/>
      <c r="S7" s="870"/>
      <c r="T7" s="871"/>
    </row>
    <row r="8" spans="1:25" ht="13.8" x14ac:dyDescent="0.25">
      <c r="A8" s="46"/>
      <c r="B8" s="46"/>
      <c r="C8" s="440"/>
      <c r="D8" s="381"/>
      <c r="E8" s="381"/>
      <c r="F8" s="424"/>
      <c r="G8" s="345"/>
      <c r="H8" s="874" t="s">
        <v>422</v>
      </c>
      <c r="I8" s="875"/>
      <c r="J8" s="876"/>
      <c r="K8" s="380"/>
      <c r="L8" s="867" t="s">
        <v>421</v>
      </c>
      <c r="M8" s="866"/>
      <c r="N8" s="877"/>
      <c r="O8" s="345"/>
      <c r="P8" s="423"/>
      <c r="Q8" s="381"/>
      <c r="R8" s="381"/>
      <c r="S8" s="381"/>
      <c r="T8" s="424"/>
    </row>
    <row r="9" spans="1:25" s="1" customFormat="1" ht="64.5" customHeight="1" x14ac:dyDescent="0.25">
      <c r="A9" s="360" t="s">
        <v>372</v>
      </c>
      <c r="B9" s="360" t="s">
        <v>370</v>
      </c>
      <c r="C9" s="523" t="s">
        <v>550</v>
      </c>
      <c r="D9" s="361" t="s">
        <v>551</v>
      </c>
      <c r="E9" s="361" t="s">
        <v>552</v>
      </c>
      <c r="F9" s="524" t="s">
        <v>633</v>
      </c>
      <c r="G9" s="361"/>
      <c r="H9" s="497" t="s">
        <v>553</v>
      </c>
      <c r="I9" s="362" t="s">
        <v>554</v>
      </c>
      <c r="J9" s="362" t="s">
        <v>574</v>
      </c>
      <c r="K9" s="361"/>
      <c r="L9" s="363" t="s">
        <v>555</v>
      </c>
      <c r="M9" s="363" t="s">
        <v>556</v>
      </c>
      <c r="N9" s="498" t="s">
        <v>632</v>
      </c>
      <c r="O9" s="361"/>
      <c r="P9" s="497" t="s">
        <v>557</v>
      </c>
      <c r="Q9" s="362" t="s">
        <v>558</v>
      </c>
      <c r="R9" s="362" t="s">
        <v>631</v>
      </c>
      <c r="S9" s="362" t="s">
        <v>407</v>
      </c>
      <c r="T9" s="498" t="s">
        <v>408</v>
      </c>
    </row>
    <row r="10" spans="1:25" ht="13.8" thickBot="1" x14ac:dyDescent="0.3">
      <c r="A10" s="364"/>
      <c r="B10" s="47"/>
      <c r="C10" s="441"/>
      <c r="D10" s="365"/>
      <c r="E10" s="365"/>
      <c r="F10" s="442"/>
      <c r="G10" s="365"/>
      <c r="H10" s="425"/>
      <c r="I10" s="344"/>
      <c r="J10" s="459"/>
      <c r="K10" s="365"/>
      <c r="L10" s="358"/>
      <c r="M10" s="366"/>
      <c r="N10" s="435"/>
      <c r="O10" s="365"/>
      <c r="P10" s="425"/>
      <c r="Q10" s="344"/>
      <c r="R10" s="344"/>
      <c r="S10" s="344"/>
      <c r="T10" s="426"/>
    </row>
    <row r="11" spans="1:25" ht="18" thickBot="1" x14ac:dyDescent="0.35">
      <c r="A11" s="414" t="str">
        <f>+'bevételi segédtábla'!B28</f>
        <v>Sülysáp Város Önkormányzata</v>
      </c>
      <c r="B11" s="415"/>
      <c r="C11" s="74"/>
      <c r="D11" s="74"/>
      <c r="E11" s="74"/>
      <c r="F11" s="444"/>
      <c r="G11" s="74"/>
      <c r="H11" s="436"/>
      <c r="I11" s="218"/>
      <c r="J11" s="460"/>
      <c r="K11" s="74"/>
      <c r="L11" s="87"/>
      <c r="M11" s="87"/>
      <c r="N11" s="408"/>
      <c r="O11" s="74"/>
      <c r="P11" s="427"/>
      <c r="Q11" s="73"/>
      <c r="R11" s="73"/>
      <c r="S11" s="73"/>
      <c r="T11" s="408"/>
    </row>
    <row r="12" spans="1:25" x14ac:dyDescent="0.25">
      <c r="A12" s="399"/>
      <c r="B12" s="400"/>
      <c r="C12" s="428"/>
      <c r="D12" s="420"/>
      <c r="E12" s="420"/>
      <c r="F12" s="445"/>
      <c r="G12" s="420"/>
      <c r="H12" s="437"/>
      <c r="I12" s="421"/>
      <c r="J12" s="461"/>
      <c r="K12" s="420"/>
      <c r="L12" s="422"/>
      <c r="M12" s="422"/>
      <c r="N12" s="402"/>
      <c r="O12" s="420"/>
      <c r="P12" s="428"/>
      <c r="Q12" s="419"/>
      <c r="R12" s="419"/>
      <c r="S12" s="419"/>
      <c r="T12" s="402"/>
    </row>
    <row r="13" spans="1:25" x14ac:dyDescent="0.25">
      <c r="A13" s="403" t="s">
        <v>0</v>
      </c>
      <c r="B13" s="22" t="s">
        <v>3</v>
      </c>
      <c r="C13" s="427">
        <f>+'3. Önk. Kiadások'!C13</f>
        <v>66622000</v>
      </c>
      <c r="D13" s="73">
        <f>+'3. Önk. Kiadások'!D13</f>
        <v>68241000</v>
      </c>
      <c r="E13" s="73">
        <f>+'3. Önk. Kiadások'!E13</f>
        <v>68524797</v>
      </c>
      <c r="F13" s="438">
        <f>+'3. Önk. Kiadások'!F13</f>
        <v>0</v>
      </c>
      <c r="G13" s="73">
        <f>+'3. Önk. Kiadások'!G13</f>
        <v>0</v>
      </c>
      <c r="H13" s="427">
        <f>+'3. Önk. Kiadások'!H13</f>
        <v>33091181</v>
      </c>
      <c r="I13" s="73">
        <f>+'3. Önk. Kiadások'!I13</f>
        <v>52878824</v>
      </c>
      <c r="J13" s="462">
        <f>+'3. Önk. Kiadások'!J13</f>
        <v>0</v>
      </c>
      <c r="K13" s="73"/>
      <c r="L13" s="534">
        <f>IF(D13=0,0,H13/D13)</f>
        <v>0.4849164138860802</v>
      </c>
      <c r="M13" s="534">
        <f>IF(E13=0,0,I13/E13)</f>
        <v>0.77167428894389867</v>
      </c>
      <c r="N13" s="535">
        <f>IF(F13=0,0,J13/F13)</f>
        <v>0</v>
      </c>
      <c r="O13" s="73"/>
      <c r="P13" s="427">
        <f>+D13-C13</f>
        <v>1619000</v>
      </c>
      <c r="Q13" s="73">
        <f>+E13-D13</f>
        <v>283797</v>
      </c>
      <c r="R13" s="73">
        <f>+F13-E13</f>
        <v>-68524797</v>
      </c>
      <c r="S13" s="73">
        <f>+P$4*P13+Q$4*Q13*R$4*R13</f>
        <v>1619000</v>
      </c>
      <c r="T13" s="550">
        <f>IF(S13=0,0,S13/C13)</f>
        <v>2.4301281858845426E-2</v>
      </c>
    </row>
    <row r="14" spans="1:25" x14ac:dyDescent="0.25">
      <c r="A14" s="403" t="s">
        <v>26</v>
      </c>
      <c r="B14" s="56" t="s">
        <v>27</v>
      </c>
      <c r="C14" s="427">
        <f>+'3. Önk. Kiadások'!C29</f>
        <v>11000000</v>
      </c>
      <c r="D14" s="73">
        <f>+'3. Önk. Kiadások'!D29</f>
        <v>11000000</v>
      </c>
      <c r="E14" s="73">
        <f>+'3. Önk. Kiadások'!E29</f>
        <v>11000000</v>
      </c>
      <c r="F14" s="438">
        <f>+'3. Önk. Kiadások'!F29</f>
        <v>0</v>
      </c>
      <c r="G14" s="74"/>
      <c r="H14" s="427">
        <f>+'3. Önk. Kiadások'!H29</f>
        <v>5790855</v>
      </c>
      <c r="I14" s="73">
        <f>+'3. Önk. Kiadások'!I29</f>
        <v>8980382</v>
      </c>
      <c r="J14" s="462">
        <f>+'3. Önk. Kiadások'!J29</f>
        <v>0</v>
      </c>
      <c r="K14" s="74"/>
      <c r="L14" s="534">
        <f t="shared" ref="L14:L21" si="0">IF(D14=0,0,H14/D14)</f>
        <v>0.52644136363636362</v>
      </c>
      <c r="M14" s="534">
        <f t="shared" ref="M14:M21" si="1">IF(E14=0,0,I14/E14)</f>
        <v>0.81639836363636364</v>
      </c>
      <c r="N14" s="535">
        <f t="shared" ref="N14:N21" si="2">IF(F14=0,0,J14/F14)</f>
        <v>0</v>
      </c>
      <c r="O14" s="74"/>
      <c r="P14" s="427">
        <f t="shared" ref="P14:P21" si="3">+D14-C14</f>
        <v>0</v>
      </c>
      <c r="Q14" s="73">
        <f t="shared" ref="Q14:Q21" si="4">+E14-D14</f>
        <v>0</v>
      </c>
      <c r="R14" s="73">
        <f>+'3. Önk. Kiadások'!R29</f>
        <v>0</v>
      </c>
      <c r="S14" s="73">
        <f t="shared" ref="S14:S21" si="5">+P$4*P14+Q$4*Q14*R$4*R14</f>
        <v>0</v>
      </c>
      <c r="T14" s="550">
        <f t="shared" ref="T14:T33" si="6">IF(S14=0,0,S14/C14)</f>
        <v>0</v>
      </c>
    </row>
    <row r="15" spans="1:25" x14ac:dyDescent="0.25">
      <c r="A15" s="403" t="s">
        <v>29</v>
      </c>
      <c r="B15" s="56" t="s">
        <v>30</v>
      </c>
      <c r="C15" s="427">
        <f>+'3. Önk. Kiadások'!C32</f>
        <v>162428000</v>
      </c>
      <c r="D15" s="73">
        <f>+'3. Önk. Kiadások'!D32</f>
        <v>150452970</v>
      </c>
      <c r="E15" s="73">
        <f>+'3. Önk. Kiadások'!E32</f>
        <v>201226541</v>
      </c>
      <c r="F15" s="438">
        <f>+'3. Önk. Kiadások'!F32</f>
        <v>0</v>
      </c>
      <c r="G15" s="74"/>
      <c r="H15" s="427">
        <f>+'3. Önk. Kiadások'!H32</f>
        <v>67263471</v>
      </c>
      <c r="I15" s="73">
        <f>+'3. Önk. Kiadások'!I32</f>
        <v>127937757</v>
      </c>
      <c r="J15" s="462">
        <f>+'3. Önk. Kiadások'!J32</f>
        <v>0</v>
      </c>
      <c r="K15" s="74"/>
      <c r="L15" s="534">
        <f t="shared" si="0"/>
        <v>0.44707306874699781</v>
      </c>
      <c r="M15" s="534">
        <f t="shared" si="1"/>
        <v>0.63578967448434154</v>
      </c>
      <c r="N15" s="535">
        <f t="shared" si="2"/>
        <v>0</v>
      </c>
      <c r="O15" s="74"/>
      <c r="P15" s="427">
        <f t="shared" si="3"/>
        <v>-11975030</v>
      </c>
      <c r="Q15" s="73">
        <f t="shared" si="4"/>
        <v>50773571</v>
      </c>
      <c r="R15" s="73">
        <f>+'3. Önk. Kiadások'!R32</f>
        <v>0</v>
      </c>
      <c r="S15" s="73">
        <f t="shared" si="5"/>
        <v>-11975030</v>
      </c>
      <c r="T15" s="550">
        <f t="shared" si="6"/>
        <v>-7.3725158223951537E-2</v>
      </c>
    </row>
    <row r="16" spans="1:25" x14ac:dyDescent="0.25">
      <c r="A16" s="403" t="s">
        <v>111</v>
      </c>
      <c r="B16" s="56" t="s">
        <v>536</v>
      </c>
      <c r="C16" s="427">
        <f>+'3. Önk. Kiadások'!C81</f>
        <v>22100000</v>
      </c>
      <c r="D16" s="73">
        <f>+'3. Önk. Kiadások'!D81</f>
        <v>24267500</v>
      </c>
      <c r="E16" s="73">
        <f>+'3. Önk. Kiadások'!E81</f>
        <v>20200000</v>
      </c>
      <c r="F16" s="438">
        <f>+'3. Önk. Kiadások'!F81</f>
        <v>0</v>
      </c>
      <c r="G16" s="74"/>
      <c r="H16" s="427">
        <f>+'3. Önk. Kiadások'!H81</f>
        <v>7396231</v>
      </c>
      <c r="I16" s="73">
        <f>+'3. Önk. Kiadások'!I81</f>
        <v>10496866</v>
      </c>
      <c r="J16" s="462">
        <f>+'3. Önk. Kiadások'!J81</f>
        <v>0</v>
      </c>
      <c r="K16" s="74"/>
      <c r="L16" s="534">
        <f t="shared" si="0"/>
        <v>0.30477927268981148</v>
      </c>
      <c r="M16" s="534">
        <f t="shared" si="1"/>
        <v>0.51964683168316828</v>
      </c>
      <c r="N16" s="535">
        <f t="shared" si="2"/>
        <v>0</v>
      </c>
      <c r="O16" s="74"/>
      <c r="P16" s="427">
        <f t="shared" si="3"/>
        <v>2167500</v>
      </c>
      <c r="Q16" s="73">
        <f t="shared" si="4"/>
        <v>-4067500</v>
      </c>
      <c r="R16" s="73">
        <f>+'3. Önk. Kiadások'!R81</f>
        <v>0</v>
      </c>
      <c r="S16" s="73">
        <f t="shared" si="5"/>
        <v>2167500</v>
      </c>
      <c r="T16" s="550">
        <f t="shared" si="6"/>
        <v>9.8076923076923075E-2</v>
      </c>
    </row>
    <row r="17" spans="1:20" x14ac:dyDescent="0.25">
      <c r="A17" s="404" t="s">
        <v>375</v>
      </c>
      <c r="B17" s="56" t="s">
        <v>141</v>
      </c>
      <c r="C17" s="427">
        <f>+'3. Önk. Kiadások'!C106</f>
        <v>106777000</v>
      </c>
      <c r="D17" s="73">
        <f>+'3. Önk. Kiadások'!D106</f>
        <v>114831425</v>
      </c>
      <c r="E17" s="73">
        <f>+'3. Önk. Kiadások'!E106</f>
        <v>126926504</v>
      </c>
      <c r="F17" s="438">
        <f>+'3. Önk. Kiadások'!F106</f>
        <v>0</v>
      </c>
      <c r="G17" s="74"/>
      <c r="H17" s="427">
        <f>+'3. Önk. Kiadások'!H106</f>
        <v>68417711</v>
      </c>
      <c r="I17" s="73">
        <f>+'3. Önk. Kiadások'!I106</f>
        <v>111271404</v>
      </c>
      <c r="J17" s="462">
        <f>+'3. Önk. Kiadások'!J106</f>
        <v>0</v>
      </c>
      <c r="K17" s="74"/>
      <c r="L17" s="534">
        <f t="shared" si="0"/>
        <v>0.59580999713275351</v>
      </c>
      <c r="M17" s="534">
        <f t="shared" si="1"/>
        <v>0.87666011820509926</v>
      </c>
      <c r="N17" s="535">
        <f t="shared" si="2"/>
        <v>0</v>
      </c>
      <c r="O17" s="74"/>
      <c r="P17" s="427">
        <f t="shared" si="3"/>
        <v>8054425</v>
      </c>
      <c r="Q17" s="73">
        <f t="shared" si="4"/>
        <v>12095079</v>
      </c>
      <c r="R17" s="73">
        <f>+'3. Önk. Kiadások'!R106</f>
        <v>0</v>
      </c>
      <c r="S17" s="73">
        <f t="shared" si="5"/>
        <v>8054425</v>
      </c>
      <c r="T17" s="550">
        <f t="shared" si="6"/>
        <v>7.5432209183625684E-2</v>
      </c>
    </row>
    <row r="18" spans="1:20" x14ac:dyDescent="0.25">
      <c r="A18" s="403" t="s">
        <v>158</v>
      </c>
      <c r="B18" s="56" t="s">
        <v>159</v>
      </c>
      <c r="C18" s="427">
        <f>+'3. Önk. Kiadások'!C120</f>
        <v>792250000</v>
      </c>
      <c r="D18" s="73">
        <f>+'3. Önk. Kiadások'!D120</f>
        <v>793165620</v>
      </c>
      <c r="E18" s="73">
        <f>+'3. Önk. Kiadások'!E120</f>
        <v>742381620</v>
      </c>
      <c r="F18" s="438">
        <f>+'3. Önk. Kiadások'!F120</f>
        <v>0</v>
      </c>
      <c r="G18" s="74"/>
      <c r="H18" s="427">
        <f>+'3. Önk. Kiadások'!H120</f>
        <v>97143389</v>
      </c>
      <c r="I18" s="73">
        <f>+'3. Önk. Kiadások'!I120</f>
        <v>175947301</v>
      </c>
      <c r="J18" s="462">
        <f>+'3. Önk. Kiadások'!J120</f>
        <v>0</v>
      </c>
      <c r="K18" s="74"/>
      <c r="L18" s="534">
        <f t="shared" si="0"/>
        <v>0.12247554174120659</v>
      </c>
      <c r="M18" s="534">
        <f t="shared" si="1"/>
        <v>0.23700384850583989</v>
      </c>
      <c r="N18" s="535">
        <f t="shared" si="2"/>
        <v>0</v>
      </c>
      <c r="O18" s="74"/>
      <c r="P18" s="427">
        <f t="shared" si="3"/>
        <v>915620</v>
      </c>
      <c r="Q18" s="73">
        <f t="shared" si="4"/>
        <v>-50784000</v>
      </c>
      <c r="R18" s="73">
        <f>+'3. Önk. Kiadások'!R120</f>
        <v>0</v>
      </c>
      <c r="S18" s="73">
        <f t="shared" si="5"/>
        <v>915620</v>
      </c>
      <c r="T18" s="550">
        <f t="shared" si="6"/>
        <v>1.1557210476491006E-3</v>
      </c>
    </row>
    <row r="19" spans="1:20" x14ac:dyDescent="0.25">
      <c r="A19" s="403" t="s">
        <v>173</v>
      </c>
      <c r="B19" s="56" t="s">
        <v>174</v>
      </c>
      <c r="C19" s="427">
        <f>+'3. Önk. Kiadások'!C129</f>
        <v>198800000</v>
      </c>
      <c r="D19" s="73">
        <f>+'3. Önk. Kiadások'!D129</f>
        <v>198800000</v>
      </c>
      <c r="E19" s="73">
        <f>+'3. Önk. Kiadások'!E129</f>
        <v>197263000</v>
      </c>
      <c r="F19" s="438">
        <f>+'3. Önk. Kiadások'!F129</f>
        <v>0</v>
      </c>
      <c r="G19" s="74"/>
      <c r="H19" s="427">
        <f>+'3. Önk. Kiadások'!H129</f>
        <v>15737344</v>
      </c>
      <c r="I19" s="73">
        <f>+'3. Önk. Kiadások'!I129</f>
        <v>68275190</v>
      </c>
      <c r="J19" s="462">
        <f>+'3. Önk. Kiadások'!J129</f>
        <v>0</v>
      </c>
      <c r="K19" s="74"/>
      <c r="L19" s="534">
        <f t="shared" si="0"/>
        <v>7.9161690140845065E-2</v>
      </c>
      <c r="M19" s="534">
        <f t="shared" si="1"/>
        <v>0.34611249955642975</v>
      </c>
      <c r="N19" s="535">
        <f t="shared" si="2"/>
        <v>0</v>
      </c>
      <c r="O19" s="74"/>
      <c r="P19" s="427">
        <f t="shared" si="3"/>
        <v>0</v>
      </c>
      <c r="Q19" s="73">
        <f t="shared" si="4"/>
        <v>-1537000</v>
      </c>
      <c r="R19" s="73">
        <f>+'3. Önk. Kiadások'!R129</f>
        <v>0</v>
      </c>
      <c r="S19" s="73">
        <f t="shared" si="5"/>
        <v>0</v>
      </c>
      <c r="T19" s="550">
        <f t="shared" si="6"/>
        <v>0</v>
      </c>
    </row>
    <row r="20" spans="1:20" x14ac:dyDescent="0.25">
      <c r="A20" s="403" t="s">
        <v>183</v>
      </c>
      <c r="B20" s="56" t="s">
        <v>48</v>
      </c>
      <c r="C20" s="427">
        <f>+'3. Önk. Kiadások'!C135</f>
        <v>0</v>
      </c>
      <c r="D20" s="73">
        <f>+'3. Önk. Kiadások'!D135</f>
        <v>0</v>
      </c>
      <c r="E20" s="73">
        <f>+'3. Önk. Kiadások'!E135</f>
        <v>0</v>
      </c>
      <c r="F20" s="438">
        <f>+'3. Önk. Kiadások'!F135</f>
        <v>0</v>
      </c>
      <c r="G20" s="74"/>
      <c r="H20" s="427">
        <f>+'3. Önk. Kiadások'!H135</f>
        <v>0</v>
      </c>
      <c r="I20" s="73">
        <f>+'3. Önk. Kiadások'!I135</f>
        <v>0</v>
      </c>
      <c r="J20" s="462">
        <f>+'3. Önk. Kiadások'!J135</f>
        <v>0</v>
      </c>
      <c r="K20" s="74"/>
      <c r="L20" s="534">
        <f t="shared" si="0"/>
        <v>0</v>
      </c>
      <c r="M20" s="534">
        <f t="shared" si="1"/>
        <v>0</v>
      </c>
      <c r="N20" s="535">
        <f t="shared" si="2"/>
        <v>0</v>
      </c>
      <c r="O20" s="74"/>
      <c r="P20" s="427">
        <f t="shared" si="3"/>
        <v>0</v>
      </c>
      <c r="Q20" s="73">
        <f t="shared" si="4"/>
        <v>0</v>
      </c>
      <c r="R20" s="73">
        <f>+'3. Önk. Kiadások'!R135</f>
        <v>0</v>
      </c>
      <c r="S20" s="73">
        <f t="shared" si="5"/>
        <v>0</v>
      </c>
      <c r="T20" s="550">
        <f t="shared" si="6"/>
        <v>0</v>
      </c>
    </row>
    <row r="21" spans="1:20" x14ac:dyDescent="0.25">
      <c r="A21" s="403" t="s">
        <v>201</v>
      </c>
      <c r="B21" s="56" t="s">
        <v>202</v>
      </c>
      <c r="C21" s="427">
        <f>+'3. Önk. Kiadások'!C145</f>
        <v>535243607.02999997</v>
      </c>
      <c r="D21" s="73">
        <f>+'3. Önk. Kiadások'!D145</f>
        <v>544090785</v>
      </c>
      <c r="E21" s="73">
        <f>+'3. Önk. Kiadások'!E145</f>
        <v>547364785</v>
      </c>
      <c r="F21" s="438">
        <f>+'3. Önk. Kiadások'!F145</f>
        <v>0</v>
      </c>
      <c r="G21" s="74"/>
      <c r="H21" s="427">
        <f>+'3. Önk. Kiadások'!H145</f>
        <v>277698930</v>
      </c>
      <c r="I21" s="73">
        <f>+'3. Önk. Kiadások'!I145</f>
        <v>402220672</v>
      </c>
      <c r="J21" s="462">
        <f>+'3. Önk. Kiadások'!J145</f>
        <v>0</v>
      </c>
      <c r="K21" s="74"/>
      <c r="L21" s="534">
        <f t="shared" si="0"/>
        <v>0.51039079810917953</v>
      </c>
      <c r="M21" s="534">
        <f t="shared" si="1"/>
        <v>0.73483110901991988</v>
      </c>
      <c r="N21" s="535">
        <f t="shared" si="2"/>
        <v>0</v>
      </c>
      <c r="O21" s="74"/>
      <c r="P21" s="427">
        <f t="shared" si="3"/>
        <v>8847177.9700000286</v>
      </c>
      <c r="Q21" s="73">
        <f t="shared" si="4"/>
        <v>3274000</v>
      </c>
      <c r="R21" s="73">
        <f>+'3. Önk. Kiadások'!R145</f>
        <v>0</v>
      </c>
      <c r="S21" s="73">
        <f t="shared" si="5"/>
        <v>8847177.9700000286</v>
      </c>
      <c r="T21" s="550">
        <f t="shared" si="6"/>
        <v>1.652925481743148E-2</v>
      </c>
    </row>
    <row r="22" spans="1:20" x14ac:dyDescent="0.25">
      <c r="A22" s="405"/>
      <c r="B22" s="389" t="s">
        <v>377</v>
      </c>
      <c r="C22" s="429">
        <f>SUM(C13:C21)</f>
        <v>1895220607.03</v>
      </c>
      <c r="D22" s="390">
        <f t="shared" ref="D22:J22" si="7">SUM(D13:D21)</f>
        <v>1904849300</v>
      </c>
      <c r="E22" s="390">
        <f t="shared" si="7"/>
        <v>1914887247</v>
      </c>
      <c r="F22" s="446">
        <f t="shared" si="7"/>
        <v>0</v>
      </c>
      <c r="G22" s="390"/>
      <c r="H22" s="429">
        <f t="shared" si="7"/>
        <v>572539112</v>
      </c>
      <c r="I22" s="390">
        <f t="shared" si="7"/>
        <v>958008396</v>
      </c>
      <c r="J22" s="391">
        <f t="shared" si="7"/>
        <v>0</v>
      </c>
      <c r="K22" s="205"/>
      <c r="L22" s="536">
        <f t="shared" ref="L22" si="8">IF(D22=0,0,H22/D22)</f>
        <v>0.30056924293171117</v>
      </c>
      <c r="M22" s="536">
        <f t="shared" ref="M22" si="9">IF(E22=0,0,I22/E22)</f>
        <v>0.50029493773112999</v>
      </c>
      <c r="N22" s="537">
        <f t="shared" ref="N22" si="10">IF(F22=0,0,J22/F22)</f>
        <v>0</v>
      </c>
      <c r="O22" s="205"/>
      <c r="P22" s="429">
        <f t="shared" ref="P22" si="11">SUM(P13:P21)</f>
        <v>9628692.9700000286</v>
      </c>
      <c r="Q22" s="390">
        <f t="shared" ref="Q22" si="12">SUM(Q13:Q21)</f>
        <v>10037947</v>
      </c>
      <c r="R22" s="390">
        <f t="shared" ref="R22" si="13">SUM(R13:R21)</f>
        <v>-68524797</v>
      </c>
      <c r="S22" s="391">
        <f t="shared" ref="S22" si="14">SUM(S13:S21)</f>
        <v>9628692.9700000286</v>
      </c>
      <c r="T22" s="551">
        <f t="shared" si="6"/>
        <v>5.0805130201117604E-3</v>
      </c>
    </row>
    <row r="23" spans="1:20" x14ac:dyDescent="0.25">
      <c r="A23" s="403"/>
      <c r="C23" s="427"/>
      <c r="D23" s="74"/>
      <c r="E23" s="74"/>
      <c r="F23" s="444"/>
      <c r="G23" s="74"/>
      <c r="H23" s="436"/>
      <c r="I23" s="219"/>
      <c r="J23" s="460"/>
      <c r="K23" s="74"/>
      <c r="L23" s="534"/>
      <c r="M23" s="534"/>
      <c r="N23" s="535"/>
      <c r="O23" s="74"/>
      <c r="P23" s="427"/>
      <c r="Q23" s="73"/>
      <c r="R23" s="73"/>
      <c r="S23" s="73"/>
      <c r="T23" s="550"/>
    </row>
    <row r="24" spans="1:20" x14ac:dyDescent="0.25">
      <c r="A24" s="403" t="s">
        <v>241</v>
      </c>
      <c r="B24" s="22" t="s">
        <v>452</v>
      </c>
      <c r="C24" s="427">
        <f>+' 2. Önk. Bevételek'!C13</f>
        <v>572340889</v>
      </c>
      <c r="D24" s="73">
        <f>+' 2. Önk. Bevételek'!D13</f>
        <v>581856889</v>
      </c>
      <c r="E24" s="73">
        <f>+' 2. Önk. Bevételek'!E13</f>
        <v>581856889</v>
      </c>
      <c r="F24" s="438">
        <f>+' 2. Önk. Bevételek'!F13</f>
        <v>0</v>
      </c>
      <c r="G24" s="73">
        <f>+'3. Önk. Kiadások'!G13</f>
        <v>0</v>
      </c>
      <c r="H24" s="427">
        <f>+' 2. Önk. Bevételek'!H13</f>
        <v>303198626</v>
      </c>
      <c r="I24" s="73">
        <f>+' 2. Önk. Bevételek'!I13</f>
        <v>462396099</v>
      </c>
      <c r="J24" s="462">
        <f>+' 2. Önk. Bevételek'!J13</f>
        <v>0</v>
      </c>
      <c r="K24" s="73"/>
      <c r="L24" s="534">
        <f t="shared" ref="L24:L33" si="15">IF(D24=0,0,H24/D24)</f>
        <v>0.52108797151321518</v>
      </c>
      <c r="M24" s="534">
        <f t="shared" ref="M24:M33" si="16">IF(E24=0,0,I24/E24)</f>
        <v>0.79469042601642204</v>
      </c>
      <c r="N24" s="535">
        <f t="shared" ref="N24:N33" si="17">IF(F24=0,0,J24/F24)</f>
        <v>0</v>
      </c>
      <c r="O24" s="73"/>
      <c r="P24" s="427">
        <f t="shared" ref="P24:P32" si="18">+D24-C24</f>
        <v>9516000</v>
      </c>
      <c r="Q24" s="73">
        <f t="shared" ref="Q24:Q32" si="19">+E24-D24</f>
        <v>0</v>
      </c>
      <c r="R24" s="73">
        <f t="shared" ref="R24:R32" si="20">+F24-E24</f>
        <v>-581856889</v>
      </c>
      <c r="S24" s="73">
        <f t="shared" ref="S24:S32" si="21">+P$4*P24+Q$4*Q24*R$4*R24</f>
        <v>9516000</v>
      </c>
      <c r="T24" s="550">
        <f t="shared" si="6"/>
        <v>1.6626454937766991E-2</v>
      </c>
    </row>
    <row r="25" spans="1:20" x14ac:dyDescent="0.25">
      <c r="A25" s="404" t="s">
        <v>262</v>
      </c>
      <c r="B25" s="22" t="s">
        <v>451</v>
      </c>
      <c r="C25" s="427">
        <f>+' 2. Önk. Bevételek'!C30</f>
        <v>285600000</v>
      </c>
      <c r="D25" s="73">
        <f>+' 2. Önk. Bevételek'!D30</f>
        <v>285600000</v>
      </c>
      <c r="E25" s="73">
        <f>+' 2. Önk. Bevételek'!E30</f>
        <v>285600000</v>
      </c>
      <c r="F25" s="438">
        <f>+' 2. Önk. Bevételek'!F30</f>
        <v>0</v>
      </c>
      <c r="G25" s="74"/>
      <c r="H25" s="427">
        <f>+' 2. Önk. Bevételek'!H30</f>
        <v>52664113</v>
      </c>
      <c r="I25" s="73">
        <f>+' 2. Önk. Bevételek'!I30</f>
        <v>50464113</v>
      </c>
      <c r="J25" s="462">
        <f>+' 2. Önk. Bevételek'!J30</f>
        <v>0</v>
      </c>
      <c r="K25" s="74"/>
      <c r="L25" s="534">
        <f t="shared" si="15"/>
        <v>0.18439815476190477</v>
      </c>
      <c r="M25" s="534">
        <f t="shared" si="16"/>
        <v>0.17669507352941177</v>
      </c>
      <c r="N25" s="535">
        <f t="shared" si="17"/>
        <v>0</v>
      </c>
      <c r="O25" s="74"/>
      <c r="P25" s="427">
        <f t="shared" si="18"/>
        <v>0</v>
      </c>
      <c r="Q25" s="73">
        <f t="shared" si="19"/>
        <v>0</v>
      </c>
      <c r="R25" s="73">
        <f t="shared" si="20"/>
        <v>-285600000</v>
      </c>
      <c r="S25" s="73">
        <f t="shared" si="21"/>
        <v>0</v>
      </c>
      <c r="T25" s="550">
        <f t="shared" si="6"/>
        <v>0</v>
      </c>
    </row>
    <row r="26" spans="1:20" x14ac:dyDescent="0.25">
      <c r="A26" s="404" t="s">
        <v>270</v>
      </c>
      <c r="B26" s="22" t="s">
        <v>271</v>
      </c>
      <c r="C26" s="427">
        <f>+' 2. Önk. Bevételek'!C39</f>
        <v>238500000</v>
      </c>
      <c r="D26" s="73">
        <f>+' 2. Önk. Bevételek'!D39</f>
        <v>238500000</v>
      </c>
      <c r="E26" s="73">
        <f>+' 2. Önk. Bevételek'!E39</f>
        <v>238500000</v>
      </c>
      <c r="F26" s="438">
        <f>+' 2. Önk. Bevételek'!F39</f>
        <v>0</v>
      </c>
      <c r="G26" s="74"/>
      <c r="H26" s="427">
        <f>+' 2. Önk. Bevételek'!H39</f>
        <v>126487519</v>
      </c>
      <c r="I26" s="73">
        <f>+' 2. Önk. Bevételek'!I39</f>
        <v>188691308</v>
      </c>
      <c r="J26" s="462">
        <f>+' 2. Önk. Bevételek'!J39</f>
        <v>0</v>
      </c>
      <c r="K26" s="74"/>
      <c r="L26" s="534">
        <f t="shared" si="15"/>
        <v>0.53034599161425577</v>
      </c>
      <c r="M26" s="534">
        <f t="shared" si="16"/>
        <v>0.79115852410901466</v>
      </c>
      <c r="N26" s="535">
        <f t="shared" si="17"/>
        <v>0</v>
      </c>
      <c r="O26" s="74"/>
      <c r="P26" s="427">
        <f t="shared" si="18"/>
        <v>0</v>
      </c>
      <c r="Q26" s="73">
        <f t="shared" si="19"/>
        <v>0</v>
      </c>
      <c r="R26" s="73">
        <f t="shared" si="20"/>
        <v>-238500000</v>
      </c>
      <c r="S26" s="73">
        <f t="shared" si="21"/>
        <v>0</v>
      </c>
      <c r="T26" s="550">
        <f t="shared" si="6"/>
        <v>0</v>
      </c>
    </row>
    <row r="27" spans="1:20" x14ac:dyDescent="0.25">
      <c r="A27" s="404" t="s">
        <v>284</v>
      </c>
      <c r="B27" s="22" t="s">
        <v>285</v>
      </c>
      <c r="C27" s="427">
        <f>+' 2. Önk. Bevételek'!C50</f>
        <v>228427649</v>
      </c>
      <c r="D27" s="73">
        <f>+' 2. Önk. Bevételek'!D50</f>
        <v>288427649</v>
      </c>
      <c r="E27" s="73">
        <f>+' 2. Önk. Bevételek'!E50</f>
        <v>327733560</v>
      </c>
      <c r="F27" s="438">
        <f>+' 2. Önk. Bevételek'!F50</f>
        <v>0</v>
      </c>
      <c r="G27" s="74"/>
      <c r="H27" s="427">
        <f>+' 2. Önk. Bevételek'!H50</f>
        <v>237582694</v>
      </c>
      <c r="I27" s="73">
        <f>+' 2. Önk. Bevételek'!I50</f>
        <v>304508752</v>
      </c>
      <c r="J27" s="462">
        <f>+' 2. Önk. Bevételek'!J50</f>
        <v>0</v>
      </c>
      <c r="K27" s="74"/>
      <c r="L27" s="534">
        <f t="shared" si="15"/>
        <v>0.82371677896941153</v>
      </c>
      <c r="M27" s="534">
        <f t="shared" si="16"/>
        <v>0.92913509376336068</v>
      </c>
      <c r="N27" s="535">
        <f t="shared" si="17"/>
        <v>0</v>
      </c>
      <c r="O27" s="74"/>
      <c r="P27" s="427">
        <f t="shared" si="18"/>
        <v>60000000</v>
      </c>
      <c r="Q27" s="73">
        <f t="shared" si="19"/>
        <v>39305911</v>
      </c>
      <c r="R27" s="73">
        <f t="shared" si="20"/>
        <v>-327733560</v>
      </c>
      <c r="S27" s="73">
        <f t="shared" si="21"/>
        <v>60000000</v>
      </c>
      <c r="T27" s="550">
        <f t="shared" si="6"/>
        <v>0.2626652257844671</v>
      </c>
    </row>
    <row r="28" spans="1:20" x14ac:dyDescent="0.25">
      <c r="A28" s="404" t="s">
        <v>310</v>
      </c>
      <c r="B28" s="22" t="s">
        <v>311</v>
      </c>
      <c r="C28" s="427">
        <f>+' 2. Önk. Bevételek'!C67</f>
        <v>99395520</v>
      </c>
      <c r="D28" s="73">
        <f>+' 2. Önk. Bevételek'!D67</f>
        <v>99395520</v>
      </c>
      <c r="E28" s="73">
        <f>+' 2. Önk. Bevételek'!E67</f>
        <v>60089609</v>
      </c>
      <c r="F28" s="438">
        <f>+' 2. Önk. Bevételek'!F67</f>
        <v>0</v>
      </c>
      <c r="G28" s="74"/>
      <c r="H28" s="427">
        <f>+' 2. Önk. Bevételek'!H67</f>
        <v>24370866</v>
      </c>
      <c r="I28" s="73">
        <f>+' 2. Önk. Bevételek'!I67</f>
        <v>27956388</v>
      </c>
      <c r="J28" s="462">
        <f>+' 2. Önk. Bevételek'!J67</f>
        <v>0</v>
      </c>
      <c r="K28" s="74"/>
      <c r="L28" s="534">
        <f t="shared" si="15"/>
        <v>0.24519078928305824</v>
      </c>
      <c r="M28" s="534">
        <f t="shared" si="16"/>
        <v>0.46524496439975171</v>
      </c>
      <c r="N28" s="535">
        <f t="shared" si="17"/>
        <v>0</v>
      </c>
      <c r="O28" s="74"/>
      <c r="P28" s="427">
        <f t="shared" si="18"/>
        <v>0</v>
      </c>
      <c r="Q28" s="73">
        <f t="shared" si="19"/>
        <v>-39305911</v>
      </c>
      <c r="R28" s="73">
        <f t="shared" si="20"/>
        <v>-60089609</v>
      </c>
      <c r="S28" s="73">
        <f t="shared" si="21"/>
        <v>0</v>
      </c>
      <c r="T28" s="550">
        <f t="shared" si="6"/>
        <v>0</v>
      </c>
    </row>
    <row r="29" spans="1:20" x14ac:dyDescent="0.25">
      <c r="A29" s="404" t="s">
        <v>320</v>
      </c>
      <c r="B29" s="22" t="s">
        <v>321</v>
      </c>
      <c r="C29" s="427">
        <f>+' 2. Önk. Bevételek'!C72</f>
        <v>0</v>
      </c>
      <c r="D29" s="73">
        <f>+' 2. Önk. Bevételek'!D72</f>
        <v>0</v>
      </c>
      <c r="E29" s="73">
        <f>+' 2. Önk. Bevételek'!E72</f>
        <v>10037947</v>
      </c>
      <c r="F29" s="438">
        <f>+' 2. Önk. Bevételek'!F72</f>
        <v>0</v>
      </c>
      <c r="G29" s="74"/>
      <c r="H29" s="427">
        <f>+' 2. Önk. Bevételek'!H72</f>
        <v>0</v>
      </c>
      <c r="I29" s="73">
        <f>+' 2. Önk. Bevételek'!I72</f>
        <v>0</v>
      </c>
      <c r="J29" s="462">
        <f>+' 2. Önk. Bevételek'!J72</f>
        <v>0</v>
      </c>
      <c r="K29" s="74"/>
      <c r="L29" s="534">
        <f t="shared" si="15"/>
        <v>0</v>
      </c>
      <c r="M29" s="534">
        <f t="shared" si="16"/>
        <v>0</v>
      </c>
      <c r="N29" s="535">
        <f t="shared" si="17"/>
        <v>0</v>
      </c>
      <c r="O29" s="74"/>
      <c r="P29" s="427">
        <f t="shared" si="18"/>
        <v>0</v>
      </c>
      <c r="Q29" s="73">
        <f t="shared" si="19"/>
        <v>10037947</v>
      </c>
      <c r="R29" s="73">
        <f t="shared" si="20"/>
        <v>-10037947</v>
      </c>
      <c r="S29" s="73">
        <f t="shared" si="21"/>
        <v>0</v>
      </c>
      <c r="T29" s="550">
        <f t="shared" si="6"/>
        <v>0</v>
      </c>
    </row>
    <row r="30" spans="1:20" x14ac:dyDescent="0.25">
      <c r="A30" s="404" t="s">
        <v>326</v>
      </c>
      <c r="B30" s="22" t="s">
        <v>327</v>
      </c>
      <c r="C30" s="427">
        <f>+' 2. Önk. Bevételek'!C76</f>
        <v>60000000</v>
      </c>
      <c r="D30" s="73">
        <f>+' 2. Önk. Bevételek'!D76</f>
        <v>112693</v>
      </c>
      <c r="E30" s="73">
        <f>+' 2. Önk. Bevételek'!E76</f>
        <v>112693</v>
      </c>
      <c r="F30" s="438">
        <f>+' 2. Önk. Bevételek'!F76</f>
        <v>0</v>
      </c>
      <c r="G30" s="74"/>
      <c r="H30" s="427">
        <f>+' 2. Önk. Bevételek'!H76</f>
        <v>352000</v>
      </c>
      <c r="I30" s="73">
        <f>+' 2. Önk. Bevételek'!I76</f>
        <v>718078</v>
      </c>
      <c r="J30" s="462">
        <f>+' 2. Önk. Bevételek'!J76</f>
        <v>0</v>
      </c>
      <c r="K30" s="74"/>
      <c r="L30" s="534">
        <f t="shared" si="15"/>
        <v>3.1235302991312683</v>
      </c>
      <c r="M30" s="534">
        <f t="shared" si="16"/>
        <v>6.3719840628965416</v>
      </c>
      <c r="N30" s="535">
        <f t="shared" si="17"/>
        <v>0</v>
      </c>
      <c r="O30" s="74"/>
      <c r="P30" s="427">
        <f t="shared" si="18"/>
        <v>-59887307</v>
      </c>
      <c r="Q30" s="73">
        <f t="shared" si="19"/>
        <v>0</v>
      </c>
      <c r="R30" s="73">
        <f t="shared" si="20"/>
        <v>-112693</v>
      </c>
      <c r="S30" s="73">
        <f t="shared" si="21"/>
        <v>-59887307</v>
      </c>
      <c r="T30" s="550">
        <f t="shared" si="6"/>
        <v>-0.99812178333333335</v>
      </c>
    </row>
    <row r="31" spans="1:20" x14ac:dyDescent="0.25">
      <c r="A31" s="404" t="s">
        <v>460</v>
      </c>
      <c r="B31" s="56"/>
      <c r="C31" s="430">
        <f>+' 2. Önk. Bevételek'!C80-C32</f>
        <v>0</v>
      </c>
      <c r="D31" s="320">
        <f>+' 2. Önk. Bevételek'!D80-D32</f>
        <v>0</v>
      </c>
      <c r="E31" s="320">
        <f>+' 2. Önk. Bevételek'!E80-E32</f>
        <v>0</v>
      </c>
      <c r="F31" s="447">
        <f>+' 2. Önk. Bevételek'!F80-F32</f>
        <v>0</v>
      </c>
      <c r="G31" s="398"/>
      <c r="H31" s="430">
        <f>+' 2. Önk. Bevételek'!H80-H32</f>
        <v>0</v>
      </c>
      <c r="I31" s="320">
        <f>+' 2. Önk. Bevételek'!I80-I32</f>
        <v>0</v>
      </c>
      <c r="J31" s="463">
        <f>+' 2. Önk. Bevételek'!J80-J32</f>
        <v>0</v>
      </c>
      <c r="K31" s="74"/>
      <c r="L31" s="534">
        <f t="shared" si="15"/>
        <v>0</v>
      </c>
      <c r="M31" s="534">
        <f t="shared" si="16"/>
        <v>0</v>
      </c>
      <c r="N31" s="535">
        <f t="shared" si="17"/>
        <v>0</v>
      </c>
      <c r="O31" s="398"/>
      <c r="P31" s="427">
        <f t="shared" si="18"/>
        <v>0</v>
      </c>
      <c r="Q31" s="73">
        <f t="shared" si="19"/>
        <v>0</v>
      </c>
      <c r="R31" s="73">
        <f t="shared" si="20"/>
        <v>0</v>
      </c>
      <c r="S31" s="73">
        <f t="shared" si="21"/>
        <v>0</v>
      </c>
      <c r="T31" s="550">
        <f t="shared" si="6"/>
        <v>0</v>
      </c>
    </row>
    <row r="32" spans="1:20" x14ac:dyDescent="0.25">
      <c r="A32" s="403" t="s">
        <v>454</v>
      </c>
      <c r="B32" s="56"/>
      <c r="C32" s="430">
        <f>+' 2. Önk. Bevételek'!C87</f>
        <v>410956549</v>
      </c>
      <c r="D32" s="320">
        <f>+' 2. Önk. Bevételek'!D87</f>
        <v>410956549</v>
      </c>
      <c r="E32" s="320">
        <f>+' 2. Önk. Bevételek'!E87</f>
        <v>410956549</v>
      </c>
      <c r="F32" s="447">
        <f>+' 2. Önk. Bevételek'!F87</f>
        <v>0</v>
      </c>
      <c r="G32" s="398"/>
      <c r="H32" s="430">
        <f>+' 2. Önk. Bevételek'!H87</f>
        <v>410956549</v>
      </c>
      <c r="I32" s="320">
        <f>+' 2. Önk. Bevételek'!I87</f>
        <v>410956549</v>
      </c>
      <c r="J32" s="463">
        <f>+' 2. Önk. Bevételek'!J87</f>
        <v>0</v>
      </c>
      <c r="K32" s="74"/>
      <c r="L32" s="534">
        <f t="shared" si="15"/>
        <v>1</v>
      </c>
      <c r="M32" s="534">
        <f t="shared" si="16"/>
        <v>1</v>
      </c>
      <c r="N32" s="535">
        <f t="shared" si="17"/>
        <v>0</v>
      </c>
      <c r="O32" s="398"/>
      <c r="P32" s="427">
        <f t="shared" si="18"/>
        <v>0</v>
      </c>
      <c r="Q32" s="73">
        <f t="shared" si="19"/>
        <v>0</v>
      </c>
      <c r="R32" s="73">
        <f t="shared" si="20"/>
        <v>-410956549</v>
      </c>
      <c r="S32" s="73">
        <f t="shared" si="21"/>
        <v>0</v>
      </c>
      <c r="T32" s="550">
        <f t="shared" si="6"/>
        <v>0</v>
      </c>
    </row>
    <row r="33" spans="1:20" x14ac:dyDescent="0.25">
      <c r="A33" s="407"/>
      <c r="B33" s="389" t="s">
        <v>376</v>
      </c>
      <c r="C33" s="429">
        <f>SUM(C24:C32)</f>
        <v>1895220607</v>
      </c>
      <c r="D33" s="390">
        <f t="shared" ref="D33:J33" si="22">SUM(D24:D32)</f>
        <v>1904849300</v>
      </c>
      <c r="E33" s="390">
        <f t="shared" si="22"/>
        <v>1914887247</v>
      </c>
      <c r="F33" s="446">
        <f t="shared" si="22"/>
        <v>0</v>
      </c>
      <c r="G33" s="390"/>
      <c r="H33" s="429">
        <f t="shared" si="22"/>
        <v>1155612367</v>
      </c>
      <c r="I33" s="390">
        <f t="shared" si="22"/>
        <v>1445691287</v>
      </c>
      <c r="J33" s="391">
        <f t="shared" si="22"/>
        <v>0</v>
      </c>
      <c r="K33" s="392"/>
      <c r="L33" s="538">
        <f t="shared" si="15"/>
        <v>0.60666865720033603</v>
      </c>
      <c r="M33" s="538">
        <f t="shared" si="16"/>
        <v>0.75497462801787618</v>
      </c>
      <c r="N33" s="539">
        <f t="shared" si="17"/>
        <v>0</v>
      </c>
      <c r="O33" s="392"/>
      <c r="P33" s="429">
        <f t="shared" ref="P33" si="23">SUM(P24:P32)</f>
        <v>9628693</v>
      </c>
      <c r="Q33" s="390">
        <f t="shared" ref="Q33" si="24">SUM(Q24:Q32)</f>
        <v>10037947</v>
      </c>
      <c r="R33" s="390">
        <f t="shared" ref="R33" si="25">SUM(R24:R32)</f>
        <v>-1914887247</v>
      </c>
      <c r="S33" s="391">
        <f t="shared" ref="S33" si="26">SUM(S24:S32)</f>
        <v>9628693</v>
      </c>
      <c r="T33" s="551">
        <f t="shared" si="6"/>
        <v>5.0805130360214576E-3</v>
      </c>
    </row>
    <row r="34" spans="1:20" x14ac:dyDescent="0.25">
      <c r="A34" s="406"/>
      <c r="B34" s="73"/>
      <c r="C34" s="427"/>
      <c r="D34" s="73"/>
      <c r="E34" s="73"/>
      <c r="F34" s="438"/>
      <c r="G34" s="73"/>
      <c r="H34" s="427"/>
      <c r="I34" s="73"/>
      <c r="J34" s="462"/>
      <c r="K34" s="73"/>
      <c r="L34" s="534"/>
      <c r="M34" s="534"/>
      <c r="N34" s="535"/>
      <c r="O34" s="73"/>
      <c r="P34" s="427"/>
      <c r="Q34" s="73"/>
      <c r="R34" s="73"/>
      <c r="S34" s="73"/>
      <c r="T34" s="552"/>
    </row>
    <row r="35" spans="1:20" ht="13.8" thickBot="1" x14ac:dyDescent="0.3">
      <c r="A35" s="409"/>
      <c r="B35" s="410" t="s">
        <v>461</v>
      </c>
      <c r="C35" s="431">
        <f>+C33-C22</f>
        <v>-2.9999971389770508E-2</v>
      </c>
      <c r="D35" s="411">
        <f>+D33-D22</f>
        <v>0</v>
      </c>
      <c r="E35" s="411">
        <f>+E33-E22</f>
        <v>0</v>
      </c>
      <c r="F35" s="448">
        <f>+F33-F22</f>
        <v>0</v>
      </c>
      <c r="G35" s="411"/>
      <c r="H35" s="431">
        <f>+H33-H22</f>
        <v>583073255</v>
      </c>
      <c r="I35" s="411">
        <f>+I33-I22</f>
        <v>487682891</v>
      </c>
      <c r="J35" s="413">
        <f>+J33-J22</f>
        <v>0</v>
      </c>
      <c r="K35" s="412"/>
      <c r="L35" s="540">
        <f t="shared" ref="L35" si="27">IF(D35=0,0,H35/D35)</f>
        <v>0</v>
      </c>
      <c r="M35" s="540">
        <f t="shared" ref="M35" si="28">IF(E35=0,0,I35/E35)</f>
        <v>0</v>
      </c>
      <c r="N35" s="541">
        <f t="shared" ref="N35" si="29">IF(F35=0,0,J35/F35)</f>
        <v>0</v>
      </c>
      <c r="O35" s="412"/>
      <c r="P35" s="431">
        <f>+P33-P22</f>
        <v>2.9999971389770508E-2</v>
      </c>
      <c r="Q35" s="411">
        <f>+Q33-Q22</f>
        <v>0</v>
      </c>
      <c r="R35" s="411">
        <f>+R33-R22</f>
        <v>-1846362450</v>
      </c>
      <c r="S35" s="413">
        <f>+S33-S22</f>
        <v>2.9999971389770508E-2</v>
      </c>
      <c r="T35" s="553"/>
    </row>
    <row r="36" spans="1:20" x14ac:dyDescent="0.25">
      <c r="C36" s="427"/>
      <c r="D36" s="74"/>
      <c r="E36" s="74"/>
      <c r="F36" s="444"/>
      <c r="G36" s="74"/>
      <c r="H36" s="436"/>
      <c r="I36" s="219"/>
      <c r="J36" s="460"/>
      <c r="K36" s="74"/>
      <c r="L36" s="534"/>
      <c r="M36" s="534"/>
      <c r="N36" s="535"/>
      <c r="O36" s="74"/>
      <c r="P36" s="427"/>
      <c r="Q36" s="73"/>
      <c r="R36" s="73"/>
      <c r="S36" s="73"/>
      <c r="T36" s="552"/>
    </row>
    <row r="37" spans="1:20" ht="13.8" thickBot="1" x14ac:dyDescent="0.3">
      <c r="C37" s="427"/>
      <c r="D37" s="74"/>
      <c r="E37" s="74"/>
      <c r="F37" s="444"/>
      <c r="G37" s="74"/>
      <c r="H37" s="436"/>
      <c r="I37" s="219"/>
      <c r="J37" s="460"/>
      <c r="K37" s="74"/>
      <c r="L37" s="534"/>
      <c r="M37" s="534"/>
      <c r="N37" s="535"/>
      <c r="O37" s="74"/>
      <c r="P37" s="427"/>
      <c r="Q37" s="73">
        <f>+P42*P4+Q42*Q4</f>
        <v>0</v>
      </c>
      <c r="R37" s="73"/>
      <c r="S37" s="73"/>
      <c r="T37" s="552"/>
    </row>
    <row r="38" spans="1:20" ht="18" thickBot="1" x14ac:dyDescent="0.35">
      <c r="A38" s="416" t="s">
        <v>491</v>
      </c>
      <c r="B38" s="443"/>
      <c r="D38" s="74"/>
      <c r="E38" s="74"/>
      <c r="F38" s="444"/>
      <c r="G38" s="74"/>
      <c r="H38" s="436"/>
      <c r="I38" s="219"/>
      <c r="J38" s="460"/>
      <c r="K38" s="74"/>
      <c r="L38" s="534"/>
      <c r="M38" s="534"/>
      <c r="N38" s="535"/>
      <c r="O38" s="74"/>
      <c r="P38" s="427"/>
      <c r="Q38" s="73"/>
      <c r="R38" s="73"/>
      <c r="S38" s="73"/>
      <c r="T38" s="552"/>
    </row>
    <row r="39" spans="1:20" x14ac:dyDescent="0.25">
      <c r="A39" s="399"/>
      <c r="B39" s="400"/>
      <c r="C39" s="428"/>
      <c r="D39" s="420"/>
      <c r="E39" s="420"/>
      <c r="F39" s="445"/>
      <c r="G39" s="420"/>
      <c r="H39" s="437"/>
      <c r="I39" s="421"/>
      <c r="J39" s="461"/>
      <c r="K39" s="420"/>
      <c r="L39" s="542"/>
      <c r="M39" s="542"/>
      <c r="N39" s="543"/>
      <c r="O39" s="420"/>
      <c r="P39" s="428"/>
      <c r="Q39" s="419"/>
      <c r="R39" s="419"/>
      <c r="S39" s="419"/>
      <c r="T39" s="554"/>
    </row>
    <row r="40" spans="1:20" x14ac:dyDescent="0.25">
      <c r="A40" s="403" t="s">
        <v>0</v>
      </c>
      <c r="B40" s="56" t="str">
        <f t="shared" ref="B40:B48" si="30">+B13</f>
        <v>Személyi juttatások</v>
      </c>
      <c r="C40" s="427">
        <f>+'4. Dr Gáspár HSZK'!C13</f>
        <v>26281954</v>
      </c>
      <c r="D40" s="73">
        <f>+'4. Dr Gáspár HSZK'!D13</f>
        <v>26281954</v>
      </c>
      <c r="E40" s="73">
        <f>+'4. Dr Gáspár HSZK'!E13</f>
        <v>26281954</v>
      </c>
      <c r="F40" s="438">
        <f>+'4. Dr Gáspár HSZK'!F13</f>
        <v>0</v>
      </c>
      <c r="G40" s="73"/>
      <c r="H40" s="427">
        <f>+'4. Dr Gáspár HSZK'!H13</f>
        <v>11842617</v>
      </c>
      <c r="I40" s="73">
        <f>+'4. Dr Gáspár HSZK'!I13</f>
        <v>18141800</v>
      </c>
      <c r="J40" s="462">
        <f>+'4. Dr Gáspár HSZK'!J13</f>
        <v>0</v>
      </c>
      <c r="K40" s="73"/>
      <c r="L40" s="534">
        <f t="shared" ref="L40:L49" si="31">IF(D40=0,0,H40/D40)</f>
        <v>0.45059880250912848</v>
      </c>
      <c r="M40" s="534">
        <f t="shared" ref="M40:M49" si="32">IF(E40=0,0,I40/E40)</f>
        <v>0.69027592088472567</v>
      </c>
      <c r="N40" s="535">
        <f t="shared" ref="N40:N49" si="33">IF(F40=0,0,J40/F40)</f>
        <v>0</v>
      </c>
      <c r="O40" s="73"/>
      <c r="P40" s="427">
        <f t="shared" ref="P40:P48" si="34">+D40-C40</f>
        <v>0</v>
      </c>
      <c r="Q40" s="73">
        <f t="shared" ref="Q40:Q48" si="35">+E40-D40</f>
        <v>0</v>
      </c>
      <c r="R40" s="73">
        <f t="shared" ref="R40:R48" si="36">+F40-E40</f>
        <v>-26281954</v>
      </c>
      <c r="S40" s="73">
        <f t="shared" ref="S40:S48" si="37">+P$4*P40+Q$4*Q40*R$4*R40</f>
        <v>0</v>
      </c>
      <c r="T40" s="550">
        <f>IF(S40=0,0,S40/C40)</f>
        <v>0</v>
      </c>
    </row>
    <row r="41" spans="1:20" x14ac:dyDescent="0.25">
      <c r="A41" s="403" t="s">
        <v>26</v>
      </c>
      <c r="B41" s="56" t="str">
        <f t="shared" si="30"/>
        <v>Munkaadót terhelő járulékok és szociális hozzájárulás</v>
      </c>
      <c r="C41" s="427">
        <f>+'4. Dr Gáspár HSZK'!C29</f>
        <v>4876356.03</v>
      </c>
      <c r="D41" s="73">
        <f>+'4. Dr Gáspár HSZK'!D29</f>
        <v>4876356</v>
      </c>
      <c r="E41" s="73">
        <f>+'4. Dr Gáspár HSZK'!E29</f>
        <v>4876356</v>
      </c>
      <c r="F41" s="438">
        <f>+'4. Dr Gáspár HSZK'!F29</f>
        <v>0</v>
      </c>
      <c r="G41" s="73"/>
      <c r="H41" s="427">
        <f>+'4. Dr Gáspár HSZK'!H29</f>
        <v>2545934</v>
      </c>
      <c r="I41" s="73">
        <f>+'4. Dr Gáspár HSZK'!I29</f>
        <v>3690717</v>
      </c>
      <c r="J41" s="462">
        <f>+'4. Dr Gáspár HSZK'!J29</f>
        <v>0</v>
      </c>
      <c r="K41" s="73"/>
      <c r="L41" s="534">
        <f t="shared" si="31"/>
        <v>0.52209764832592209</v>
      </c>
      <c r="M41" s="534">
        <f t="shared" si="32"/>
        <v>0.75685963042895144</v>
      </c>
      <c r="N41" s="535">
        <f t="shared" si="33"/>
        <v>0</v>
      </c>
      <c r="O41" s="73"/>
      <c r="P41" s="427">
        <f t="shared" si="34"/>
        <v>-3.0000000260770321E-2</v>
      </c>
      <c r="Q41" s="73">
        <f t="shared" si="35"/>
        <v>0</v>
      </c>
      <c r="R41" s="73">
        <f t="shared" si="36"/>
        <v>-4876356</v>
      </c>
      <c r="S41" s="73">
        <f t="shared" si="37"/>
        <v>-3.0000000260770321E-2</v>
      </c>
      <c r="T41" s="550">
        <f t="shared" ref="T41:T60" si="38">IF(S41=0,0,S41/C41)</f>
        <v>-6.1521349294855158E-9</v>
      </c>
    </row>
    <row r="42" spans="1:20" x14ac:dyDescent="0.25">
      <c r="A42" s="403" t="s">
        <v>29</v>
      </c>
      <c r="B42" s="56" t="str">
        <f t="shared" si="30"/>
        <v>Dologi kiadások</v>
      </c>
      <c r="C42" s="427">
        <f>+'4. Dr Gáspár HSZK'!C32</f>
        <v>10130000</v>
      </c>
      <c r="D42" s="73">
        <f>+'4. Dr Gáspár HSZK'!D32</f>
        <v>10130000</v>
      </c>
      <c r="E42" s="73">
        <f>+'4. Dr Gáspár HSZK'!E32</f>
        <v>10130000</v>
      </c>
      <c r="F42" s="438">
        <f>+'4. Dr Gáspár HSZK'!F32</f>
        <v>0</v>
      </c>
      <c r="G42" s="73"/>
      <c r="H42" s="430">
        <f>+'4. Dr Gáspár HSZK'!H32</f>
        <v>3117797</v>
      </c>
      <c r="I42" s="320">
        <f>+'4. Dr Gáspár HSZK'!I32</f>
        <v>5702808</v>
      </c>
      <c r="J42" s="462">
        <f>+'4. Dr Gáspár HSZK'!J32</f>
        <v>0</v>
      </c>
      <c r="K42" s="73"/>
      <c r="L42" s="534">
        <f t="shared" si="31"/>
        <v>0.30777857847976309</v>
      </c>
      <c r="M42" s="534">
        <f t="shared" si="32"/>
        <v>0.56296229022704836</v>
      </c>
      <c r="N42" s="535">
        <f t="shared" si="33"/>
        <v>0</v>
      </c>
      <c r="O42" s="73"/>
      <c r="P42" s="427">
        <f t="shared" si="34"/>
        <v>0</v>
      </c>
      <c r="Q42" s="73">
        <f t="shared" si="35"/>
        <v>0</v>
      </c>
      <c r="R42" s="73">
        <f t="shared" si="36"/>
        <v>-10130000</v>
      </c>
      <c r="S42" s="73">
        <f t="shared" si="37"/>
        <v>0</v>
      </c>
      <c r="T42" s="550">
        <f t="shared" si="38"/>
        <v>0</v>
      </c>
    </row>
    <row r="43" spans="1:20" x14ac:dyDescent="0.25">
      <c r="A43" s="403" t="s">
        <v>111</v>
      </c>
      <c r="B43" s="56" t="str">
        <f t="shared" si="30"/>
        <v>Elláttotak pénzbeli juttatásai</v>
      </c>
      <c r="C43" s="427"/>
      <c r="D43" s="73"/>
      <c r="E43" s="73"/>
      <c r="F43" s="438"/>
      <c r="G43" s="73"/>
      <c r="H43" s="427"/>
      <c r="I43" s="73"/>
      <c r="J43" s="462"/>
      <c r="K43" s="73"/>
      <c r="L43" s="534">
        <f t="shared" si="31"/>
        <v>0</v>
      </c>
      <c r="M43" s="534">
        <f t="shared" si="32"/>
        <v>0</v>
      </c>
      <c r="N43" s="535">
        <f t="shared" si="33"/>
        <v>0</v>
      </c>
      <c r="O43" s="73"/>
      <c r="P43" s="427">
        <f t="shared" si="34"/>
        <v>0</v>
      </c>
      <c r="Q43" s="73">
        <f t="shared" si="35"/>
        <v>0</v>
      </c>
      <c r="R43" s="73">
        <f t="shared" si="36"/>
        <v>0</v>
      </c>
      <c r="S43" s="73">
        <f t="shared" si="37"/>
        <v>0</v>
      </c>
      <c r="T43" s="550">
        <f t="shared" si="38"/>
        <v>0</v>
      </c>
    </row>
    <row r="44" spans="1:20" x14ac:dyDescent="0.25">
      <c r="A44" s="404" t="s">
        <v>375</v>
      </c>
      <c r="B44" s="56" t="str">
        <f t="shared" si="30"/>
        <v>Egyéb működési célú kiadások</v>
      </c>
      <c r="C44" s="427"/>
      <c r="D44" s="73"/>
      <c r="E44" s="73"/>
      <c r="F44" s="438"/>
      <c r="G44" s="73"/>
      <c r="H44" s="427"/>
      <c r="I44" s="73"/>
      <c r="J44" s="462"/>
      <c r="K44" s="73"/>
      <c r="L44" s="534">
        <f t="shared" si="31"/>
        <v>0</v>
      </c>
      <c r="M44" s="534">
        <f t="shared" si="32"/>
        <v>0</v>
      </c>
      <c r="N44" s="535">
        <f t="shared" si="33"/>
        <v>0</v>
      </c>
      <c r="O44" s="73"/>
      <c r="P44" s="427">
        <f t="shared" si="34"/>
        <v>0</v>
      </c>
      <c r="Q44" s="73">
        <f t="shared" si="35"/>
        <v>0</v>
      </c>
      <c r="R44" s="73">
        <f t="shared" si="36"/>
        <v>0</v>
      </c>
      <c r="S44" s="73">
        <f t="shared" si="37"/>
        <v>0</v>
      </c>
      <c r="T44" s="550">
        <f t="shared" si="38"/>
        <v>0</v>
      </c>
    </row>
    <row r="45" spans="1:20" x14ac:dyDescent="0.25">
      <c r="A45" s="403" t="s">
        <v>158</v>
      </c>
      <c r="B45" s="56" t="str">
        <f t="shared" si="30"/>
        <v>Beruházások</v>
      </c>
      <c r="C45" s="427">
        <f>+'4. Dr Gáspár HSZK'!C83</f>
        <v>120000</v>
      </c>
      <c r="D45" s="73">
        <f>+'4. Dr Gáspár HSZK'!D83</f>
        <v>120000</v>
      </c>
      <c r="E45" s="73">
        <f>+'4. Dr Gáspár HSZK'!E83</f>
        <v>120000</v>
      </c>
      <c r="F45" s="438">
        <f>+'4. Dr Gáspár HSZK'!F83</f>
        <v>0</v>
      </c>
      <c r="G45" s="73"/>
      <c r="H45" s="427">
        <f>+'4. Dr Gáspár HSZK'!H83</f>
        <v>0</v>
      </c>
      <c r="I45" s="73">
        <f>+'4. Dr Gáspár HSZK'!I83</f>
        <v>0</v>
      </c>
      <c r="J45" s="462">
        <f>+'4. Dr Gáspár HSZK'!J83</f>
        <v>0</v>
      </c>
      <c r="K45" s="73">
        <f>+'4. Dr Gáspár HSZK'!K83</f>
        <v>0</v>
      </c>
      <c r="L45" s="534">
        <f t="shared" si="31"/>
        <v>0</v>
      </c>
      <c r="M45" s="534">
        <f t="shared" si="32"/>
        <v>0</v>
      </c>
      <c r="N45" s="535">
        <f t="shared" si="33"/>
        <v>0</v>
      </c>
      <c r="O45" s="73"/>
      <c r="P45" s="427">
        <f t="shared" si="34"/>
        <v>0</v>
      </c>
      <c r="Q45" s="73">
        <f t="shared" si="35"/>
        <v>0</v>
      </c>
      <c r="R45" s="73">
        <f t="shared" si="36"/>
        <v>-120000</v>
      </c>
      <c r="S45" s="73">
        <f t="shared" si="37"/>
        <v>0</v>
      </c>
      <c r="T45" s="550">
        <f t="shared" si="38"/>
        <v>0</v>
      </c>
    </row>
    <row r="46" spans="1:20" x14ac:dyDescent="0.25">
      <c r="A46" s="403" t="s">
        <v>173</v>
      </c>
      <c r="B46" s="56" t="str">
        <f t="shared" si="30"/>
        <v>Felújítások</v>
      </c>
      <c r="C46" s="427">
        <f>+'4. Dr Gáspár HSZK'!C86</f>
        <v>0</v>
      </c>
      <c r="D46" s="73">
        <f>+'4. Dr Gáspár HSZK'!D86</f>
        <v>0</v>
      </c>
      <c r="E46" s="73">
        <f>+'4. Dr Gáspár HSZK'!E86</f>
        <v>0</v>
      </c>
      <c r="F46" s="438">
        <f>+'4. Dr Gáspár HSZK'!F86</f>
        <v>0</v>
      </c>
      <c r="G46" s="73"/>
      <c r="H46" s="427">
        <f>+'4. Dr Gáspár HSZK'!H86</f>
        <v>0</v>
      </c>
      <c r="I46" s="73">
        <f>+'4. Dr Gáspár HSZK'!I86</f>
        <v>0</v>
      </c>
      <c r="J46" s="462">
        <f>+'4. Dr Gáspár HSZK'!J86</f>
        <v>0</v>
      </c>
      <c r="K46" s="73">
        <f>+'4. Dr Gáspár HSZK'!K86</f>
        <v>0</v>
      </c>
      <c r="L46" s="534">
        <f t="shared" si="31"/>
        <v>0</v>
      </c>
      <c r="M46" s="534">
        <f t="shared" si="32"/>
        <v>0</v>
      </c>
      <c r="N46" s="535">
        <f t="shared" si="33"/>
        <v>0</v>
      </c>
      <c r="O46" s="73"/>
      <c r="P46" s="427">
        <f t="shared" si="34"/>
        <v>0</v>
      </c>
      <c r="Q46" s="73">
        <f t="shared" si="35"/>
        <v>0</v>
      </c>
      <c r="R46" s="73">
        <f t="shared" si="36"/>
        <v>0</v>
      </c>
      <c r="S46" s="73">
        <f t="shared" si="37"/>
        <v>0</v>
      </c>
      <c r="T46" s="550">
        <f t="shared" si="38"/>
        <v>0</v>
      </c>
    </row>
    <row r="47" spans="1:20" x14ac:dyDescent="0.25">
      <c r="A47" s="403" t="s">
        <v>183</v>
      </c>
      <c r="B47" s="56" t="str">
        <f t="shared" si="30"/>
        <v>Szolgáltatások kiadásai</v>
      </c>
      <c r="C47" s="427"/>
      <c r="D47" s="73"/>
      <c r="E47" s="73"/>
      <c r="F47" s="438"/>
      <c r="G47" s="73"/>
      <c r="H47" s="427"/>
      <c r="I47" s="73"/>
      <c r="J47" s="462"/>
      <c r="K47" s="73"/>
      <c r="L47" s="534">
        <f t="shared" si="31"/>
        <v>0</v>
      </c>
      <c r="M47" s="534">
        <f t="shared" si="32"/>
        <v>0</v>
      </c>
      <c r="N47" s="535">
        <f t="shared" si="33"/>
        <v>0</v>
      </c>
      <c r="O47" s="73"/>
      <c r="P47" s="427">
        <f t="shared" si="34"/>
        <v>0</v>
      </c>
      <c r="Q47" s="73">
        <f t="shared" si="35"/>
        <v>0</v>
      </c>
      <c r="R47" s="73">
        <f t="shared" si="36"/>
        <v>0</v>
      </c>
      <c r="S47" s="73">
        <f t="shared" si="37"/>
        <v>0</v>
      </c>
      <c r="T47" s="550">
        <f t="shared" si="38"/>
        <v>0</v>
      </c>
    </row>
    <row r="48" spans="1:20" x14ac:dyDescent="0.25">
      <c r="A48" s="403" t="s">
        <v>201</v>
      </c>
      <c r="B48" s="56" t="str">
        <f t="shared" si="30"/>
        <v>Finanszírozási kiadások</v>
      </c>
      <c r="C48" s="406"/>
      <c r="F48" s="449"/>
      <c r="H48" s="406"/>
      <c r="J48" s="460"/>
      <c r="L48" s="534">
        <f t="shared" si="31"/>
        <v>0</v>
      </c>
      <c r="M48" s="534">
        <f t="shared" si="32"/>
        <v>0</v>
      </c>
      <c r="N48" s="535">
        <f t="shared" si="33"/>
        <v>0</v>
      </c>
      <c r="P48" s="427">
        <f t="shared" si="34"/>
        <v>0</v>
      </c>
      <c r="Q48" s="73">
        <f t="shared" si="35"/>
        <v>0</v>
      </c>
      <c r="R48" s="73">
        <f t="shared" si="36"/>
        <v>0</v>
      </c>
      <c r="S48" s="73">
        <f t="shared" si="37"/>
        <v>0</v>
      </c>
      <c r="T48" s="550">
        <f t="shared" si="38"/>
        <v>0</v>
      </c>
    </row>
    <row r="49" spans="1:20" x14ac:dyDescent="0.25">
      <c r="A49" s="405"/>
      <c r="B49" s="389" t="s">
        <v>377</v>
      </c>
      <c r="C49" s="429">
        <f>SUM(C40:C48)</f>
        <v>41408310.030000001</v>
      </c>
      <c r="D49" s="390">
        <f t="shared" ref="D49" si="39">SUM(D40:D48)</f>
        <v>41408310</v>
      </c>
      <c r="E49" s="390">
        <f t="shared" ref="E49" si="40">SUM(E40:E48)</f>
        <v>41408310</v>
      </c>
      <c r="F49" s="446">
        <f t="shared" ref="F49" si="41">SUM(F40:F48)</f>
        <v>0</v>
      </c>
      <c r="G49" s="390"/>
      <c r="H49" s="429">
        <f t="shared" ref="H49" si="42">SUM(H40:H48)</f>
        <v>17506348</v>
      </c>
      <c r="I49" s="390">
        <f t="shared" ref="I49" si="43">SUM(I40:I48)</f>
        <v>27535325</v>
      </c>
      <c r="J49" s="391">
        <f t="shared" ref="J49" si="44">SUM(J40:J48)</f>
        <v>0</v>
      </c>
      <c r="K49" s="205"/>
      <c r="L49" s="536">
        <f t="shared" si="31"/>
        <v>0.42277378622793349</v>
      </c>
      <c r="M49" s="536">
        <f t="shared" si="32"/>
        <v>0.66497099253748826</v>
      </c>
      <c r="N49" s="537">
        <f t="shared" si="33"/>
        <v>0</v>
      </c>
      <c r="O49" s="205"/>
      <c r="P49" s="429">
        <f t="shared" ref="P49" si="45">SUM(P40:P48)</f>
        <v>-3.0000000260770321E-2</v>
      </c>
      <c r="Q49" s="390">
        <f t="shared" ref="Q49" si="46">SUM(Q40:Q48)</f>
        <v>0</v>
      </c>
      <c r="R49" s="390">
        <f t="shared" ref="R49" si="47">SUM(R40:R48)</f>
        <v>-41408310</v>
      </c>
      <c r="S49" s="391">
        <f t="shared" ref="S49" si="48">SUM(S40:S48)</f>
        <v>-3.0000000260770321E-2</v>
      </c>
      <c r="T49" s="551">
        <f t="shared" si="38"/>
        <v>-7.2449226348613489E-10</v>
      </c>
    </row>
    <row r="50" spans="1:20" x14ac:dyDescent="0.25">
      <c r="A50" s="406"/>
      <c r="C50" s="427"/>
      <c r="D50" s="74"/>
      <c r="E50" s="74"/>
      <c r="F50" s="444"/>
      <c r="G50" s="74"/>
      <c r="H50" s="436"/>
      <c r="I50" s="219"/>
      <c r="J50" s="460"/>
      <c r="K50" s="74"/>
      <c r="L50" s="534"/>
      <c r="M50" s="534"/>
      <c r="N50" s="535"/>
      <c r="O50" s="74"/>
      <c r="P50" s="427"/>
      <c r="Q50" s="73"/>
      <c r="R50" s="73"/>
      <c r="S50" s="73"/>
      <c r="T50" s="550"/>
    </row>
    <row r="51" spans="1:20" x14ac:dyDescent="0.25">
      <c r="A51" s="403" t="str">
        <f>+A24</f>
        <v>B1</v>
      </c>
      <c r="B51" s="56" t="s">
        <v>452</v>
      </c>
      <c r="C51" s="427">
        <f>+'4. Dr Gáspár HSZK'!C93</f>
        <v>0</v>
      </c>
      <c r="D51" s="73">
        <f>+'4. Dr Gáspár HSZK'!D93</f>
        <v>0</v>
      </c>
      <c r="E51" s="73">
        <f>+'4. Dr Gáspár HSZK'!E93</f>
        <v>0</v>
      </c>
      <c r="F51" s="438">
        <f>+'4. Dr Gáspár HSZK'!F93</f>
        <v>0</v>
      </c>
      <c r="G51" s="73">
        <f>+'4. Dr Gáspár HSZK'!G93</f>
        <v>0</v>
      </c>
      <c r="H51" s="427">
        <f>+'4. Dr Gáspár HSZK'!H93</f>
        <v>0</v>
      </c>
      <c r="I51" s="73">
        <f>+'4. Dr Gáspár HSZK'!I93</f>
        <v>0</v>
      </c>
      <c r="J51" s="462">
        <f>+'4. Dr Gáspár HSZK'!J93</f>
        <v>0</v>
      </c>
      <c r="K51" s="73"/>
      <c r="L51" s="534">
        <f t="shared" ref="L51:L60" si="49">IF(D51=0,0,H51/D51)</f>
        <v>0</v>
      </c>
      <c r="M51" s="534">
        <f t="shared" ref="M51:M60" si="50">IF(E51=0,0,I51/E51)</f>
        <v>0</v>
      </c>
      <c r="N51" s="535">
        <f t="shared" ref="N51:N60" si="51">IF(F51=0,0,J51/F51)</f>
        <v>0</v>
      </c>
      <c r="O51" s="73"/>
      <c r="P51" s="427">
        <f t="shared" ref="P51:P59" si="52">+D51-C51</f>
        <v>0</v>
      </c>
      <c r="Q51" s="73">
        <f t="shared" ref="Q51:Q59" si="53">+E51-D51</f>
        <v>0</v>
      </c>
      <c r="R51" s="73">
        <f t="shared" ref="R51:R59" si="54">+F51-E51</f>
        <v>0</v>
      </c>
      <c r="S51" s="73">
        <f t="shared" ref="S51:S59" si="55">+P$4*P51+Q$4*Q51*R$4*R51</f>
        <v>0</v>
      </c>
      <c r="T51" s="550">
        <f t="shared" si="38"/>
        <v>0</v>
      </c>
    </row>
    <row r="52" spans="1:20" x14ac:dyDescent="0.25">
      <c r="A52" s="403" t="str">
        <f t="shared" ref="A52" si="56">+A25</f>
        <v>B2</v>
      </c>
      <c r="B52" s="56" t="s">
        <v>451</v>
      </c>
      <c r="C52" s="427"/>
      <c r="D52" s="73"/>
      <c r="E52" s="73"/>
      <c r="F52" s="438"/>
      <c r="G52" s="73"/>
      <c r="H52" s="427"/>
      <c r="I52" s="73"/>
      <c r="J52" s="462"/>
      <c r="K52" s="73"/>
      <c r="L52" s="534">
        <f t="shared" si="49"/>
        <v>0</v>
      </c>
      <c r="M52" s="534">
        <f t="shared" si="50"/>
        <v>0</v>
      </c>
      <c r="N52" s="535">
        <f t="shared" si="51"/>
        <v>0</v>
      </c>
      <c r="O52" s="73"/>
      <c r="P52" s="427">
        <f t="shared" si="52"/>
        <v>0</v>
      </c>
      <c r="Q52" s="73">
        <f t="shared" si="53"/>
        <v>0</v>
      </c>
      <c r="R52" s="73">
        <f t="shared" si="54"/>
        <v>0</v>
      </c>
      <c r="S52" s="73">
        <f t="shared" si="55"/>
        <v>0</v>
      </c>
      <c r="T52" s="550">
        <f t="shared" si="38"/>
        <v>0</v>
      </c>
    </row>
    <row r="53" spans="1:20" x14ac:dyDescent="0.25">
      <c r="A53" s="403" t="str">
        <f t="shared" ref="A53" si="57">+A26</f>
        <v>B3</v>
      </c>
      <c r="B53" s="56" t="s">
        <v>271</v>
      </c>
      <c r="C53" s="427"/>
      <c r="D53" s="73"/>
      <c r="E53" s="73"/>
      <c r="F53" s="438"/>
      <c r="G53" s="73"/>
      <c r="H53" s="427"/>
      <c r="I53" s="73"/>
      <c r="J53" s="462"/>
      <c r="K53" s="73"/>
      <c r="L53" s="534">
        <f t="shared" si="49"/>
        <v>0</v>
      </c>
      <c r="M53" s="534">
        <f t="shared" si="50"/>
        <v>0</v>
      </c>
      <c r="N53" s="535">
        <f t="shared" si="51"/>
        <v>0</v>
      </c>
      <c r="O53" s="73"/>
      <c r="P53" s="427">
        <f t="shared" si="52"/>
        <v>0</v>
      </c>
      <c r="Q53" s="73">
        <f t="shared" si="53"/>
        <v>0</v>
      </c>
      <c r="R53" s="73">
        <f t="shared" si="54"/>
        <v>0</v>
      </c>
      <c r="S53" s="73">
        <f t="shared" si="55"/>
        <v>0</v>
      </c>
      <c r="T53" s="550">
        <f t="shared" si="38"/>
        <v>0</v>
      </c>
    </row>
    <row r="54" spans="1:20" x14ac:dyDescent="0.25">
      <c r="A54" s="403" t="str">
        <f t="shared" ref="A54" si="58">+A27</f>
        <v>B4</v>
      </c>
      <c r="B54" s="56" t="s">
        <v>285</v>
      </c>
      <c r="C54" s="427">
        <f>+'4. Dr Gáspár HSZK'!C95</f>
        <v>7110000</v>
      </c>
      <c r="D54" s="73">
        <f>+'4. Dr Gáspár HSZK'!D95</f>
        <v>7110000</v>
      </c>
      <c r="E54" s="73">
        <f>+'4. Dr Gáspár HSZK'!E95</f>
        <v>7110000</v>
      </c>
      <c r="F54" s="438">
        <f>+'4. Dr Gáspár HSZK'!F95</f>
        <v>0</v>
      </c>
      <c r="G54" s="73"/>
      <c r="H54" s="427">
        <f>+'4. Dr Gáspár HSZK'!H95</f>
        <v>2602942</v>
      </c>
      <c r="I54" s="73">
        <f>+'4. Dr Gáspár HSZK'!I95</f>
        <v>4348032</v>
      </c>
      <c r="J54" s="462">
        <f>+'4. Dr Gáspár HSZK'!J95</f>
        <v>0</v>
      </c>
      <c r="K54" s="73"/>
      <c r="L54" s="534">
        <f t="shared" si="49"/>
        <v>0.36609592123769341</v>
      </c>
      <c r="M54" s="534">
        <f t="shared" si="50"/>
        <v>0.61153755274261601</v>
      </c>
      <c r="N54" s="535">
        <f t="shared" si="51"/>
        <v>0</v>
      </c>
      <c r="O54" s="73"/>
      <c r="P54" s="427">
        <f t="shared" si="52"/>
        <v>0</v>
      </c>
      <c r="Q54" s="73">
        <f t="shared" si="53"/>
        <v>0</v>
      </c>
      <c r="R54" s="73">
        <f t="shared" si="54"/>
        <v>-7110000</v>
      </c>
      <c r="S54" s="73">
        <f t="shared" si="55"/>
        <v>0</v>
      </c>
      <c r="T54" s="550">
        <f t="shared" si="38"/>
        <v>0</v>
      </c>
    </row>
    <row r="55" spans="1:20" x14ac:dyDescent="0.25">
      <c r="A55" s="403" t="str">
        <f t="shared" ref="A55" si="59">+A28</f>
        <v>B5</v>
      </c>
      <c r="B55" s="56" t="s">
        <v>311</v>
      </c>
      <c r="C55" s="427"/>
      <c r="D55" s="73"/>
      <c r="E55" s="73"/>
      <c r="F55" s="438"/>
      <c r="G55" s="73"/>
      <c r="H55" s="427"/>
      <c r="I55" s="73"/>
      <c r="J55" s="462"/>
      <c r="K55" s="73"/>
      <c r="L55" s="534">
        <f t="shared" si="49"/>
        <v>0</v>
      </c>
      <c r="M55" s="534">
        <f t="shared" si="50"/>
        <v>0</v>
      </c>
      <c r="N55" s="535">
        <f t="shared" si="51"/>
        <v>0</v>
      </c>
      <c r="O55" s="73"/>
      <c r="P55" s="427">
        <f t="shared" si="52"/>
        <v>0</v>
      </c>
      <c r="Q55" s="73">
        <f t="shared" si="53"/>
        <v>0</v>
      </c>
      <c r="R55" s="73">
        <f t="shared" si="54"/>
        <v>0</v>
      </c>
      <c r="S55" s="73">
        <f t="shared" si="55"/>
        <v>0</v>
      </c>
      <c r="T55" s="550">
        <f t="shared" si="38"/>
        <v>0</v>
      </c>
    </row>
    <row r="56" spans="1:20" x14ac:dyDescent="0.25">
      <c r="A56" s="403" t="str">
        <f t="shared" ref="A56" si="60">+A29</f>
        <v>B6</v>
      </c>
      <c r="B56" s="56" t="s">
        <v>321</v>
      </c>
      <c r="C56" s="427"/>
      <c r="D56" s="73"/>
      <c r="E56" s="73"/>
      <c r="F56" s="438"/>
      <c r="G56" s="73"/>
      <c r="H56" s="427"/>
      <c r="I56" s="73"/>
      <c r="J56" s="462"/>
      <c r="K56" s="73"/>
      <c r="L56" s="534">
        <f t="shared" si="49"/>
        <v>0</v>
      </c>
      <c r="M56" s="534">
        <f t="shared" si="50"/>
        <v>0</v>
      </c>
      <c r="N56" s="535">
        <f t="shared" si="51"/>
        <v>0</v>
      </c>
      <c r="O56" s="73"/>
      <c r="P56" s="427">
        <f t="shared" si="52"/>
        <v>0</v>
      </c>
      <c r="Q56" s="73">
        <f t="shared" si="53"/>
        <v>0</v>
      </c>
      <c r="R56" s="73">
        <f t="shared" si="54"/>
        <v>0</v>
      </c>
      <c r="S56" s="73">
        <f t="shared" si="55"/>
        <v>0</v>
      </c>
      <c r="T56" s="550">
        <f t="shared" si="38"/>
        <v>0</v>
      </c>
    </row>
    <row r="57" spans="1:20" x14ac:dyDescent="0.25">
      <c r="A57" s="403" t="str">
        <f t="shared" ref="A57" si="61">+A30</f>
        <v>B7</v>
      </c>
      <c r="B57" s="56" t="s">
        <v>327</v>
      </c>
      <c r="C57" s="427"/>
      <c r="D57" s="73"/>
      <c r="E57" s="73"/>
      <c r="F57" s="438"/>
      <c r="G57" s="73"/>
      <c r="H57" s="427"/>
      <c r="I57" s="73"/>
      <c r="J57" s="462"/>
      <c r="K57" s="73"/>
      <c r="L57" s="534">
        <f t="shared" si="49"/>
        <v>0</v>
      </c>
      <c r="M57" s="534">
        <f t="shared" si="50"/>
        <v>0</v>
      </c>
      <c r="N57" s="535">
        <f t="shared" si="51"/>
        <v>0</v>
      </c>
      <c r="O57" s="73"/>
      <c r="P57" s="427">
        <f t="shared" si="52"/>
        <v>0</v>
      </c>
      <c r="Q57" s="73">
        <f t="shared" si="53"/>
        <v>0</v>
      </c>
      <c r="R57" s="73">
        <f t="shared" si="54"/>
        <v>0</v>
      </c>
      <c r="S57" s="73">
        <f t="shared" si="55"/>
        <v>0</v>
      </c>
      <c r="T57" s="550">
        <f t="shared" ref="T57" si="62">IF(S57=0,0,S57/C57)</f>
        <v>0</v>
      </c>
    </row>
    <row r="58" spans="1:20" x14ac:dyDescent="0.25">
      <c r="A58" s="403" t="str">
        <f>+A31</f>
        <v>B8-ból maradványértéken túli finanszírozási bevételek</v>
      </c>
      <c r="B58" s="56"/>
      <c r="C58" s="427">
        <f>+'4. Dr Gáspár HSZK'!C99-C59</f>
        <v>33628310.030000001</v>
      </c>
      <c r="D58" s="73">
        <f>+'4. Dr Gáspár HSZK'!D99-D59</f>
        <v>32959488</v>
      </c>
      <c r="E58" s="73">
        <f>+'4. Dr Gáspár HSZK'!E99-E59</f>
        <v>32959488</v>
      </c>
      <c r="F58" s="438">
        <f>+'4. Dr Gáspár HSZK'!F99-F59</f>
        <v>0</v>
      </c>
      <c r="G58" s="73"/>
      <c r="H58" s="427">
        <f>+'4. Dr Gáspár HSZK'!H99-H59</f>
        <v>15328283</v>
      </c>
      <c r="I58" s="73">
        <f>+'4. Dr Gáspár HSZK'!I99-I59</f>
        <v>23495274</v>
      </c>
      <c r="J58" s="462">
        <f>+'4. Dr Gáspár HSZK'!J99-J59</f>
        <v>0</v>
      </c>
      <c r="K58" s="73"/>
      <c r="L58" s="534">
        <f t="shared" si="49"/>
        <v>0.46506435415501601</v>
      </c>
      <c r="M58" s="534">
        <f t="shared" si="50"/>
        <v>0.71285312441746673</v>
      </c>
      <c r="N58" s="535">
        <f t="shared" si="51"/>
        <v>0</v>
      </c>
      <c r="O58" s="73"/>
      <c r="P58" s="427">
        <f t="shared" si="52"/>
        <v>-668822.03000000119</v>
      </c>
      <c r="Q58" s="73">
        <f t="shared" si="53"/>
        <v>0</v>
      </c>
      <c r="R58" s="73">
        <f t="shared" si="54"/>
        <v>-32959488</v>
      </c>
      <c r="S58" s="73">
        <f t="shared" si="55"/>
        <v>-668822.03000000119</v>
      </c>
      <c r="T58" s="550">
        <f t="shared" si="38"/>
        <v>-1.9888660161731034E-2</v>
      </c>
    </row>
    <row r="59" spans="1:20" x14ac:dyDescent="0.25">
      <c r="A59" s="403" t="str">
        <f>+A32</f>
        <v>B8-ból előző évi mardvány igénybevétele</v>
      </c>
      <c r="B59" s="56"/>
      <c r="C59" s="427">
        <f>+'4. Dr Gáspár HSZK'!C101</f>
        <v>670000</v>
      </c>
      <c r="D59" s="73">
        <f>+'4. Dr Gáspár HSZK'!D101</f>
        <v>1338822</v>
      </c>
      <c r="E59" s="73">
        <f>+'4. Dr Gáspár HSZK'!E101</f>
        <v>1338822</v>
      </c>
      <c r="F59" s="438">
        <f>+'4. Dr Gáspár HSZK'!F101</f>
        <v>0</v>
      </c>
      <c r="G59" s="73"/>
      <c r="H59" s="427">
        <f>+'4. Dr Gáspár HSZK'!H101</f>
        <v>1338822</v>
      </c>
      <c r="I59" s="73">
        <f>+'4. Dr Gáspár HSZK'!I101</f>
        <v>1338822</v>
      </c>
      <c r="J59" s="462">
        <f>+'4. Dr Gáspár HSZK'!J101</f>
        <v>0</v>
      </c>
      <c r="K59" s="73"/>
      <c r="L59" s="534">
        <f t="shared" si="49"/>
        <v>1</v>
      </c>
      <c r="M59" s="534">
        <f t="shared" si="50"/>
        <v>1</v>
      </c>
      <c r="N59" s="535">
        <f t="shared" si="51"/>
        <v>0</v>
      </c>
      <c r="O59" s="73"/>
      <c r="P59" s="427">
        <f t="shared" si="52"/>
        <v>668822</v>
      </c>
      <c r="Q59" s="73">
        <f t="shared" si="53"/>
        <v>0</v>
      </c>
      <c r="R59" s="73">
        <f t="shared" si="54"/>
        <v>-1338822</v>
      </c>
      <c r="S59" s="73">
        <f t="shared" si="55"/>
        <v>668822</v>
      </c>
      <c r="T59" s="550">
        <f t="shared" si="38"/>
        <v>0.99824179104477617</v>
      </c>
    </row>
    <row r="60" spans="1:20" x14ac:dyDescent="0.25">
      <c r="A60" s="407"/>
      <c r="B60" s="389" t="s">
        <v>376</v>
      </c>
      <c r="C60" s="429">
        <f>SUM(C51:C59)</f>
        <v>41408310.030000001</v>
      </c>
      <c r="D60" s="390">
        <f t="shared" ref="D60" si="63">SUM(D51:D59)</f>
        <v>41408310</v>
      </c>
      <c r="E60" s="390">
        <f t="shared" ref="E60" si="64">SUM(E51:E59)</f>
        <v>41408310</v>
      </c>
      <c r="F60" s="446">
        <f t="shared" ref="F60" si="65">SUM(F51:F59)</f>
        <v>0</v>
      </c>
      <c r="G60" s="390"/>
      <c r="H60" s="429">
        <f t="shared" ref="H60" si="66">SUM(H51:H59)</f>
        <v>19270047</v>
      </c>
      <c r="I60" s="390">
        <f t="shared" ref="I60" si="67">SUM(I51:I59)</f>
        <v>29182128</v>
      </c>
      <c r="J60" s="391">
        <f t="shared" ref="J60" si="68">SUM(J51:J59)</f>
        <v>0</v>
      </c>
      <c r="K60" s="392"/>
      <c r="L60" s="538">
        <f t="shared" si="49"/>
        <v>0.46536666190916753</v>
      </c>
      <c r="M60" s="538">
        <f t="shared" si="50"/>
        <v>0.70474085998679981</v>
      </c>
      <c r="N60" s="539">
        <f t="shared" si="51"/>
        <v>0</v>
      </c>
      <c r="O60" s="392"/>
      <c r="P60" s="429">
        <f t="shared" ref="P60" si="69">SUM(P51:P59)</f>
        <v>-3.0000001192092896E-2</v>
      </c>
      <c r="Q60" s="390">
        <f t="shared" ref="Q60" si="70">SUM(Q51:Q59)</f>
        <v>0</v>
      </c>
      <c r="R60" s="390">
        <f t="shared" ref="R60" si="71">SUM(R51:R59)</f>
        <v>-41408310</v>
      </c>
      <c r="S60" s="391">
        <f t="shared" ref="S60" si="72">SUM(S51:S59)</f>
        <v>-3.0000001192092896E-2</v>
      </c>
      <c r="T60" s="551">
        <f t="shared" si="38"/>
        <v>-7.2449228597733467E-10</v>
      </c>
    </row>
    <row r="61" spans="1:20" x14ac:dyDescent="0.25">
      <c r="A61" s="406"/>
      <c r="B61" s="73"/>
      <c r="C61" s="427"/>
      <c r="D61" s="73"/>
      <c r="E61" s="73"/>
      <c r="F61" s="438"/>
      <c r="G61" s="73"/>
      <c r="H61" s="427"/>
      <c r="I61" s="73"/>
      <c r="J61" s="462"/>
      <c r="K61" s="73"/>
      <c r="L61" s="534"/>
      <c r="M61" s="534"/>
      <c r="N61" s="535"/>
      <c r="O61" s="73"/>
      <c r="P61" s="427"/>
      <c r="Q61" s="73"/>
      <c r="R61" s="73"/>
      <c r="S61" s="73"/>
      <c r="T61" s="552"/>
    </row>
    <row r="62" spans="1:20" ht="13.8" thickBot="1" x14ac:dyDescent="0.3">
      <c r="A62" s="409"/>
      <c r="B62" s="410" t="s">
        <v>461</v>
      </c>
      <c r="C62" s="431">
        <f>+C60-C49</f>
        <v>0</v>
      </c>
      <c r="D62" s="411">
        <f>+D60-D49</f>
        <v>0</v>
      </c>
      <c r="E62" s="411">
        <f>+E60-E49</f>
        <v>0</v>
      </c>
      <c r="F62" s="448">
        <f>+F60-F49</f>
        <v>0</v>
      </c>
      <c r="G62" s="411"/>
      <c r="H62" s="431">
        <f>+H60-H49</f>
        <v>1763699</v>
      </c>
      <c r="I62" s="411">
        <f>+I60-I49</f>
        <v>1646803</v>
      </c>
      <c r="J62" s="413">
        <f>+J60-J49</f>
        <v>0</v>
      </c>
      <c r="K62" s="412"/>
      <c r="L62" s="540">
        <f t="shared" ref="L62" si="73">IF(D62=0,0,H62/D62)</f>
        <v>0</v>
      </c>
      <c r="M62" s="540">
        <f t="shared" ref="M62" si="74">IF(E62=0,0,I62/E62)</f>
        <v>0</v>
      </c>
      <c r="N62" s="541">
        <f t="shared" ref="N62" si="75">IF(F62=0,0,J62/F62)</f>
        <v>0</v>
      </c>
      <c r="O62" s="412"/>
      <c r="P62" s="431">
        <f>+P60-P49</f>
        <v>-9.3132257461547852E-10</v>
      </c>
      <c r="Q62" s="411">
        <f>+Q60-Q49</f>
        <v>0</v>
      </c>
      <c r="R62" s="411">
        <f>+R60-R49</f>
        <v>0</v>
      </c>
      <c r="S62" s="413">
        <f>+S60-S49</f>
        <v>-9.3132257461547852E-10</v>
      </c>
      <c r="T62" s="553"/>
    </row>
    <row r="63" spans="1:20" ht="13.8" thickBot="1" x14ac:dyDescent="0.3">
      <c r="C63" s="427"/>
      <c r="D63" s="74"/>
      <c r="E63" s="74"/>
      <c r="F63" s="444"/>
      <c r="G63" s="74"/>
      <c r="H63" s="436"/>
      <c r="I63" s="219"/>
      <c r="J63" s="460"/>
      <c r="K63" s="74"/>
      <c r="L63" s="534"/>
      <c r="M63" s="534"/>
      <c r="N63" s="535"/>
      <c r="O63" s="74"/>
      <c r="P63" s="427"/>
      <c r="Q63" s="73"/>
      <c r="R63" s="73"/>
      <c r="S63" s="73"/>
      <c r="T63" s="552"/>
    </row>
    <row r="64" spans="1:20" ht="13.8" hidden="1" thickBot="1" x14ac:dyDescent="0.3">
      <c r="C64" s="427"/>
      <c r="D64" s="74"/>
      <c r="E64" s="74"/>
      <c r="F64" s="444"/>
      <c r="G64" s="74"/>
      <c r="H64" s="436"/>
      <c r="I64" s="219"/>
      <c r="J64" s="460"/>
      <c r="K64" s="74"/>
      <c r="L64" s="534"/>
      <c r="M64" s="534"/>
      <c r="N64" s="535"/>
      <c r="O64" s="74"/>
      <c r="P64" s="427"/>
      <c r="Q64" s="73"/>
      <c r="R64" s="73"/>
      <c r="S64" s="73"/>
      <c r="T64" s="552"/>
    </row>
    <row r="65" spans="1:20" ht="18" thickBot="1" x14ac:dyDescent="0.35">
      <c r="A65" s="416" t="s">
        <v>492</v>
      </c>
      <c r="B65" s="443"/>
      <c r="D65" s="74"/>
      <c r="E65" s="74"/>
      <c r="F65" s="444"/>
      <c r="G65" s="74"/>
      <c r="H65" s="436"/>
      <c r="I65" s="219"/>
      <c r="J65" s="460"/>
      <c r="K65" s="74"/>
      <c r="L65" s="534"/>
      <c r="M65" s="534"/>
      <c r="N65" s="535"/>
      <c r="O65" s="74"/>
      <c r="P65" s="427"/>
      <c r="Q65" s="73"/>
      <c r="R65" s="73"/>
      <c r="S65" s="73"/>
      <c r="T65" s="552"/>
    </row>
    <row r="66" spans="1:20" x14ac:dyDescent="0.25">
      <c r="A66" s="399"/>
      <c r="B66" s="400"/>
      <c r="C66" s="428"/>
      <c r="D66" s="420"/>
      <c r="E66" s="420"/>
      <c r="F66" s="445"/>
      <c r="G66" s="420"/>
      <c r="H66" s="437"/>
      <c r="I66" s="421"/>
      <c r="J66" s="461"/>
      <c r="K66" s="420"/>
      <c r="L66" s="542"/>
      <c r="M66" s="542"/>
      <c r="N66" s="543"/>
      <c r="O66" s="420"/>
      <c r="P66" s="428"/>
      <c r="Q66" s="419"/>
      <c r="R66" s="419"/>
      <c r="S66" s="419"/>
      <c r="T66" s="554"/>
    </row>
    <row r="67" spans="1:20" x14ac:dyDescent="0.25">
      <c r="A67" s="403" t="s">
        <v>0</v>
      </c>
      <c r="B67" s="56" t="str">
        <f t="shared" ref="B67:B75" si="76">+B40</f>
        <v>Személyi juttatások</v>
      </c>
      <c r="C67" s="427">
        <f>+'5. Csicsergő'!C13</f>
        <v>145684000</v>
      </c>
      <c r="D67" s="73">
        <f>+'5. Csicsergő'!D13</f>
        <v>145684000</v>
      </c>
      <c r="E67" s="73">
        <f>+'5. Csicsergő'!E13</f>
        <v>145684000</v>
      </c>
      <c r="F67" s="438">
        <f>+'5. Csicsergő'!F13</f>
        <v>0</v>
      </c>
      <c r="G67" s="73"/>
      <c r="H67" s="427">
        <f>+'5. Csicsergő'!H13</f>
        <v>69259443</v>
      </c>
      <c r="I67" s="73">
        <f>+'5. Csicsergő'!I13</f>
        <v>106851886</v>
      </c>
      <c r="J67" s="462">
        <f>+'5. Csicsergő'!J13</f>
        <v>0</v>
      </c>
      <c r="K67" s="73"/>
      <c r="L67" s="534">
        <f t="shared" ref="L67:L76" si="77">IF(D67=0,0,H67/D67)</f>
        <v>0.47540871337964363</v>
      </c>
      <c r="M67" s="534">
        <f t="shared" ref="M67:M76" si="78">IF(E67=0,0,I67/E67)</f>
        <v>0.73344969934927651</v>
      </c>
      <c r="N67" s="535">
        <f t="shared" ref="N67:N76" si="79">IF(F67=0,0,J67/F67)</f>
        <v>0</v>
      </c>
      <c r="O67" s="73"/>
      <c r="P67" s="427">
        <f>+'5. Csicsergő'!P13</f>
        <v>0</v>
      </c>
      <c r="Q67" s="73">
        <f>+'5. Csicsergő'!Q13</f>
        <v>0</v>
      </c>
      <c r="R67" s="73">
        <f>+'5. Csicsergő'!R13</f>
        <v>0</v>
      </c>
      <c r="S67" s="73">
        <f>+'5. Csicsergő'!S13</f>
        <v>0</v>
      </c>
      <c r="T67" s="550">
        <f>IF(S67=0,0,S67/C67)</f>
        <v>0</v>
      </c>
    </row>
    <row r="68" spans="1:20" x14ac:dyDescent="0.25">
      <c r="A68" s="403" t="s">
        <v>26</v>
      </c>
      <c r="B68" s="56" t="str">
        <f t="shared" si="76"/>
        <v>Munkaadót terhelő járulékok és szociális hozzájárulás</v>
      </c>
      <c r="C68" s="427">
        <f>+'5. Csicsergő'!C30</f>
        <v>30000000</v>
      </c>
      <c r="D68" s="73">
        <f>+'5. Csicsergő'!D30</f>
        <v>30000000</v>
      </c>
      <c r="E68" s="73">
        <f>+'5. Csicsergő'!E30</f>
        <v>30000000</v>
      </c>
      <c r="F68" s="438">
        <f>+'5. Csicsergő'!F30</f>
        <v>0</v>
      </c>
      <c r="G68" s="73"/>
      <c r="H68" s="427">
        <f>+'5. Csicsergő'!H30</f>
        <v>14696128</v>
      </c>
      <c r="I68" s="73">
        <f>+'5. Csicsergő'!I30</f>
        <v>21528393</v>
      </c>
      <c r="J68" s="462">
        <f>+'5. Csicsergő'!J30</f>
        <v>0</v>
      </c>
      <c r="K68" s="73"/>
      <c r="L68" s="534">
        <f t="shared" si="77"/>
        <v>0.48987093333333331</v>
      </c>
      <c r="M68" s="534">
        <f t="shared" si="78"/>
        <v>0.7176131</v>
      </c>
      <c r="N68" s="535">
        <f t="shared" si="79"/>
        <v>0</v>
      </c>
      <c r="O68" s="73"/>
      <c r="P68" s="427">
        <f>+'5. Csicsergő'!P30</f>
        <v>0</v>
      </c>
      <c r="Q68" s="73">
        <f>+'5. Csicsergő'!Q30</f>
        <v>0</v>
      </c>
      <c r="R68" s="73">
        <f>+'5. Csicsergő'!R30</f>
        <v>0</v>
      </c>
      <c r="S68" s="73">
        <f>+'5. Csicsergő'!S30</f>
        <v>0</v>
      </c>
      <c r="T68" s="550">
        <f t="shared" ref="T68:T87" si="80">IF(S68=0,0,S68/C68)</f>
        <v>0</v>
      </c>
    </row>
    <row r="69" spans="1:20" x14ac:dyDescent="0.25">
      <c r="A69" s="403" t="s">
        <v>29</v>
      </c>
      <c r="B69" s="56" t="str">
        <f t="shared" si="76"/>
        <v>Dologi kiadások</v>
      </c>
      <c r="C69" s="427">
        <f>+'5. Csicsergő'!C33</f>
        <v>15885000</v>
      </c>
      <c r="D69" s="73">
        <f>+'5. Csicsergő'!D33</f>
        <v>15885000</v>
      </c>
      <c r="E69" s="73">
        <f>+'5. Csicsergő'!E33</f>
        <v>15885000</v>
      </c>
      <c r="F69" s="438">
        <f>+'5. Csicsergő'!F33</f>
        <v>0</v>
      </c>
      <c r="G69" s="73"/>
      <c r="H69" s="427">
        <f>+'5. Csicsergő'!H33</f>
        <v>6272583</v>
      </c>
      <c r="I69" s="73">
        <f>+'5. Csicsergő'!I33</f>
        <v>8740932</v>
      </c>
      <c r="J69" s="462">
        <f>+'5. Csicsergő'!J33</f>
        <v>0</v>
      </c>
      <c r="K69" s="73"/>
      <c r="L69" s="534">
        <f t="shared" si="77"/>
        <v>0.39487459867799812</v>
      </c>
      <c r="M69" s="534">
        <f t="shared" si="78"/>
        <v>0.55026326723323893</v>
      </c>
      <c r="N69" s="535">
        <f t="shared" si="79"/>
        <v>0</v>
      </c>
      <c r="O69" s="73"/>
      <c r="P69" s="427">
        <f>+'5. Csicsergő'!P33</f>
        <v>0</v>
      </c>
      <c r="Q69" s="73">
        <f>+'5. Csicsergő'!Q33</f>
        <v>0</v>
      </c>
      <c r="R69" s="73">
        <f>+'5. Csicsergő'!R33</f>
        <v>0</v>
      </c>
      <c r="S69" s="73">
        <f>+'5. Csicsergő'!S33</f>
        <v>0</v>
      </c>
      <c r="T69" s="550">
        <f t="shared" si="80"/>
        <v>0</v>
      </c>
    </row>
    <row r="70" spans="1:20" x14ac:dyDescent="0.25">
      <c r="A70" s="403" t="s">
        <v>111</v>
      </c>
      <c r="B70" s="56" t="str">
        <f t="shared" si="76"/>
        <v>Elláttotak pénzbeli juttatásai</v>
      </c>
      <c r="C70" s="427"/>
      <c r="D70" s="73"/>
      <c r="E70" s="73"/>
      <c r="F70" s="438"/>
      <c r="G70" s="73"/>
      <c r="H70" s="427"/>
      <c r="I70" s="73"/>
      <c r="J70" s="462"/>
      <c r="K70" s="73"/>
      <c r="L70" s="534">
        <f t="shared" si="77"/>
        <v>0</v>
      </c>
      <c r="M70" s="534">
        <f t="shared" si="78"/>
        <v>0</v>
      </c>
      <c r="N70" s="535">
        <f t="shared" si="79"/>
        <v>0</v>
      </c>
      <c r="O70" s="73"/>
      <c r="P70" s="427"/>
      <c r="Q70" s="73"/>
      <c r="R70" s="73"/>
      <c r="S70" s="73"/>
      <c r="T70" s="550">
        <f t="shared" si="80"/>
        <v>0</v>
      </c>
    </row>
    <row r="71" spans="1:20" x14ac:dyDescent="0.25">
      <c r="A71" s="404" t="s">
        <v>375</v>
      </c>
      <c r="B71" s="56" t="str">
        <f t="shared" si="76"/>
        <v>Egyéb működési célú kiadások</v>
      </c>
      <c r="C71" s="427"/>
      <c r="D71" s="73"/>
      <c r="E71" s="73"/>
      <c r="F71" s="438"/>
      <c r="G71" s="73"/>
      <c r="H71" s="427"/>
      <c r="I71" s="73"/>
      <c r="J71" s="462"/>
      <c r="K71" s="73"/>
      <c r="L71" s="534">
        <f t="shared" si="77"/>
        <v>0</v>
      </c>
      <c r="M71" s="534">
        <f t="shared" si="78"/>
        <v>0</v>
      </c>
      <c r="N71" s="535">
        <f t="shared" si="79"/>
        <v>0</v>
      </c>
      <c r="O71" s="73"/>
      <c r="P71" s="427"/>
      <c r="Q71" s="73"/>
      <c r="R71" s="73"/>
      <c r="S71" s="73"/>
      <c r="T71" s="550">
        <f t="shared" si="80"/>
        <v>0</v>
      </c>
    </row>
    <row r="72" spans="1:20" x14ac:dyDescent="0.25">
      <c r="A72" s="403" t="s">
        <v>158</v>
      </c>
      <c r="B72" s="56" t="str">
        <f t="shared" si="76"/>
        <v>Beruházások</v>
      </c>
      <c r="C72" s="427">
        <f>+'5. Csicsergő'!C84</f>
        <v>1650000</v>
      </c>
      <c r="D72" s="73">
        <f>+'5. Csicsergő'!D84</f>
        <v>1650000</v>
      </c>
      <c r="E72" s="73">
        <f>+'5. Csicsergő'!E84</f>
        <v>1650000</v>
      </c>
      <c r="F72" s="438">
        <f>+'5. Csicsergő'!F84</f>
        <v>0</v>
      </c>
      <c r="G72" s="73"/>
      <c r="H72" s="427">
        <f>+'5. Csicsergő'!H84</f>
        <v>1297203</v>
      </c>
      <c r="I72" s="73">
        <f>+'5. Csicsergő'!I84</f>
        <v>1398983</v>
      </c>
      <c r="J72" s="462">
        <f>+'5. Csicsergő'!J84</f>
        <v>0</v>
      </c>
      <c r="K72" s="73"/>
      <c r="L72" s="534">
        <f t="shared" si="77"/>
        <v>0.78618363636363642</v>
      </c>
      <c r="M72" s="534">
        <f t="shared" si="78"/>
        <v>0.84786848484848487</v>
      </c>
      <c r="N72" s="535">
        <f t="shared" si="79"/>
        <v>0</v>
      </c>
      <c r="O72" s="73"/>
      <c r="P72" s="427">
        <f>+'5. Csicsergő'!P84</f>
        <v>0</v>
      </c>
      <c r="Q72" s="73">
        <f>+'5. Csicsergő'!Q84</f>
        <v>0</v>
      </c>
      <c r="R72" s="73">
        <f>+'5. Csicsergő'!R84</f>
        <v>0</v>
      </c>
      <c r="S72" s="73">
        <f>+'5. Csicsergő'!S84</f>
        <v>0</v>
      </c>
      <c r="T72" s="550">
        <f t="shared" si="80"/>
        <v>0</v>
      </c>
    </row>
    <row r="73" spans="1:20" x14ac:dyDescent="0.25">
      <c r="A73" s="403" t="s">
        <v>173</v>
      </c>
      <c r="B73" s="56" t="str">
        <f t="shared" si="76"/>
        <v>Felújítások</v>
      </c>
      <c r="C73" s="427">
        <f>+'5. Csicsergő'!C87</f>
        <v>0</v>
      </c>
      <c r="D73" s="73">
        <f>+'5. Csicsergő'!D87</f>
        <v>0</v>
      </c>
      <c r="E73" s="73">
        <f>+'5. Csicsergő'!E87</f>
        <v>0</v>
      </c>
      <c r="F73" s="438">
        <f>+'5. Csicsergő'!F87</f>
        <v>0</v>
      </c>
      <c r="G73" s="73"/>
      <c r="H73" s="427">
        <f>+'5. Csicsergő'!H87</f>
        <v>0</v>
      </c>
      <c r="I73" s="73">
        <f>+'5. Csicsergő'!I87</f>
        <v>0</v>
      </c>
      <c r="J73" s="462">
        <f>+'5. Csicsergő'!J87</f>
        <v>0</v>
      </c>
      <c r="K73" s="73"/>
      <c r="L73" s="534">
        <f t="shared" si="77"/>
        <v>0</v>
      </c>
      <c r="M73" s="534">
        <f t="shared" si="78"/>
        <v>0</v>
      </c>
      <c r="N73" s="535">
        <f t="shared" si="79"/>
        <v>0</v>
      </c>
      <c r="O73" s="73"/>
      <c r="P73" s="427">
        <f>+'5. Csicsergő'!P87</f>
        <v>0</v>
      </c>
      <c r="Q73" s="73">
        <f>+'5. Csicsergő'!Q87</f>
        <v>0</v>
      </c>
      <c r="R73" s="73">
        <f>+'5. Csicsergő'!R87</f>
        <v>0</v>
      </c>
      <c r="S73" s="73">
        <f>+'5. Csicsergő'!S87</f>
        <v>0</v>
      </c>
      <c r="T73" s="550">
        <f t="shared" si="80"/>
        <v>0</v>
      </c>
    </row>
    <row r="74" spans="1:20" x14ac:dyDescent="0.25">
      <c r="A74" s="403" t="s">
        <v>183</v>
      </c>
      <c r="B74" s="56" t="str">
        <f t="shared" si="76"/>
        <v>Szolgáltatások kiadásai</v>
      </c>
      <c r="C74" s="427"/>
      <c r="D74" s="73"/>
      <c r="E74" s="73"/>
      <c r="F74" s="438"/>
      <c r="G74" s="73"/>
      <c r="H74" s="427"/>
      <c r="I74" s="73"/>
      <c r="J74" s="462"/>
      <c r="K74" s="73"/>
      <c r="L74" s="534">
        <f t="shared" si="77"/>
        <v>0</v>
      </c>
      <c r="M74" s="534">
        <f t="shared" si="78"/>
        <v>0</v>
      </c>
      <c r="N74" s="535">
        <f t="shared" si="79"/>
        <v>0</v>
      </c>
      <c r="O74" s="73"/>
      <c r="P74" s="427"/>
      <c r="Q74" s="73"/>
      <c r="R74" s="73"/>
      <c r="S74" s="73"/>
      <c r="T74" s="550">
        <f t="shared" si="80"/>
        <v>0</v>
      </c>
    </row>
    <row r="75" spans="1:20" x14ac:dyDescent="0.25">
      <c r="A75" s="403" t="s">
        <v>201</v>
      </c>
      <c r="B75" s="56" t="str">
        <f t="shared" si="76"/>
        <v>Finanszírozási kiadások</v>
      </c>
      <c r="C75" s="406"/>
      <c r="F75" s="449"/>
      <c r="H75" s="406"/>
      <c r="J75" s="460"/>
      <c r="L75" s="534">
        <f t="shared" si="77"/>
        <v>0</v>
      </c>
      <c r="M75" s="534">
        <f t="shared" si="78"/>
        <v>0</v>
      </c>
      <c r="N75" s="535">
        <f t="shared" si="79"/>
        <v>0</v>
      </c>
      <c r="P75" s="406"/>
      <c r="T75" s="550">
        <f t="shared" si="80"/>
        <v>0</v>
      </c>
    </row>
    <row r="76" spans="1:20" x14ac:dyDescent="0.25">
      <c r="A76" s="405"/>
      <c r="B76" s="389" t="s">
        <v>377</v>
      </c>
      <c r="C76" s="429">
        <f>SUM(C67:C75)</f>
        <v>193219000</v>
      </c>
      <c r="D76" s="390">
        <f t="shared" ref="D76" si="81">SUM(D67:D75)</f>
        <v>193219000</v>
      </c>
      <c r="E76" s="390">
        <f t="shared" ref="E76" si="82">SUM(E67:E75)</f>
        <v>193219000</v>
      </c>
      <c r="F76" s="446">
        <f t="shared" ref="F76" si="83">SUM(F67:F75)</f>
        <v>0</v>
      </c>
      <c r="G76" s="390"/>
      <c r="H76" s="429">
        <f t="shared" ref="H76" si="84">SUM(H67:H75)</f>
        <v>91525357</v>
      </c>
      <c r="I76" s="390">
        <f t="shared" ref="I76" si="85">SUM(I67:I75)</f>
        <v>138520194</v>
      </c>
      <c r="J76" s="391">
        <f t="shared" ref="J76" si="86">SUM(J67:J75)</f>
        <v>0</v>
      </c>
      <c r="K76" s="205"/>
      <c r="L76" s="536">
        <f t="shared" si="77"/>
        <v>0.47368714774426945</v>
      </c>
      <c r="M76" s="536">
        <f t="shared" si="78"/>
        <v>0.71690772646582379</v>
      </c>
      <c r="N76" s="537">
        <f t="shared" si="79"/>
        <v>0</v>
      </c>
      <c r="O76" s="205"/>
      <c r="P76" s="429">
        <f t="shared" ref="P76" si="87">SUM(P67:P75)</f>
        <v>0</v>
      </c>
      <c r="Q76" s="390">
        <f t="shared" ref="Q76" si="88">SUM(Q67:Q75)</f>
        <v>0</v>
      </c>
      <c r="R76" s="390">
        <f t="shared" ref="R76" si="89">SUM(R67:R75)</f>
        <v>0</v>
      </c>
      <c r="S76" s="391">
        <f t="shared" ref="S76" si="90">SUM(S67:S75)</f>
        <v>0</v>
      </c>
      <c r="T76" s="551">
        <f t="shared" si="80"/>
        <v>0</v>
      </c>
    </row>
    <row r="77" spans="1:20" x14ac:dyDescent="0.25">
      <c r="A77" s="406"/>
      <c r="C77" s="406"/>
      <c r="F77" s="449"/>
      <c r="H77" s="406"/>
      <c r="J77" s="460"/>
      <c r="L77" s="534"/>
      <c r="M77" s="534"/>
      <c r="N77" s="535"/>
      <c r="P77" s="406"/>
      <c r="T77" s="550"/>
    </row>
    <row r="78" spans="1:20" x14ac:dyDescent="0.25">
      <c r="A78" s="403" t="str">
        <f t="shared" ref="A78:B84" si="91">+A51</f>
        <v>B1</v>
      </c>
      <c r="B78" s="56" t="str">
        <f t="shared" si="91"/>
        <v>Működési célú tám-ok államháztartáson belülről</v>
      </c>
      <c r="C78" s="427">
        <f>+'5. Csicsergő'!C93</f>
        <v>0</v>
      </c>
      <c r="D78" s="73">
        <f>+'5. Csicsergő'!D93</f>
        <v>0</v>
      </c>
      <c r="E78" s="73">
        <f>+'5. Csicsergő'!E93</f>
        <v>0</v>
      </c>
      <c r="F78" s="438">
        <f>+'5. Csicsergő'!F93</f>
        <v>0</v>
      </c>
      <c r="G78" s="73"/>
      <c r="H78" s="427">
        <f>+'5. Csicsergő'!H93</f>
        <v>0</v>
      </c>
      <c r="I78" s="73">
        <f>+'5. Csicsergő'!I93</f>
        <v>0</v>
      </c>
      <c r="J78" s="462">
        <f>+'5. Csicsergő'!J93</f>
        <v>0</v>
      </c>
      <c r="K78" s="73"/>
      <c r="L78" s="534">
        <f t="shared" ref="L78:L87" si="92">IF(D78=0,0,H78/D78)</f>
        <v>0</v>
      </c>
      <c r="M78" s="534">
        <f t="shared" ref="M78:M87" si="93">IF(E78=0,0,I78/E78)</f>
        <v>0</v>
      </c>
      <c r="N78" s="535">
        <f t="shared" ref="N78:N87" si="94">IF(F78=0,0,J78/F78)</f>
        <v>0</v>
      </c>
      <c r="O78" s="73"/>
      <c r="P78" s="427">
        <f>+'5. Csicsergő'!P93</f>
        <v>0</v>
      </c>
      <c r="Q78" s="73">
        <f>+'5. Csicsergő'!Q93</f>
        <v>0</v>
      </c>
      <c r="R78" s="73">
        <f>+'5. Csicsergő'!R93</f>
        <v>0</v>
      </c>
      <c r="S78" s="73">
        <f>+'5. Csicsergő'!S93</f>
        <v>0</v>
      </c>
      <c r="T78" s="550">
        <f t="shared" si="80"/>
        <v>0</v>
      </c>
    </row>
    <row r="79" spans="1:20" x14ac:dyDescent="0.25">
      <c r="A79" s="403" t="str">
        <f t="shared" si="91"/>
        <v>B2</v>
      </c>
      <c r="B79" s="56" t="str">
        <f t="shared" si="91"/>
        <v>Felhalmozási célú tám-ok államházt-on belülről</v>
      </c>
      <c r="C79" s="427"/>
      <c r="D79" s="73"/>
      <c r="E79" s="73"/>
      <c r="F79" s="438"/>
      <c r="G79" s="73"/>
      <c r="H79" s="427"/>
      <c r="I79" s="73"/>
      <c r="J79" s="462"/>
      <c r="K79" s="73"/>
      <c r="L79" s="534">
        <f t="shared" si="92"/>
        <v>0</v>
      </c>
      <c r="M79" s="534">
        <f t="shared" si="93"/>
        <v>0</v>
      </c>
      <c r="N79" s="535">
        <f t="shared" si="94"/>
        <v>0</v>
      </c>
      <c r="O79" s="73"/>
      <c r="P79" s="427"/>
      <c r="Q79" s="73"/>
      <c r="R79" s="73"/>
      <c r="S79" s="73"/>
      <c r="T79" s="550">
        <f t="shared" si="80"/>
        <v>0</v>
      </c>
    </row>
    <row r="80" spans="1:20" x14ac:dyDescent="0.25">
      <c r="A80" s="403" t="str">
        <f t="shared" si="91"/>
        <v>B3</v>
      </c>
      <c r="B80" s="56" t="str">
        <f t="shared" si="91"/>
        <v>Közhatalmi bevételek</v>
      </c>
      <c r="C80" s="427"/>
      <c r="D80" s="73"/>
      <c r="E80" s="73"/>
      <c r="F80" s="438"/>
      <c r="G80" s="73"/>
      <c r="H80" s="427"/>
      <c r="I80" s="73"/>
      <c r="J80" s="462"/>
      <c r="K80" s="73"/>
      <c r="L80" s="534">
        <f t="shared" si="92"/>
        <v>0</v>
      </c>
      <c r="M80" s="534">
        <f t="shared" si="93"/>
        <v>0</v>
      </c>
      <c r="N80" s="535">
        <f t="shared" si="94"/>
        <v>0</v>
      </c>
      <c r="O80" s="73"/>
      <c r="P80" s="427"/>
      <c r="Q80" s="73"/>
      <c r="R80" s="73"/>
      <c r="S80" s="73"/>
      <c r="T80" s="550">
        <f t="shared" si="80"/>
        <v>0</v>
      </c>
    </row>
    <row r="81" spans="1:20" x14ac:dyDescent="0.25">
      <c r="A81" s="403" t="str">
        <f t="shared" si="91"/>
        <v>B4</v>
      </c>
      <c r="B81" s="56" t="str">
        <f t="shared" si="91"/>
        <v>Működési bevételek</v>
      </c>
      <c r="C81" s="427">
        <f>+'5. Csicsergő'!C95</f>
        <v>0</v>
      </c>
      <c r="D81" s="73">
        <f>+'5. Csicsergő'!D95</f>
        <v>0</v>
      </c>
      <c r="E81" s="73">
        <f>+'5. Csicsergő'!E95</f>
        <v>0</v>
      </c>
      <c r="F81" s="438">
        <f>+'5. Csicsergő'!F95</f>
        <v>0</v>
      </c>
      <c r="G81" s="73"/>
      <c r="H81" s="427">
        <f>+'5. Csicsergő'!H95</f>
        <v>1422</v>
      </c>
      <c r="I81" s="73">
        <f>+'5. Csicsergő'!I95</f>
        <v>2093</v>
      </c>
      <c r="J81" s="462">
        <f>+'5. Csicsergő'!J95</f>
        <v>0</v>
      </c>
      <c r="K81" s="73"/>
      <c r="L81" s="534">
        <f t="shared" si="92"/>
        <v>0</v>
      </c>
      <c r="M81" s="534">
        <f t="shared" si="93"/>
        <v>0</v>
      </c>
      <c r="N81" s="535">
        <f t="shared" si="94"/>
        <v>0</v>
      </c>
      <c r="O81" s="73"/>
      <c r="P81" s="427">
        <f>+'5. Csicsergő'!P95</f>
        <v>0</v>
      </c>
      <c r="Q81" s="73">
        <f>+'5. Csicsergő'!Q95</f>
        <v>0</v>
      </c>
      <c r="R81" s="73">
        <f>+'5. Csicsergő'!R95</f>
        <v>0</v>
      </c>
      <c r="S81" s="73">
        <f>+'5. Csicsergő'!S95</f>
        <v>0</v>
      </c>
      <c r="T81" s="550">
        <f t="shared" si="80"/>
        <v>0</v>
      </c>
    </row>
    <row r="82" spans="1:20" x14ac:dyDescent="0.25">
      <c r="A82" s="403" t="str">
        <f t="shared" si="91"/>
        <v>B5</v>
      </c>
      <c r="B82" s="56" t="str">
        <f t="shared" si="91"/>
        <v>Felhalmozási bevételek</v>
      </c>
      <c r="C82" s="427"/>
      <c r="D82" s="73"/>
      <c r="E82" s="73"/>
      <c r="F82" s="438"/>
      <c r="G82" s="73"/>
      <c r="H82" s="427"/>
      <c r="I82" s="73"/>
      <c r="J82" s="462"/>
      <c r="K82" s="73"/>
      <c r="L82" s="534">
        <f t="shared" si="92"/>
        <v>0</v>
      </c>
      <c r="M82" s="534">
        <f t="shared" si="93"/>
        <v>0</v>
      </c>
      <c r="N82" s="535">
        <f t="shared" si="94"/>
        <v>0</v>
      </c>
      <c r="O82" s="73"/>
      <c r="P82" s="427"/>
      <c r="Q82" s="73"/>
      <c r="R82" s="73"/>
      <c r="S82" s="73"/>
      <c r="T82" s="550">
        <f t="shared" si="80"/>
        <v>0</v>
      </c>
    </row>
    <row r="83" spans="1:20" x14ac:dyDescent="0.25">
      <c r="A83" s="403" t="str">
        <f t="shared" si="91"/>
        <v>B6</v>
      </c>
      <c r="B83" s="56" t="str">
        <f t="shared" si="91"/>
        <v>Működési célú átvett pénzeszközök</v>
      </c>
      <c r="C83" s="427"/>
      <c r="D83" s="73"/>
      <c r="E83" s="73"/>
      <c r="F83" s="438"/>
      <c r="G83" s="73"/>
      <c r="H83" s="427"/>
      <c r="I83" s="73"/>
      <c r="J83" s="462"/>
      <c r="K83" s="73"/>
      <c r="L83" s="534">
        <f t="shared" si="92"/>
        <v>0</v>
      </c>
      <c r="M83" s="534">
        <f t="shared" si="93"/>
        <v>0</v>
      </c>
      <c r="N83" s="535">
        <f t="shared" si="94"/>
        <v>0</v>
      </c>
      <c r="O83" s="73"/>
      <c r="P83" s="427"/>
      <c r="Q83" s="73"/>
      <c r="R83" s="73"/>
      <c r="S83" s="73"/>
      <c r="T83" s="550">
        <f t="shared" si="80"/>
        <v>0</v>
      </c>
    </row>
    <row r="84" spans="1:20" x14ac:dyDescent="0.25">
      <c r="A84" s="403" t="str">
        <f t="shared" si="91"/>
        <v>B7</v>
      </c>
      <c r="B84" s="56" t="str">
        <f t="shared" si="91"/>
        <v>Felhalmozási célú átvett pénzeszközök</v>
      </c>
      <c r="C84" s="427"/>
      <c r="D84" s="73"/>
      <c r="E84" s="73"/>
      <c r="F84" s="438"/>
      <c r="G84" s="73"/>
      <c r="H84" s="427"/>
      <c r="I84" s="73"/>
      <c r="J84" s="462"/>
      <c r="K84" s="73"/>
      <c r="L84" s="534">
        <f t="shared" si="92"/>
        <v>0</v>
      </c>
      <c r="M84" s="534">
        <f t="shared" si="93"/>
        <v>0</v>
      </c>
      <c r="N84" s="535">
        <f t="shared" si="94"/>
        <v>0</v>
      </c>
      <c r="O84" s="73"/>
      <c r="P84" s="427"/>
      <c r="Q84" s="73"/>
      <c r="R84" s="73"/>
      <c r="S84" s="73"/>
      <c r="T84" s="550">
        <f t="shared" si="80"/>
        <v>0</v>
      </c>
    </row>
    <row r="85" spans="1:20" x14ac:dyDescent="0.25">
      <c r="A85" s="403" t="str">
        <f>+A58</f>
        <v>B8-ból maradványértéken túli finanszírozási bevételek</v>
      </c>
      <c r="B85" s="56"/>
      <c r="C85" s="427">
        <f>+'5. Csicsergő'!C99-C86</f>
        <v>191656859</v>
      </c>
      <c r="D85" s="73">
        <f>+'5. Csicsergő'!D99-D86</f>
        <v>191656859</v>
      </c>
      <c r="E85" s="73">
        <f>+'5. Csicsergő'!E99-E86</f>
        <v>191656859</v>
      </c>
      <c r="F85" s="438">
        <f>+'5. Csicsergő'!F99-F86</f>
        <v>0</v>
      </c>
      <c r="G85" s="73"/>
      <c r="H85" s="427">
        <f>+'5. Csicsergő'!H99-H86</f>
        <v>92579361</v>
      </c>
      <c r="I85" s="73">
        <f>+'5. Csicsergő'!I99-I86</f>
        <v>138740413</v>
      </c>
      <c r="J85" s="462">
        <f>+'5. Csicsergő'!J99-J86</f>
        <v>0</v>
      </c>
      <c r="K85" s="73"/>
      <c r="L85" s="534">
        <f t="shared" si="92"/>
        <v>0.48304747079257937</v>
      </c>
      <c r="M85" s="534">
        <f t="shared" si="93"/>
        <v>0.72390006662897466</v>
      </c>
      <c r="N85" s="535">
        <f t="shared" si="94"/>
        <v>0</v>
      </c>
      <c r="O85" s="73"/>
      <c r="P85" s="427">
        <f>+'5. Csicsergő'!P99-P86</f>
        <v>0</v>
      </c>
      <c r="Q85" s="73">
        <f>+'5. Csicsergő'!Q99-Q86</f>
        <v>0</v>
      </c>
      <c r="R85" s="73">
        <f>+'5. Csicsergő'!R99-R86</f>
        <v>0</v>
      </c>
      <c r="S85" s="73">
        <f>+'5. Csicsergő'!S99-S86</f>
        <v>0</v>
      </c>
      <c r="T85" s="550">
        <f t="shared" si="80"/>
        <v>0</v>
      </c>
    </row>
    <row r="86" spans="1:20" x14ac:dyDescent="0.25">
      <c r="A86" s="403" t="str">
        <f>+A59</f>
        <v>B8-ból előző évi mardvány igénybevétele</v>
      </c>
      <c r="B86" s="56"/>
      <c r="C86" s="427">
        <f>+'5. Csicsergő'!C101</f>
        <v>1562141</v>
      </c>
      <c r="D86" s="73">
        <f>+'5. Csicsergő'!D101</f>
        <v>1562141</v>
      </c>
      <c r="E86" s="73">
        <f>+'5. Csicsergő'!E101</f>
        <v>1562141</v>
      </c>
      <c r="F86" s="438">
        <f>+'5. Csicsergő'!F101</f>
        <v>0</v>
      </c>
      <c r="G86" s="73"/>
      <c r="H86" s="427">
        <f>+'5. Csicsergő'!H101</f>
        <v>1562141</v>
      </c>
      <c r="I86" s="73">
        <f>+'5. Csicsergő'!I101</f>
        <v>1562141</v>
      </c>
      <c r="J86" s="462">
        <f>+'5. Csicsergő'!J101</f>
        <v>0</v>
      </c>
      <c r="K86" s="73"/>
      <c r="L86" s="534">
        <f t="shared" si="92"/>
        <v>1</v>
      </c>
      <c r="M86" s="534">
        <f t="shared" si="93"/>
        <v>1</v>
      </c>
      <c r="N86" s="535">
        <f t="shared" si="94"/>
        <v>0</v>
      </c>
      <c r="O86" s="73"/>
      <c r="P86" s="427">
        <f>+'5. Csicsergő'!P101</f>
        <v>0</v>
      </c>
      <c r="Q86" s="73">
        <f>+'5. Csicsergő'!Q101</f>
        <v>0</v>
      </c>
      <c r="R86" s="73">
        <f>+'5. Csicsergő'!R101</f>
        <v>0</v>
      </c>
      <c r="S86" s="73">
        <f>+'5. Csicsergő'!S101</f>
        <v>0</v>
      </c>
      <c r="T86" s="550">
        <f t="shared" si="80"/>
        <v>0</v>
      </c>
    </row>
    <row r="87" spans="1:20" x14ac:dyDescent="0.25">
      <c r="A87" s="407"/>
      <c r="B87" s="389" t="s">
        <v>376</v>
      </c>
      <c r="C87" s="429">
        <f>SUM(C78:C86)</f>
        <v>193219000</v>
      </c>
      <c r="D87" s="390">
        <f t="shared" ref="D87" si="95">SUM(D78:D86)</f>
        <v>193219000</v>
      </c>
      <c r="E87" s="390">
        <f t="shared" ref="E87" si="96">SUM(E78:E86)</f>
        <v>193219000</v>
      </c>
      <c r="F87" s="446">
        <f t="shared" ref="F87" si="97">SUM(F78:F86)</f>
        <v>0</v>
      </c>
      <c r="G87" s="390"/>
      <c r="H87" s="429">
        <f t="shared" ref="H87" si="98">SUM(H78:H86)</f>
        <v>94142924</v>
      </c>
      <c r="I87" s="390">
        <f t="shared" ref="I87" si="99">SUM(I78:I86)</f>
        <v>140304647</v>
      </c>
      <c r="J87" s="391">
        <f t="shared" ref="J87" si="100">SUM(J78:J86)</f>
        <v>0</v>
      </c>
      <c r="K87" s="392"/>
      <c r="L87" s="538">
        <f t="shared" si="92"/>
        <v>0.48723429890435205</v>
      </c>
      <c r="M87" s="538">
        <f t="shared" si="93"/>
        <v>0.72614311739528725</v>
      </c>
      <c r="N87" s="539">
        <f t="shared" si="94"/>
        <v>0</v>
      </c>
      <c r="O87" s="392"/>
      <c r="P87" s="429">
        <f t="shared" ref="P87" si="101">SUM(P78:P86)</f>
        <v>0</v>
      </c>
      <c r="Q87" s="390">
        <f t="shared" ref="Q87" si="102">SUM(Q78:Q86)</f>
        <v>0</v>
      </c>
      <c r="R87" s="390">
        <f t="shared" ref="R87" si="103">SUM(R78:R86)</f>
        <v>0</v>
      </c>
      <c r="S87" s="391">
        <f t="shared" ref="S87" si="104">SUM(S78:S86)</f>
        <v>0</v>
      </c>
      <c r="T87" s="551">
        <f t="shared" si="80"/>
        <v>0</v>
      </c>
    </row>
    <row r="88" spans="1:20" x14ac:dyDescent="0.25">
      <c r="A88" s="406"/>
      <c r="B88" s="73"/>
      <c r="C88" s="427"/>
      <c r="D88" s="73"/>
      <c r="E88" s="73"/>
      <c r="F88" s="438"/>
      <c r="G88" s="73"/>
      <c r="H88" s="427"/>
      <c r="I88" s="73"/>
      <c r="J88" s="462"/>
      <c r="K88" s="73"/>
      <c r="L88" s="534"/>
      <c r="M88" s="534"/>
      <c r="N88" s="535"/>
      <c r="O88" s="73"/>
      <c r="P88" s="427"/>
      <c r="Q88" s="73"/>
      <c r="R88" s="73"/>
      <c r="S88" s="73"/>
      <c r="T88" s="552"/>
    </row>
    <row r="89" spans="1:20" ht="13.8" thickBot="1" x14ac:dyDescent="0.3">
      <c r="A89" s="409"/>
      <c r="B89" s="410" t="s">
        <v>461</v>
      </c>
      <c r="C89" s="431">
        <f>+C87-C76</f>
        <v>0</v>
      </c>
      <c r="D89" s="411">
        <f>+D87-D76</f>
        <v>0</v>
      </c>
      <c r="E89" s="411">
        <f>+E87-E76</f>
        <v>0</v>
      </c>
      <c r="F89" s="448">
        <f>+F87-F76</f>
        <v>0</v>
      </c>
      <c r="G89" s="411"/>
      <c r="H89" s="431">
        <f>+H87-H76</f>
        <v>2617567</v>
      </c>
      <c r="I89" s="411">
        <f>+I87-I76</f>
        <v>1784453</v>
      </c>
      <c r="J89" s="413">
        <f>+J87-J76</f>
        <v>0</v>
      </c>
      <c r="K89" s="412"/>
      <c r="L89" s="540">
        <f t="shared" ref="L89" si="105">IF(D89=0,0,H89/D89)</f>
        <v>0</v>
      </c>
      <c r="M89" s="540">
        <f t="shared" ref="M89" si="106">IF(E89=0,0,I89/E89)</f>
        <v>0</v>
      </c>
      <c r="N89" s="541">
        <f t="shared" ref="N89" si="107">IF(F89=0,0,J89/F89)</f>
        <v>0</v>
      </c>
      <c r="O89" s="412"/>
      <c r="P89" s="431">
        <f>+P87-P76</f>
        <v>0</v>
      </c>
      <c r="Q89" s="411">
        <f>+Q87-Q76</f>
        <v>0</v>
      </c>
      <c r="R89" s="411">
        <f>+R87-R76</f>
        <v>0</v>
      </c>
      <c r="S89" s="413">
        <f>+S87-S76</f>
        <v>0</v>
      </c>
      <c r="T89" s="553"/>
    </row>
    <row r="90" spans="1:20" x14ac:dyDescent="0.25">
      <c r="A90" s="56"/>
      <c r="B90" s="56"/>
      <c r="C90" s="427"/>
      <c r="D90" s="73"/>
      <c r="E90" s="73"/>
      <c r="F90" s="438"/>
      <c r="G90" s="73"/>
      <c r="H90" s="427"/>
      <c r="I90" s="73"/>
      <c r="J90" s="462"/>
      <c r="K90" s="73"/>
      <c r="L90" s="534"/>
      <c r="M90" s="534"/>
      <c r="N90" s="535"/>
      <c r="O90" s="73"/>
      <c r="P90" s="427"/>
      <c r="Q90" s="73"/>
      <c r="R90" s="73"/>
      <c r="S90" s="73"/>
      <c r="T90" s="552"/>
    </row>
    <row r="91" spans="1:20" ht="13.8" thickBot="1" x14ac:dyDescent="0.3">
      <c r="A91" s="56"/>
      <c r="B91" s="56"/>
      <c r="C91" s="427"/>
      <c r="D91" s="73"/>
      <c r="E91" s="73"/>
      <c r="F91" s="438"/>
      <c r="G91" s="73"/>
      <c r="H91" s="427"/>
      <c r="I91" s="73"/>
      <c r="J91" s="462"/>
      <c r="K91" s="73"/>
      <c r="L91" s="534"/>
      <c r="M91" s="534"/>
      <c r="N91" s="535"/>
      <c r="O91" s="73"/>
      <c r="P91" s="427"/>
      <c r="Q91" s="73"/>
      <c r="R91" s="73"/>
      <c r="S91" s="73"/>
      <c r="T91" s="552"/>
    </row>
    <row r="92" spans="1:20" ht="18" thickBot="1" x14ac:dyDescent="0.35">
      <c r="A92" s="416" t="s">
        <v>459</v>
      </c>
      <c r="B92" s="443"/>
      <c r="D92" s="73"/>
      <c r="E92" s="73"/>
      <c r="F92" s="438"/>
      <c r="G92" s="73"/>
      <c r="H92" s="427"/>
      <c r="I92" s="73"/>
      <c r="J92" s="462"/>
      <c r="K92" s="73"/>
      <c r="L92" s="534"/>
      <c r="M92" s="534"/>
      <c r="N92" s="535"/>
      <c r="O92" s="73"/>
      <c r="P92" s="427"/>
      <c r="Q92" s="73"/>
      <c r="R92" s="73"/>
      <c r="S92" s="73"/>
      <c r="T92" s="552"/>
    </row>
    <row r="93" spans="1:20" x14ac:dyDescent="0.25">
      <c r="A93" s="399"/>
      <c r="B93" s="417"/>
      <c r="C93" s="428"/>
      <c r="D93" s="419"/>
      <c r="E93" s="419"/>
      <c r="F93" s="418"/>
      <c r="G93" s="419"/>
      <c r="H93" s="428"/>
      <c r="I93" s="419"/>
      <c r="J93" s="464"/>
      <c r="K93" s="419"/>
      <c r="L93" s="542"/>
      <c r="M93" s="542"/>
      <c r="N93" s="543"/>
      <c r="O93" s="419"/>
      <c r="P93" s="428"/>
      <c r="Q93" s="419"/>
      <c r="R93" s="419"/>
      <c r="S93" s="419"/>
      <c r="T93" s="554"/>
    </row>
    <row r="94" spans="1:20" x14ac:dyDescent="0.25">
      <c r="A94" s="403" t="s">
        <v>0</v>
      </c>
      <c r="B94" s="56" t="str">
        <f t="shared" ref="B94:B102" si="108">+B67</f>
        <v>Személyi juttatások</v>
      </c>
      <c r="C94" s="427">
        <f>+'6. Gólyahír'!C13</f>
        <v>43340000</v>
      </c>
      <c r="D94" s="73">
        <f>+'6. Gólyahír'!D13</f>
        <v>43340000</v>
      </c>
      <c r="E94" s="73">
        <f>+'6. Gólyahír'!E13</f>
        <v>43340000</v>
      </c>
      <c r="F94" s="438">
        <f>+'6. Gólyahír'!F13</f>
        <v>0</v>
      </c>
      <c r="G94" s="73"/>
      <c r="H94" s="427">
        <f>+'6. Gólyahír'!H13</f>
        <v>20669168</v>
      </c>
      <c r="I94" s="73">
        <f>+'6. Gólyahír'!I13</f>
        <v>31333670</v>
      </c>
      <c r="J94" s="462">
        <f>+'6. Gólyahír'!J13</f>
        <v>0</v>
      </c>
      <c r="K94" s="73"/>
      <c r="L94" s="534">
        <f t="shared" ref="L94:L103" si="109">IF(D94=0,0,H94/D94)</f>
        <v>0.47690742962621135</v>
      </c>
      <c r="M94" s="534">
        <f t="shared" ref="M94:M103" si="110">IF(E94=0,0,I94/E94)</f>
        <v>0.72297346562067377</v>
      </c>
      <c r="N94" s="535">
        <f t="shared" ref="N94:N103" si="111">IF(F94=0,0,J94/F94)</f>
        <v>0</v>
      </c>
      <c r="O94" s="73"/>
      <c r="P94" s="427">
        <f>+'6. Gólyahír'!P13</f>
        <v>0</v>
      </c>
      <c r="Q94" s="73">
        <f>+'6. Gólyahír'!Q13</f>
        <v>0</v>
      </c>
      <c r="R94" s="73">
        <f>+'6. Gólyahír'!R13</f>
        <v>0</v>
      </c>
      <c r="S94" s="73">
        <f>+'6. Gólyahír'!S13</f>
        <v>0</v>
      </c>
      <c r="T94" s="550">
        <f>IF(S94=0,0,S94/C94)</f>
        <v>0</v>
      </c>
    </row>
    <row r="95" spans="1:20" x14ac:dyDescent="0.25">
      <c r="A95" s="403" t="s">
        <v>26</v>
      </c>
      <c r="B95" s="56" t="str">
        <f t="shared" si="108"/>
        <v>Munkaadót terhelő járulékok és szociális hozzájárulás</v>
      </c>
      <c r="C95" s="427">
        <f>+'6. Gólyahír'!C29</f>
        <v>8153000</v>
      </c>
      <c r="D95" s="73">
        <f>+'6. Gólyahír'!D29</f>
        <v>8153000</v>
      </c>
      <c r="E95" s="73">
        <f>+'6. Gólyahír'!E29</f>
        <v>8153000</v>
      </c>
      <c r="F95" s="438">
        <f>+'6. Gólyahír'!F29</f>
        <v>0</v>
      </c>
      <c r="G95" s="73"/>
      <c r="H95" s="427">
        <f>+'6. Gólyahír'!H29</f>
        <v>4692885</v>
      </c>
      <c r="I95" s="73">
        <f>+'6. Gólyahír'!I29</f>
        <v>6664922</v>
      </c>
      <c r="J95" s="462">
        <f>+'6. Gólyahír'!J29</f>
        <v>0</v>
      </c>
      <c r="K95" s="73"/>
      <c r="L95" s="534">
        <f t="shared" si="109"/>
        <v>0.57560223230712626</v>
      </c>
      <c r="M95" s="534">
        <f t="shared" si="110"/>
        <v>0.81748092726603705</v>
      </c>
      <c r="N95" s="535">
        <f t="shared" si="111"/>
        <v>0</v>
      </c>
      <c r="O95" s="73"/>
      <c r="P95" s="427">
        <f>+'6. Gólyahír'!P29</f>
        <v>0</v>
      </c>
      <c r="Q95" s="73">
        <f>+'6. Gólyahír'!Q29</f>
        <v>0</v>
      </c>
      <c r="R95" s="73">
        <f>+'6. Gólyahír'!R29</f>
        <v>0</v>
      </c>
      <c r="S95" s="73">
        <f>+'6. Gólyahír'!S29</f>
        <v>0</v>
      </c>
      <c r="T95" s="550">
        <f t="shared" ref="T95:T114" si="112">IF(S95=0,0,S95/C95)</f>
        <v>0</v>
      </c>
    </row>
    <row r="96" spans="1:20" x14ac:dyDescent="0.25">
      <c r="A96" s="403" t="s">
        <v>29</v>
      </c>
      <c r="B96" s="56" t="str">
        <f t="shared" si="108"/>
        <v>Dologi kiadások</v>
      </c>
      <c r="C96" s="427">
        <f>+'6. Gólyahír'!C32</f>
        <v>13785000</v>
      </c>
      <c r="D96" s="73">
        <f>+'6. Gólyahír'!D32</f>
        <v>13305000</v>
      </c>
      <c r="E96" s="73">
        <f>+'6. Gólyahír'!E32</f>
        <v>13305000</v>
      </c>
      <c r="F96" s="438">
        <f>+'6. Gólyahír'!F32</f>
        <v>0</v>
      </c>
      <c r="G96" s="73"/>
      <c r="H96" s="427">
        <f>+'6. Gólyahír'!H32</f>
        <v>5536614</v>
      </c>
      <c r="I96" s="73">
        <f>+'6. Gólyahír'!I32</f>
        <v>8025288</v>
      </c>
      <c r="J96" s="462">
        <f>+'6. Gólyahír'!J32</f>
        <v>0</v>
      </c>
      <c r="K96" s="73"/>
      <c r="L96" s="534">
        <f t="shared" si="109"/>
        <v>0.4161303269447576</v>
      </c>
      <c r="M96" s="534">
        <f t="shared" si="110"/>
        <v>0.60317835400225484</v>
      </c>
      <c r="N96" s="535">
        <f t="shared" si="111"/>
        <v>0</v>
      </c>
      <c r="O96" s="73"/>
      <c r="P96" s="427">
        <f>+'6. Gólyahír'!P32</f>
        <v>-480000</v>
      </c>
      <c r="Q96" s="73">
        <f>+'6. Gólyahír'!Q32</f>
        <v>0</v>
      </c>
      <c r="R96" s="73">
        <f>+'6. Gólyahír'!R32</f>
        <v>0</v>
      </c>
      <c r="S96" s="73">
        <f>+'6. Gólyahír'!S32</f>
        <v>-480000</v>
      </c>
      <c r="T96" s="550">
        <f t="shared" si="112"/>
        <v>-3.4820457018498369E-2</v>
      </c>
    </row>
    <row r="97" spans="1:20" x14ac:dyDescent="0.25">
      <c r="A97" s="403" t="s">
        <v>111</v>
      </c>
      <c r="B97" s="56" t="str">
        <f t="shared" si="108"/>
        <v>Elláttotak pénzbeli juttatásai</v>
      </c>
      <c r="C97" s="427"/>
      <c r="D97" s="73"/>
      <c r="E97" s="73"/>
      <c r="F97" s="438"/>
      <c r="G97" s="73"/>
      <c r="H97" s="427"/>
      <c r="I97" s="73"/>
      <c r="J97" s="462"/>
      <c r="K97" s="73"/>
      <c r="L97" s="534">
        <f t="shared" si="109"/>
        <v>0</v>
      </c>
      <c r="M97" s="534">
        <f t="shared" si="110"/>
        <v>0</v>
      </c>
      <c r="N97" s="535">
        <f t="shared" si="111"/>
        <v>0</v>
      </c>
      <c r="O97" s="73"/>
      <c r="P97" s="427"/>
      <c r="Q97" s="73"/>
      <c r="R97" s="73"/>
      <c r="S97" s="73"/>
      <c r="T97" s="550">
        <f t="shared" si="112"/>
        <v>0</v>
      </c>
    </row>
    <row r="98" spans="1:20" x14ac:dyDescent="0.25">
      <c r="A98" s="404" t="s">
        <v>375</v>
      </c>
      <c r="B98" s="56" t="str">
        <f t="shared" si="108"/>
        <v>Egyéb működési célú kiadások</v>
      </c>
      <c r="C98" s="427"/>
      <c r="D98" s="73"/>
      <c r="E98" s="73"/>
      <c r="F98" s="438"/>
      <c r="G98" s="73"/>
      <c r="H98" s="427"/>
      <c r="I98" s="73"/>
      <c r="J98" s="462"/>
      <c r="K98" s="73"/>
      <c r="L98" s="534">
        <f t="shared" si="109"/>
        <v>0</v>
      </c>
      <c r="M98" s="534">
        <f t="shared" si="110"/>
        <v>0</v>
      </c>
      <c r="N98" s="535">
        <f t="shared" si="111"/>
        <v>0</v>
      </c>
      <c r="O98" s="73"/>
      <c r="P98" s="427"/>
      <c r="Q98" s="73"/>
      <c r="R98" s="73"/>
      <c r="S98" s="73"/>
      <c r="T98" s="550">
        <f t="shared" si="112"/>
        <v>0</v>
      </c>
    </row>
    <row r="99" spans="1:20" x14ac:dyDescent="0.25">
      <c r="A99" s="403" t="s">
        <v>158</v>
      </c>
      <c r="B99" s="56" t="str">
        <f t="shared" si="108"/>
        <v>Beruházások</v>
      </c>
      <c r="C99" s="427">
        <f>+'6. Gólyahír'!C83</f>
        <v>300000</v>
      </c>
      <c r="D99" s="73">
        <f>+'6. Gólyahír'!D83</f>
        <v>780000</v>
      </c>
      <c r="E99" s="73">
        <f>+'6. Gólyahír'!E83</f>
        <v>780000</v>
      </c>
      <c r="F99" s="438">
        <f>+'6. Gólyahír'!F83</f>
        <v>0</v>
      </c>
      <c r="G99" s="73"/>
      <c r="H99" s="427">
        <f>+'6. Gólyahír'!H83</f>
        <v>757830</v>
      </c>
      <c r="I99" s="73">
        <f>+'6. Gólyahír'!I83</f>
        <v>757830</v>
      </c>
      <c r="J99" s="462">
        <f>+'6. Gólyahír'!J83</f>
        <v>0</v>
      </c>
      <c r="K99" s="73"/>
      <c r="L99" s="534">
        <f t="shared" si="109"/>
        <v>0.97157692307692312</v>
      </c>
      <c r="M99" s="534">
        <f t="shared" si="110"/>
        <v>0.97157692307692312</v>
      </c>
      <c r="N99" s="535">
        <f t="shared" si="111"/>
        <v>0</v>
      </c>
      <c r="O99" s="73"/>
      <c r="P99" s="427">
        <f>+'6. Gólyahír'!P83</f>
        <v>480000</v>
      </c>
      <c r="Q99" s="73">
        <f>+'6. Gólyahír'!Q83</f>
        <v>0</v>
      </c>
      <c r="R99" s="73">
        <f>+'6. Gólyahír'!R83</f>
        <v>0</v>
      </c>
      <c r="S99" s="73">
        <f>+'6. Gólyahír'!S83</f>
        <v>480000</v>
      </c>
      <c r="T99" s="550">
        <f t="shared" si="112"/>
        <v>1.6</v>
      </c>
    </row>
    <row r="100" spans="1:20" x14ac:dyDescent="0.25">
      <c r="A100" s="403" t="s">
        <v>173</v>
      </c>
      <c r="B100" s="56" t="str">
        <f t="shared" si="108"/>
        <v>Felújítások</v>
      </c>
      <c r="C100" s="427">
        <f>+'6. Gólyahír'!C86</f>
        <v>0</v>
      </c>
      <c r="D100" s="73">
        <f>+'6. Gólyahír'!D86</f>
        <v>0</v>
      </c>
      <c r="E100" s="73">
        <f>+'6. Gólyahír'!E86</f>
        <v>0</v>
      </c>
      <c r="F100" s="438">
        <f>+'6. Gólyahír'!F86</f>
        <v>0</v>
      </c>
      <c r="G100" s="73"/>
      <c r="H100" s="427">
        <f>+'6. Gólyahír'!H86</f>
        <v>0</v>
      </c>
      <c r="I100" s="73">
        <f>+'6. Gólyahír'!I86</f>
        <v>0</v>
      </c>
      <c r="J100" s="462">
        <f>+'6. Gólyahír'!J86</f>
        <v>0</v>
      </c>
      <c r="K100" s="73"/>
      <c r="L100" s="534">
        <f t="shared" si="109"/>
        <v>0</v>
      </c>
      <c r="M100" s="534">
        <f t="shared" si="110"/>
        <v>0</v>
      </c>
      <c r="N100" s="535">
        <f t="shared" si="111"/>
        <v>0</v>
      </c>
      <c r="O100" s="73"/>
      <c r="P100" s="427">
        <f>+'6. Gólyahír'!P86</f>
        <v>0</v>
      </c>
      <c r="Q100" s="73">
        <f>+'6. Gólyahír'!Q86</f>
        <v>0</v>
      </c>
      <c r="R100" s="73">
        <f>+'6. Gólyahír'!R86</f>
        <v>0</v>
      </c>
      <c r="S100" s="73">
        <f>+'6. Gólyahír'!S86</f>
        <v>0</v>
      </c>
      <c r="T100" s="550">
        <f t="shared" si="112"/>
        <v>0</v>
      </c>
    </row>
    <row r="101" spans="1:20" x14ac:dyDescent="0.25">
      <c r="A101" s="403" t="s">
        <v>183</v>
      </c>
      <c r="B101" s="56" t="str">
        <f t="shared" si="108"/>
        <v>Szolgáltatások kiadásai</v>
      </c>
      <c r="C101" s="427"/>
      <c r="D101" s="73"/>
      <c r="E101" s="73"/>
      <c r="F101" s="438"/>
      <c r="G101" s="73"/>
      <c r="H101" s="427"/>
      <c r="I101" s="73"/>
      <c r="J101" s="462"/>
      <c r="K101" s="73"/>
      <c r="L101" s="534">
        <f t="shared" si="109"/>
        <v>0</v>
      </c>
      <c r="M101" s="534">
        <f t="shared" si="110"/>
        <v>0</v>
      </c>
      <c r="N101" s="535">
        <f t="shared" si="111"/>
        <v>0</v>
      </c>
      <c r="O101" s="73"/>
      <c r="P101" s="427"/>
      <c r="Q101" s="73"/>
      <c r="R101" s="73"/>
      <c r="S101" s="73"/>
      <c r="T101" s="550">
        <f t="shared" si="112"/>
        <v>0</v>
      </c>
    </row>
    <row r="102" spans="1:20" x14ac:dyDescent="0.25">
      <c r="A102" s="403" t="s">
        <v>201</v>
      </c>
      <c r="B102" s="56" t="str">
        <f t="shared" si="108"/>
        <v>Finanszírozási kiadások</v>
      </c>
      <c r="C102" s="406"/>
      <c r="F102" s="449"/>
      <c r="H102" s="406"/>
      <c r="J102" s="460"/>
      <c r="L102" s="534">
        <f t="shared" si="109"/>
        <v>0</v>
      </c>
      <c r="M102" s="534">
        <f t="shared" si="110"/>
        <v>0</v>
      </c>
      <c r="N102" s="535">
        <f t="shared" si="111"/>
        <v>0</v>
      </c>
      <c r="P102" s="406"/>
      <c r="T102" s="550">
        <f t="shared" si="112"/>
        <v>0</v>
      </c>
    </row>
    <row r="103" spans="1:20" x14ac:dyDescent="0.25">
      <c r="A103" s="405"/>
      <c r="B103" s="389" t="s">
        <v>377</v>
      </c>
      <c r="C103" s="429">
        <f>SUM(C94:C102)</f>
        <v>65578000</v>
      </c>
      <c r="D103" s="390">
        <f t="shared" ref="D103" si="113">SUM(D94:D102)</f>
        <v>65578000</v>
      </c>
      <c r="E103" s="390">
        <f t="shared" ref="E103" si="114">SUM(E94:E102)</f>
        <v>65578000</v>
      </c>
      <c r="F103" s="446">
        <f t="shared" ref="F103" si="115">SUM(F94:F102)</f>
        <v>0</v>
      </c>
      <c r="G103" s="390"/>
      <c r="H103" s="429">
        <f t="shared" ref="H103" si="116">SUM(H94:H102)</f>
        <v>31656497</v>
      </c>
      <c r="I103" s="390">
        <f t="shared" ref="I103" si="117">SUM(I94:I102)</f>
        <v>46781710</v>
      </c>
      <c r="J103" s="391">
        <f t="shared" ref="J103" si="118">SUM(J94:J102)</f>
        <v>0</v>
      </c>
      <c r="K103" s="205"/>
      <c r="L103" s="536">
        <f t="shared" si="109"/>
        <v>0.48273044313641772</v>
      </c>
      <c r="M103" s="536">
        <f t="shared" si="110"/>
        <v>0.71337506480831991</v>
      </c>
      <c r="N103" s="537">
        <f t="shared" si="111"/>
        <v>0</v>
      </c>
      <c r="O103" s="205"/>
      <c r="P103" s="429">
        <f t="shared" ref="P103" si="119">SUM(P94:P102)</f>
        <v>0</v>
      </c>
      <c r="Q103" s="390">
        <f t="shared" ref="Q103" si="120">SUM(Q94:Q102)</f>
        <v>0</v>
      </c>
      <c r="R103" s="390">
        <f t="shared" ref="R103" si="121">SUM(R94:R102)</f>
        <v>0</v>
      </c>
      <c r="S103" s="391">
        <f t="shared" ref="S103" si="122">SUM(S94:S102)</f>
        <v>0</v>
      </c>
      <c r="T103" s="551">
        <f t="shared" si="112"/>
        <v>0</v>
      </c>
    </row>
    <row r="104" spans="1:20" x14ac:dyDescent="0.25">
      <c r="A104" s="403"/>
      <c r="B104" s="56"/>
      <c r="C104" s="427"/>
      <c r="D104" s="73"/>
      <c r="E104" s="73"/>
      <c r="F104" s="438"/>
      <c r="G104" s="73"/>
      <c r="H104" s="427"/>
      <c r="I104" s="73"/>
      <c r="J104" s="462"/>
      <c r="K104" s="73"/>
      <c r="L104" s="534"/>
      <c r="M104" s="534"/>
      <c r="N104" s="535"/>
      <c r="O104" s="73"/>
      <c r="P104" s="427"/>
      <c r="Q104" s="73"/>
      <c r="R104" s="73"/>
      <c r="S104" s="73"/>
      <c r="T104" s="550"/>
    </row>
    <row r="105" spans="1:20" x14ac:dyDescent="0.25">
      <c r="A105" s="403" t="str">
        <f>+A78</f>
        <v>B1</v>
      </c>
      <c r="B105" s="22" t="str">
        <f>+B78</f>
        <v>Működési célú tám-ok államháztartáson belülről</v>
      </c>
      <c r="C105" s="427">
        <f>+'6. Gólyahír'!C93</f>
        <v>0</v>
      </c>
      <c r="D105" s="73">
        <f>+'6. Gólyahír'!D93</f>
        <v>0</v>
      </c>
      <c r="E105" s="73">
        <f>+'6. Gólyahír'!E93</f>
        <v>0</v>
      </c>
      <c r="F105" s="438">
        <f>+'6. Gólyahír'!F93</f>
        <v>0</v>
      </c>
      <c r="G105" s="73"/>
      <c r="H105" s="427">
        <f>+'6. Gólyahír'!H93</f>
        <v>0</v>
      </c>
      <c r="I105" s="73">
        <f>+'6. Gólyahír'!I93</f>
        <v>0</v>
      </c>
      <c r="J105" s="462">
        <f>+'6. Gólyahír'!J93</f>
        <v>0</v>
      </c>
      <c r="K105" s="73"/>
      <c r="L105" s="534">
        <f t="shared" ref="L105:L114" si="123">IF(D105=0,0,H105/D105)</f>
        <v>0</v>
      </c>
      <c r="M105" s="534">
        <f t="shared" ref="M105:M114" si="124">IF(E105=0,0,I105/E105)</f>
        <v>0</v>
      </c>
      <c r="N105" s="535">
        <f t="shared" ref="N105:N114" si="125">IF(F105=0,0,J105/F105)</f>
        <v>0</v>
      </c>
      <c r="O105" s="73"/>
      <c r="P105" s="427">
        <f>+'6. Gólyahír'!P93</f>
        <v>0</v>
      </c>
      <c r="Q105" s="73">
        <f>+'6. Gólyahír'!Q93</f>
        <v>0</v>
      </c>
      <c r="R105" s="73">
        <f>+'6. Gólyahír'!R93</f>
        <v>0</v>
      </c>
      <c r="S105" s="73">
        <f>+'6. Gólyahír'!S93</f>
        <v>0</v>
      </c>
      <c r="T105" s="550">
        <f t="shared" si="112"/>
        <v>0</v>
      </c>
    </row>
    <row r="106" spans="1:20" x14ac:dyDescent="0.25">
      <c r="A106" s="403" t="str">
        <f t="shared" ref="A106:B106" si="126">+A79</f>
        <v>B2</v>
      </c>
      <c r="B106" s="22" t="str">
        <f t="shared" si="126"/>
        <v>Felhalmozási célú tám-ok államházt-on belülről</v>
      </c>
      <c r="C106" s="427"/>
      <c r="D106" s="73"/>
      <c r="E106" s="73"/>
      <c r="F106" s="438"/>
      <c r="G106" s="73"/>
      <c r="H106" s="427"/>
      <c r="I106" s="73"/>
      <c r="J106" s="462"/>
      <c r="K106" s="73"/>
      <c r="L106" s="534">
        <f t="shared" si="123"/>
        <v>0</v>
      </c>
      <c r="M106" s="534">
        <f t="shared" si="124"/>
        <v>0</v>
      </c>
      <c r="N106" s="535">
        <f t="shared" si="125"/>
        <v>0</v>
      </c>
      <c r="O106" s="73"/>
      <c r="P106" s="427"/>
      <c r="Q106" s="73"/>
      <c r="R106" s="73"/>
      <c r="S106" s="73"/>
      <c r="T106" s="550">
        <f t="shared" si="112"/>
        <v>0</v>
      </c>
    </row>
    <row r="107" spans="1:20" x14ac:dyDescent="0.25">
      <c r="A107" s="403" t="str">
        <f t="shared" ref="A107:B107" si="127">+A80</f>
        <v>B3</v>
      </c>
      <c r="B107" s="22" t="str">
        <f t="shared" si="127"/>
        <v>Közhatalmi bevételek</v>
      </c>
      <c r="C107" s="427"/>
      <c r="D107" s="73"/>
      <c r="E107" s="73"/>
      <c r="F107" s="438"/>
      <c r="G107" s="73"/>
      <c r="H107" s="427"/>
      <c r="I107" s="73"/>
      <c r="J107" s="462"/>
      <c r="K107" s="73"/>
      <c r="L107" s="534">
        <f t="shared" si="123"/>
        <v>0</v>
      </c>
      <c r="M107" s="534">
        <f t="shared" si="124"/>
        <v>0</v>
      </c>
      <c r="N107" s="535">
        <f t="shared" si="125"/>
        <v>0</v>
      </c>
      <c r="O107" s="73"/>
      <c r="P107" s="427"/>
      <c r="Q107" s="73"/>
      <c r="R107" s="73"/>
      <c r="S107" s="73"/>
      <c r="T107" s="550">
        <f t="shared" si="112"/>
        <v>0</v>
      </c>
    </row>
    <row r="108" spans="1:20" x14ac:dyDescent="0.25">
      <c r="A108" s="403" t="str">
        <f t="shared" ref="A108:B108" si="128">+A81</f>
        <v>B4</v>
      </c>
      <c r="B108" s="22" t="str">
        <f t="shared" si="128"/>
        <v>Működési bevételek</v>
      </c>
      <c r="C108" s="427">
        <f>+'6. Gólyahír'!C95</f>
        <v>3610000</v>
      </c>
      <c r="D108" s="73">
        <f>+'6. Gólyahír'!D95</f>
        <v>3610000</v>
      </c>
      <c r="E108" s="73">
        <f>+'6. Gólyahír'!E95</f>
        <v>3610000</v>
      </c>
      <c r="F108" s="438">
        <f>+'6. Gólyahír'!F95</f>
        <v>0</v>
      </c>
      <c r="G108" s="73"/>
      <c r="H108" s="427">
        <f>+'6. Gólyahír'!H95</f>
        <v>1730005</v>
      </c>
      <c r="I108" s="73">
        <f>+'6. Gólyahír'!I95</f>
        <v>2811829</v>
      </c>
      <c r="J108" s="462">
        <f>+'6. Gólyahír'!J95</f>
        <v>0</v>
      </c>
      <c r="K108" s="73"/>
      <c r="L108" s="534">
        <f t="shared" si="123"/>
        <v>0.4792257617728532</v>
      </c>
      <c r="M108" s="534">
        <f t="shared" si="124"/>
        <v>0.77890000000000004</v>
      </c>
      <c r="N108" s="535">
        <f t="shared" si="125"/>
        <v>0</v>
      </c>
      <c r="O108" s="73"/>
      <c r="P108" s="427">
        <f>+'6. Gólyahír'!P95</f>
        <v>0</v>
      </c>
      <c r="Q108" s="73">
        <f>+'6. Gólyahír'!Q95</f>
        <v>0</v>
      </c>
      <c r="R108" s="73">
        <f>+'6. Gólyahír'!R95</f>
        <v>0</v>
      </c>
      <c r="S108" s="73">
        <f>+'6. Gólyahír'!S95</f>
        <v>0</v>
      </c>
      <c r="T108" s="550">
        <f t="shared" si="112"/>
        <v>0</v>
      </c>
    </row>
    <row r="109" spans="1:20" x14ac:dyDescent="0.25">
      <c r="A109" s="403" t="str">
        <f t="shared" ref="A109:B109" si="129">+A82</f>
        <v>B5</v>
      </c>
      <c r="B109" s="22" t="str">
        <f t="shared" si="129"/>
        <v>Felhalmozási bevételek</v>
      </c>
      <c r="C109" s="427"/>
      <c r="D109" s="73"/>
      <c r="E109" s="73"/>
      <c r="F109" s="438"/>
      <c r="G109" s="73"/>
      <c r="H109" s="427"/>
      <c r="I109" s="73"/>
      <c r="J109" s="462"/>
      <c r="K109" s="73"/>
      <c r="L109" s="534">
        <f t="shared" si="123"/>
        <v>0</v>
      </c>
      <c r="M109" s="534">
        <f t="shared" si="124"/>
        <v>0</v>
      </c>
      <c r="N109" s="535">
        <f t="shared" si="125"/>
        <v>0</v>
      </c>
      <c r="O109" s="73"/>
      <c r="P109" s="427"/>
      <c r="Q109" s="73"/>
      <c r="R109" s="73"/>
      <c r="S109" s="73"/>
      <c r="T109" s="550">
        <f t="shared" si="112"/>
        <v>0</v>
      </c>
    </row>
    <row r="110" spans="1:20" x14ac:dyDescent="0.25">
      <c r="A110" s="403" t="str">
        <f t="shared" ref="A110:B110" si="130">+A83</f>
        <v>B6</v>
      </c>
      <c r="B110" s="22" t="str">
        <f t="shared" si="130"/>
        <v>Működési célú átvett pénzeszközök</v>
      </c>
      <c r="C110" s="427"/>
      <c r="D110" s="73"/>
      <c r="E110" s="73"/>
      <c r="F110" s="438"/>
      <c r="G110" s="73"/>
      <c r="H110" s="427"/>
      <c r="I110" s="73"/>
      <c r="J110" s="462"/>
      <c r="K110" s="73"/>
      <c r="L110" s="534">
        <f t="shared" si="123"/>
        <v>0</v>
      </c>
      <c r="M110" s="534">
        <f t="shared" si="124"/>
        <v>0</v>
      </c>
      <c r="N110" s="535">
        <f t="shared" si="125"/>
        <v>0</v>
      </c>
      <c r="O110" s="73"/>
      <c r="P110" s="427"/>
      <c r="Q110" s="73"/>
      <c r="R110" s="73"/>
      <c r="S110" s="73"/>
      <c r="T110" s="550">
        <f t="shared" si="112"/>
        <v>0</v>
      </c>
    </row>
    <row r="111" spans="1:20" x14ac:dyDescent="0.25">
      <c r="A111" s="403" t="str">
        <f t="shared" ref="A111:B111" si="131">+A84</f>
        <v>B7</v>
      </c>
      <c r="B111" s="22" t="str">
        <f t="shared" si="131"/>
        <v>Felhalmozási célú átvett pénzeszközök</v>
      </c>
      <c r="C111" s="427"/>
      <c r="D111" s="73"/>
      <c r="E111" s="73"/>
      <c r="F111" s="438"/>
      <c r="G111" s="73"/>
      <c r="H111" s="427"/>
      <c r="I111" s="73"/>
      <c r="J111" s="462"/>
      <c r="K111" s="73"/>
      <c r="L111" s="534">
        <f t="shared" si="123"/>
        <v>0</v>
      </c>
      <c r="M111" s="534">
        <f t="shared" si="124"/>
        <v>0</v>
      </c>
      <c r="N111" s="535">
        <f t="shared" si="125"/>
        <v>0</v>
      </c>
      <c r="O111" s="73"/>
      <c r="P111" s="427"/>
      <c r="Q111" s="73"/>
      <c r="R111" s="73"/>
      <c r="S111" s="73"/>
      <c r="T111" s="550">
        <f t="shared" si="112"/>
        <v>0</v>
      </c>
    </row>
    <row r="112" spans="1:20" x14ac:dyDescent="0.25">
      <c r="A112" s="403" t="str">
        <f t="shared" ref="A112" si="132">+A85</f>
        <v>B8-ból maradványértéken túli finanszírozási bevételek</v>
      </c>
      <c r="C112" s="427">
        <f>+'6. Gólyahír'!C99-C113</f>
        <v>59311639</v>
      </c>
      <c r="D112" s="73">
        <f>+'6. Gólyahír'!D99-D113</f>
        <v>59311639</v>
      </c>
      <c r="E112" s="73">
        <f>+'6. Gólyahír'!E99-E113</f>
        <v>59311639</v>
      </c>
      <c r="F112" s="438">
        <f>+'6. Gólyahír'!F99-F113</f>
        <v>0</v>
      </c>
      <c r="G112" s="73"/>
      <c r="H112" s="427">
        <f>+'6. Gólyahír'!H99-H113</f>
        <v>33204714</v>
      </c>
      <c r="I112" s="73">
        <f>+'6. Gólyahír'!I99-I113</f>
        <v>45691064</v>
      </c>
      <c r="J112" s="462">
        <f>+'6. Gólyahír'!J99-J113</f>
        <v>0</v>
      </c>
      <c r="K112" s="73"/>
      <c r="L112" s="534">
        <f t="shared" si="123"/>
        <v>0.55983470630444054</v>
      </c>
      <c r="M112" s="534">
        <f t="shared" si="124"/>
        <v>0.7703557812657984</v>
      </c>
      <c r="N112" s="535">
        <f t="shared" si="125"/>
        <v>0</v>
      </c>
      <c r="O112" s="73"/>
      <c r="P112" s="427">
        <f>+'6. Gólyahír'!P99-P113</f>
        <v>0</v>
      </c>
      <c r="Q112" s="73">
        <f>+'6. Gólyahír'!Q99-Q113</f>
        <v>0</v>
      </c>
      <c r="R112" s="73">
        <f>+'6. Gólyahír'!R99-R113</f>
        <v>0</v>
      </c>
      <c r="S112" s="73">
        <f>+'6. Gólyahír'!S99-S113</f>
        <v>0</v>
      </c>
      <c r="T112" s="550">
        <f t="shared" si="112"/>
        <v>0</v>
      </c>
    </row>
    <row r="113" spans="1:20" x14ac:dyDescent="0.25">
      <c r="A113" s="403" t="str">
        <f t="shared" ref="A113" si="133">+A86</f>
        <v>B8-ból előző évi mardvány igénybevétele</v>
      </c>
      <c r="C113" s="427">
        <f>+'6. Gólyahír'!C101</f>
        <v>2656361</v>
      </c>
      <c r="D113" s="73">
        <f>+'6. Gólyahír'!D101</f>
        <v>2656361</v>
      </c>
      <c r="E113" s="73">
        <f>+'6. Gólyahír'!E101</f>
        <v>2656361</v>
      </c>
      <c r="F113" s="438">
        <f>+'6. Gólyahír'!F101</f>
        <v>0</v>
      </c>
      <c r="G113" s="73"/>
      <c r="H113" s="427">
        <f>+'6. Gólyahír'!H101</f>
        <v>2656361</v>
      </c>
      <c r="I113" s="73">
        <f>+'6. Gólyahír'!I101</f>
        <v>2656361</v>
      </c>
      <c r="J113" s="462">
        <f>+'6. Gólyahír'!J101</f>
        <v>0</v>
      </c>
      <c r="K113" s="73"/>
      <c r="L113" s="534">
        <f t="shared" si="123"/>
        <v>1</v>
      </c>
      <c r="M113" s="534">
        <f t="shared" si="124"/>
        <v>1</v>
      </c>
      <c r="N113" s="535">
        <f t="shared" si="125"/>
        <v>0</v>
      </c>
      <c r="O113" s="73"/>
      <c r="P113" s="427">
        <f>+'6. Gólyahír'!P101</f>
        <v>0</v>
      </c>
      <c r="Q113" s="73">
        <f>+'6. Gólyahír'!Q101</f>
        <v>0</v>
      </c>
      <c r="R113" s="73">
        <f>+'6. Gólyahír'!R101</f>
        <v>0</v>
      </c>
      <c r="S113" s="73">
        <f>+'6. Gólyahír'!S101</f>
        <v>0</v>
      </c>
      <c r="T113" s="550">
        <f t="shared" si="112"/>
        <v>0</v>
      </c>
    </row>
    <row r="114" spans="1:20" x14ac:dyDescent="0.25">
      <c r="A114" s="407"/>
      <c r="B114" s="389" t="s">
        <v>376</v>
      </c>
      <c r="C114" s="429">
        <f>SUM(C105:C113)</f>
        <v>65578000</v>
      </c>
      <c r="D114" s="390">
        <f t="shared" ref="D114" si="134">SUM(D105:D113)</f>
        <v>65578000</v>
      </c>
      <c r="E114" s="390">
        <f t="shared" ref="E114" si="135">SUM(E105:E113)</f>
        <v>65578000</v>
      </c>
      <c r="F114" s="446">
        <f t="shared" ref="F114" si="136">SUM(F105:F113)</f>
        <v>0</v>
      </c>
      <c r="G114" s="390"/>
      <c r="H114" s="429">
        <f t="shared" ref="H114" si="137">SUM(H105:H113)</f>
        <v>37591080</v>
      </c>
      <c r="I114" s="390">
        <f t="shared" ref="I114" si="138">SUM(I105:I113)</f>
        <v>51159254</v>
      </c>
      <c r="J114" s="391">
        <f t="shared" ref="J114" si="139">SUM(J105:J113)</f>
        <v>0</v>
      </c>
      <c r="K114" s="392"/>
      <c r="L114" s="538">
        <f t="shared" si="123"/>
        <v>0.5732269968587026</v>
      </c>
      <c r="M114" s="538">
        <f t="shared" si="124"/>
        <v>0.78012830522431298</v>
      </c>
      <c r="N114" s="539">
        <f t="shared" si="125"/>
        <v>0</v>
      </c>
      <c r="O114" s="392"/>
      <c r="P114" s="429">
        <f t="shared" ref="P114" si="140">SUM(P105:P113)</f>
        <v>0</v>
      </c>
      <c r="Q114" s="390">
        <f t="shared" ref="Q114" si="141">SUM(Q105:Q113)</f>
        <v>0</v>
      </c>
      <c r="R114" s="390">
        <f t="shared" ref="R114" si="142">SUM(R105:R113)</f>
        <v>0</v>
      </c>
      <c r="S114" s="391">
        <f t="shared" ref="S114" si="143">SUM(S105:S113)</f>
        <v>0</v>
      </c>
      <c r="T114" s="551">
        <f t="shared" si="112"/>
        <v>0</v>
      </c>
    </row>
    <row r="115" spans="1:20" x14ac:dyDescent="0.25">
      <c r="A115" s="406"/>
      <c r="B115" s="73"/>
      <c r="C115" s="427"/>
      <c r="D115" s="73"/>
      <c r="E115" s="73"/>
      <c r="F115" s="438"/>
      <c r="G115" s="73"/>
      <c r="H115" s="427"/>
      <c r="I115" s="73"/>
      <c r="J115" s="462"/>
      <c r="K115" s="73"/>
      <c r="L115" s="534"/>
      <c r="M115" s="534"/>
      <c r="N115" s="535"/>
      <c r="O115" s="73"/>
      <c r="P115" s="427"/>
      <c r="Q115" s="73"/>
      <c r="R115" s="73"/>
      <c r="S115" s="73"/>
      <c r="T115" s="552"/>
    </row>
    <row r="116" spans="1:20" ht="13.8" thickBot="1" x14ac:dyDescent="0.3">
      <c r="A116" s="409"/>
      <c r="B116" s="410" t="s">
        <v>461</v>
      </c>
      <c r="C116" s="431">
        <f>+C114-C103</f>
        <v>0</v>
      </c>
      <c r="D116" s="411">
        <f>+D114-D103</f>
        <v>0</v>
      </c>
      <c r="E116" s="411">
        <f>+E114-E103</f>
        <v>0</v>
      </c>
      <c r="F116" s="448">
        <f>+F114-F103</f>
        <v>0</v>
      </c>
      <c r="G116" s="411"/>
      <c r="H116" s="431">
        <f>+H114-H103</f>
        <v>5934583</v>
      </c>
      <c r="I116" s="411">
        <f>+I114-I103</f>
        <v>4377544</v>
      </c>
      <c r="J116" s="413">
        <f>+J114-J103</f>
        <v>0</v>
      </c>
      <c r="K116" s="412"/>
      <c r="L116" s="540">
        <f t="shared" ref="L116" si="144">IF(D116=0,0,H116/D116)</f>
        <v>0</v>
      </c>
      <c r="M116" s="540">
        <f t="shared" ref="M116" si="145">IF(E116=0,0,I116/E116)</f>
        <v>0</v>
      </c>
      <c r="N116" s="541">
        <f t="shared" ref="N116" si="146">IF(F116=0,0,J116/F116)</f>
        <v>0</v>
      </c>
      <c r="O116" s="412"/>
      <c r="P116" s="431">
        <f>+P114-P103</f>
        <v>0</v>
      </c>
      <c r="Q116" s="411">
        <f>+Q114-Q103</f>
        <v>0</v>
      </c>
      <c r="R116" s="411">
        <f>+R114-R103</f>
        <v>0</v>
      </c>
      <c r="S116" s="413">
        <f>+S114-S103</f>
        <v>0</v>
      </c>
      <c r="T116" s="553"/>
    </row>
    <row r="117" spans="1:20" x14ac:dyDescent="0.25">
      <c r="C117" s="406"/>
      <c r="F117" s="449"/>
      <c r="H117" s="406"/>
      <c r="J117" s="460"/>
      <c r="L117" s="534"/>
      <c r="M117" s="534"/>
      <c r="N117" s="535"/>
      <c r="P117" s="406"/>
      <c r="T117" s="552"/>
    </row>
    <row r="118" spans="1:20" ht="13.8" thickBot="1" x14ac:dyDescent="0.3">
      <c r="C118" s="406"/>
      <c r="F118" s="449"/>
      <c r="H118" s="406"/>
      <c r="J118" s="460"/>
      <c r="L118" s="534"/>
      <c r="M118" s="534"/>
      <c r="N118" s="535"/>
      <c r="P118" s="406"/>
      <c r="T118" s="552"/>
    </row>
    <row r="119" spans="1:20" ht="18" thickBot="1" x14ac:dyDescent="0.35">
      <c r="A119" s="414" t="s">
        <v>458</v>
      </c>
      <c r="B119" s="531"/>
      <c r="C119" s="406"/>
      <c r="F119" s="449"/>
      <c r="H119" s="406"/>
      <c r="J119" s="460"/>
      <c r="L119" s="534"/>
      <c r="M119" s="534"/>
      <c r="N119" s="535"/>
      <c r="P119" s="406"/>
      <c r="T119" s="552"/>
    </row>
    <row r="120" spans="1:20" x14ac:dyDescent="0.25">
      <c r="A120" s="399"/>
      <c r="B120" s="400"/>
      <c r="C120" s="399"/>
      <c r="D120" s="401"/>
      <c r="E120" s="401"/>
      <c r="F120" s="450"/>
      <c r="G120" s="401"/>
      <c r="H120" s="399"/>
      <c r="I120" s="401"/>
      <c r="J120" s="461"/>
      <c r="K120" s="401"/>
      <c r="L120" s="542"/>
      <c r="M120" s="542"/>
      <c r="N120" s="543"/>
      <c r="O120" s="401"/>
      <c r="P120" s="399"/>
      <c r="Q120" s="400"/>
      <c r="R120" s="400"/>
      <c r="S120" s="400"/>
      <c r="T120" s="554"/>
    </row>
    <row r="121" spans="1:20" x14ac:dyDescent="0.25">
      <c r="A121" s="403" t="s">
        <v>0</v>
      </c>
      <c r="B121" s="56" t="str">
        <f t="shared" ref="B121:B129" si="147">+B94</f>
        <v>Személyi juttatások</v>
      </c>
      <c r="C121" s="427">
        <f>+'7. Polg.Hiv.'!C13</f>
        <v>102325600</v>
      </c>
      <c r="D121" s="73">
        <f>+'7. Polg.Hiv.'!D13</f>
        <v>113400700</v>
      </c>
      <c r="E121" s="73">
        <f>+'7. Polg.Hiv.'!E13</f>
        <v>113400700</v>
      </c>
      <c r="F121" s="438">
        <f>+'7. Polg.Hiv.'!F13</f>
        <v>0</v>
      </c>
      <c r="G121" s="73"/>
      <c r="H121" s="427">
        <f>+'7. Polg.Hiv.'!H13</f>
        <v>51012328</v>
      </c>
      <c r="I121" s="73">
        <f>+'7. Polg.Hiv.'!I13</f>
        <v>76482976</v>
      </c>
      <c r="J121" s="462">
        <f>+'7. Polg.Hiv.'!J13</f>
        <v>0</v>
      </c>
      <c r="K121" s="73"/>
      <c r="L121" s="534">
        <f t="shared" ref="L121:L130" si="148">IF(D121=0,0,H121/D121)</f>
        <v>0.44984138545881991</v>
      </c>
      <c r="M121" s="534">
        <f t="shared" ref="M121:M130" si="149">IF(E121=0,0,I121/E121)</f>
        <v>0.67444888788164448</v>
      </c>
      <c r="N121" s="535">
        <f t="shared" ref="N121:N130" si="150">IF(F121=0,0,J121/F121)</f>
        <v>0</v>
      </c>
      <c r="O121" s="73"/>
      <c r="P121" s="427">
        <f>D121-C121</f>
        <v>11075100</v>
      </c>
      <c r="Q121" s="73">
        <f>+E121-D121</f>
        <v>0</v>
      </c>
      <c r="R121" s="73">
        <f>+'7. Polg.Hiv.'!R13</f>
        <v>0</v>
      </c>
      <c r="S121" s="73">
        <f>+'7. Polg.Hiv.'!S13</f>
        <v>11075100</v>
      </c>
      <c r="T121" s="550">
        <f>IF(S121=0,0,S121/C121)</f>
        <v>0.10823391213928871</v>
      </c>
    </row>
    <row r="122" spans="1:20" x14ac:dyDescent="0.25">
      <c r="A122" s="403" t="s">
        <v>26</v>
      </c>
      <c r="B122" s="56" t="str">
        <f t="shared" si="147"/>
        <v>Munkaadót terhelő járulékok és szociális hozzájárulás</v>
      </c>
      <c r="C122" s="427">
        <f>+'7. Polg.Hiv.'!C29</f>
        <v>20252000</v>
      </c>
      <c r="D122" s="73">
        <f>+'7. Polg.Hiv.'!D29</f>
        <v>20498675</v>
      </c>
      <c r="E122" s="73">
        <f>+'7. Polg.Hiv.'!E29</f>
        <v>20521473</v>
      </c>
      <c r="F122" s="438">
        <f>+'7. Polg.Hiv.'!F29</f>
        <v>0</v>
      </c>
      <c r="G122" s="73"/>
      <c r="H122" s="427">
        <f>+'7. Polg.Hiv.'!H29</f>
        <v>11664414</v>
      </c>
      <c r="I122" s="73">
        <f>+'7. Polg.Hiv.'!I29</f>
        <v>16279513</v>
      </c>
      <c r="J122" s="462">
        <f>+'7. Polg.Hiv.'!J29</f>
        <v>0</v>
      </c>
      <c r="K122" s="73"/>
      <c r="L122" s="534">
        <f t="shared" si="148"/>
        <v>0.56903258381334398</v>
      </c>
      <c r="M122" s="534">
        <f t="shared" si="149"/>
        <v>0.79329164139435804</v>
      </c>
      <c r="N122" s="535">
        <f t="shared" si="150"/>
        <v>0</v>
      </c>
      <c r="O122" s="73"/>
      <c r="P122" s="427">
        <f>+'7. Polg.Hiv.'!P29</f>
        <v>246675</v>
      </c>
      <c r="Q122" s="73">
        <f>+'7. Polg.Hiv.'!Q29</f>
        <v>22798</v>
      </c>
      <c r="R122" s="73">
        <f>+'7. Polg.Hiv.'!R29</f>
        <v>0</v>
      </c>
      <c r="S122" s="73">
        <f>+'7. Polg.Hiv.'!S29</f>
        <v>269473</v>
      </c>
      <c r="T122" s="550">
        <f t="shared" ref="T122:T141" si="151">IF(S122=0,0,S122/C122)</f>
        <v>1.3305994469682007E-2</v>
      </c>
    </row>
    <row r="123" spans="1:20" x14ac:dyDescent="0.25">
      <c r="A123" s="403" t="s">
        <v>29</v>
      </c>
      <c r="B123" s="56" t="str">
        <f t="shared" si="147"/>
        <v>Dologi kiadások</v>
      </c>
      <c r="C123" s="427">
        <f>+'7. Polg.Hiv.'!C32</f>
        <v>11128000</v>
      </c>
      <c r="D123" s="73">
        <f>+'7. Polg.Hiv.'!D32</f>
        <v>11011573</v>
      </c>
      <c r="E123" s="73">
        <f>+'7. Polg.Hiv.'!E32</f>
        <v>11235624</v>
      </c>
      <c r="F123" s="438">
        <f>+'7. Polg.Hiv.'!F32</f>
        <v>0</v>
      </c>
      <c r="G123" s="73"/>
      <c r="H123" s="427">
        <f>+'7. Polg.Hiv.'!H32</f>
        <v>4746493</v>
      </c>
      <c r="I123" s="73">
        <f>+'7. Polg.Hiv.'!I32</f>
        <v>7111916</v>
      </c>
      <c r="J123" s="462">
        <f>+'7. Polg.Hiv.'!J32</f>
        <v>0</v>
      </c>
      <c r="K123" s="73"/>
      <c r="L123" s="534">
        <f t="shared" si="148"/>
        <v>0.43104586420123631</v>
      </c>
      <c r="M123" s="534">
        <f t="shared" si="149"/>
        <v>0.63297917409838567</v>
      </c>
      <c r="N123" s="535">
        <f t="shared" si="150"/>
        <v>0</v>
      </c>
      <c r="O123" s="73"/>
      <c r="P123" s="427">
        <f>+'7. Polg.Hiv.'!P32</f>
        <v>-116427</v>
      </c>
      <c r="Q123" s="73">
        <f>+'7. Polg.Hiv.'!Q32</f>
        <v>224051</v>
      </c>
      <c r="R123" s="73">
        <f>+'7. Polg.Hiv.'!R32</f>
        <v>0</v>
      </c>
      <c r="S123" s="73">
        <f>+'7. Polg.Hiv.'!S32</f>
        <v>107624</v>
      </c>
      <c r="T123" s="550">
        <f t="shared" si="151"/>
        <v>9.6714593817397564E-3</v>
      </c>
    </row>
    <row r="124" spans="1:20" x14ac:dyDescent="0.25">
      <c r="A124" s="403" t="s">
        <v>111</v>
      </c>
      <c r="B124" s="56" t="str">
        <f t="shared" si="147"/>
        <v>Elláttotak pénzbeli juttatásai</v>
      </c>
      <c r="C124" s="427"/>
      <c r="D124" s="73"/>
      <c r="E124" s="73"/>
      <c r="F124" s="438"/>
      <c r="G124" s="73"/>
      <c r="H124" s="427"/>
      <c r="I124" s="73"/>
      <c r="J124" s="462"/>
      <c r="K124" s="73"/>
      <c r="L124" s="534">
        <f t="shared" si="148"/>
        <v>0</v>
      </c>
      <c r="M124" s="534">
        <f t="shared" si="149"/>
        <v>0</v>
      </c>
      <c r="N124" s="535">
        <f t="shared" si="150"/>
        <v>0</v>
      </c>
      <c r="O124" s="73"/>
      <c r="P124" s="427"/>
      <c r="Q124" s="73"/>
      <c r="R124" s="73"/>
      <c r="S124" s="73"/>
      <c r="T124" s="550">
        <f t="shared" si="151"/>
        <v>0</v>
      </c>
    </row>
    <row r="125" spans="1:20" x14ac:dyDescent="0.25">
      <c r="A125" s="404" t="s">
        <v>375</v>
      </c>
      <c r="B125" s="56" t="str">
        <f t="shared" si="147"/>
        <v>Egyéb működési célú kiadások</v>
      </c>
      <c r="C125" s="427"/>
      <c r="D125" s="73"/>
      <c r="E125" s="73"/>
      <c r="F125" s="438"/>
      <c r="G125" s="73"/>
      <c r="H125" s="427"/>
      <c r="I125" s="73"/>
      <c r="J125" s="462"/>
      <c r="K125" s="73"/>
      <c r="L125" s="534">
        <f t="shared" si="148"/>
        <v>0</v>
      </c>
      <c r="M125" s="534">
        <f t="shared" si="149"/>
        <v>0</v>
      </c>
      <c r="N125" s="535">
        <f t="shared" si="150"/>
        <v>0</v>
      </c>
      <c r="O125" s="73"/>
      <c r="P125" s="427"/>
      <c r="Q125" s="73"/>
      <c r="R125" s="73"/>
      <c r="S125" s="73"/>
      <c r="T125" s="550">
        <f t="shared" si="151"/>
        <v>0</v>
      </c>
    </row>
    <row r="126" spans="1:20" x14ac:dyDescent="0.25">
      <c r="A126" s="403" t="s">
        <v>158</v>
      </c>
      <c r="B126" s="328" t="str">
        <f t="shared" si="147"/>
        <v>Beruházások</v>
      </c>
      <c r="C126" s="427">
        <f>+'7. Polg.Hiv.'!C83</f>
        <v>1730000</v>
      </c>
      <c r="D126" s="73">
        <f>+'7. Polg.Hiv.'!D83</f>
        <v>1730000</v>
      </c>
      <c r="E126" s="73">
        <f>+'7. Polg.Hiv.'!E83</f>
        <v>1730000</v>
      </c>
      <c r="F126" s="438">
        <f>+'7. Polg.Hiv.'!F83</f>
        <v>0</v>
      </c>
      <c r="G126" s="73"/>
      <c r="H126" s="427">
        <f>+'7. Polg.Hiv.'!H83</f>
        <v>1486434</v>
      </c>
      <c r="I126" s="73">
        <f>+'7. Polg.Hiv.'!I83</f>
        <v>1509335</v>
      </c>
      <c r="J126" s="462">
        <f>+'7. Polg.Hiv.'!J83</f>
        <v>0</v>
      </c>
      <c r="K126" s="73"/>
      <c r="L126" s="534">
        <f t="shared" si="148"/>
        <v>0.85921040462427745</v>
      </c>
      <c r="M126" s="534">
        <f t="shared" si="149"/>
        <v>0.87244797687861275</v>
      </c>
      <c r="N126" s="535">
        <f t="shared" si="150"/>
        <v>0</v>
      </c>
      <c r="O126" s="73"/>
      <c r="P126" s="427">
        <f>+'7. Polg.Hiv.'!P83</f>
        <v>0</v>
      </c>
      <c r="Q126" s="73">
        <f>+'7. Polg.Hiv.'!Q83</f>
        <v>0</v>
      </c>
      <c r="R126" s="73">
        <f>+'7. Polg.Hiv.'!R83</f>
        <v>0</v>
      </c>
      <c r="S126" s="73">
        <f>+'7. Polg.Hiv.'!S83</f>
        <v>0</v>
      </c>
      <c r="T126" s="550">
        <f t="shared" si="151"/>
        <v>0</v>
      </c>
    </row>
    <row r="127" spans="1:20" x14ac:dyDescent="0.25">
      <c r="A127" s="403" t="s">
        <v>173</v>
      </c>
      <c r="B127" s="56" t="str">
        <f t="shared" si="147"/>
        <v>Felújítások</v>
      </c>
      <c r="C127" s="427">
        <f>+'7. Polg.Hiv.'!C86</f>
        <v>0</v>
      </c>
      <c r="D127" s="73">
        <f>+'7. Polg.Hiv.'!D86</f>
        <v>0</v>
      </c>
      <c r="E127" s="73">
        <f>+'7. Polg.Hiv.'!E86</f>
        <v>0</v>
      </c>
      <c r="F127" s="438">
        <f>+'7. Polg.Hiv.'!F86</f>
        <v>0</v>
      </c>
      <c r="G127" s="73"/>
      <c r="H127" s="427">
        <f>+'7. Polg.Hiv.'!H86</f>
        <v>0</v>
      </c>
      <c r="I127" s="73">
        <f>+'7. Polg.Hiv.'!I86</f>
        <v>0</v>
      </c>
      <c r="J127" s="462">
        <f>+'7. Polg.Hiv.'!J86</f>
        <v>0</v>
      </c>
      <c r="K127" s="73"/>
      <c r="L127" s="534">
        <f t="shared" si="148"/>
        <v>0</v>
      </c>
      <c r="M127" s="534">
        <f t="shared" si="149"/>
        <v>0</v>
      </c>
      <c r="N127" s="535">
        <f t="shared" si="150"/>
        <v>0</v>
      </c>
      <c r="O127" s="73"/>
      <c r="P127" s="427">
        <f>+'7. Polg.Hiv.'!P86</f>
        <v>0</v>
      </c>
      <c r="Q127" s="73">
        <f>+'7. Polg.Hiv.'!Q86</f>
        <v>0</v>
      </c>
      <c r="R127" s="73">
        <f>+'7. Polg.Hiv.'!R86</f>
        <v>0</v>
      </c>
      <c r="S127" s="73">
        <f>+'7. Polg.Hiv.'!S86</f>
        <v>0</v>
      </c>
      <c r="T127" s="550">
        <f t="shared" si="151"/>
        <v>0</v>
      </c>
    </row>
    <row r="128" spans="1:20" x14ac:dyDescent="0.25">
      <c r="A128" s="403" t="s">
        <v>183</v>
      </c>
      <c r="B128" s="56" t="str">
        <f t="shared" si="147"/>
        <v>Szolgáltatások kiadásai</v>
      </c>
      <c r="C128" s="427"/>
      <c r="D128" s="73"/>
      <c r="E128" s="73"/>
      <c r="F128" s="438"/>
      <c r="G128" s="73"/>
      <c r="H128" s="427"/>
      <c r="I128" s="73"/>
      <c r="J128" s="462"/>
      <c r="K128" s="73"/>
      <c r="L128" s="534">
        <f t="shared" si="148"/>
        <v>0</v>
      </c>
      <c r="M128" s="534">
        <f t="shared" si="149"/>
        <v>0</v>
      </c>
      <c r="N128" s="535">
        <f t="shared" si="150"/>
        <v>0</v>
      </c>
      <c r="O128" s="73"/>
      <c r="P128" s="427"/>
      <c r="Q128" s="73"/>
      <c r="R128" s="73"/>
      <c r="S128" s="73"/>
      <c r="T128" s="550">
        <f t="shared" si="151"/>
        <v>0</v>
      </c>
    </row>
    <row r="129" spans="1:20" x14ac:dyDescent="0.25">
      <c r="A129" s="403" t="s">
        <v>201</v>
      </c>
      <c r="B129" s="56" t="str">
        <f t="shared" si="147"/>
        <v>Finanszírozási kiadások</v>
      </c>
      <c r="C129" s="406"/>
      <c r="F129" s="449"/>
      <c r="H129" s="406"/>
      <c r="J129" s="460"/>
      <c r="L129" s="534">
        <f t="shared" si="148"/>
        <v>0</v>
      </c>
      <c r="M129" s="534">
        <f t="shared" si="149"/>
        <v>0</v>
      </c>
      <c r="N129" s="535">
        <f t="shared" si="150"/>
        <v>0</v>
      </c>
      <c r="P129" s="406"/>
      <c r="T129" s="550">
        <f t="shared" si="151"/>
        <v>0</v>
      </c>
    </row>
    <row r="130" spans="1:20" x14ac:dyDescent="0.25">
      <c r="A130" s="405"/>
      <c r="B130" s="389" t="s">
        <v>377</v>
      </c>
      <c r="C130" s="429">
        <f>SUM(C121:C129)</f>
        <v>135435600</v>
      </c>
      <c r="D130" s="390">
        <f t="shared" ref="D130" si="152">SUM(D121:D129)</f>
        <v>146640948</v>
      </c>
      <c r="E130" s="390">
        <f t="shared" ref="E130" si="153">SUM(E121:E129)</f>
        <v>146887797</v>
      </c>
      <c r="F130" s="446">
        <f t="shared" ref="F130" si="154">SUM(F121:F129)</f>
        <v>0</v>
      </c>
      <c r="G130" s="390"/>
      <c r="H130" s="429">
        <f t="shared" ref="H130" si="155">SUM(H121:H129)</f>
        <v>68909669</v>
      </c>
      <c r="I130" s="390">
        <f t="shared" ref="I130" si="156">SUM(I121:I129)</f>
        <v>101383740</v>
      </c>
      <c r="J130" s="391">
        <f t="shared" ref="J130" si="157">SUM(J121:J129)</f>
        <v>0</v>
      </c>
      <c r="K130" s="205"/>
      <c r="L130" s="536">
        <f t="shared" si="148"/>
        <v>0.46992105506573784</v>
      </c>
      <c r="M130" s="536">
        <f t="shared" si="149"/>
        <v>0.69021213518506241</v>
      </c>
      <c r="N130" s="537">
        <f t="shared" si="150"/>
        <v>0</v>
      </c>
      <c r="O130" s="205"/>
      <c r="P130" s="429">
        <f t="shared" ref="P130" si="158">SUM(P121:P129)</f>
        <v>11205348</v>
      </c>
      <c r="Q130" s="390">
        <f t="shared" ref="Q130" si="159">SUM(Q121:Q129)</f>
        <v>246849</v>
      </c>
      <c r="R130" s="390">
        <f t="shared" ref="R130" si="160">SUM(R121:R129)</f>
        <v>0</v>
      </c>
      <c r="S130" s="391">
        <f t="shared" ref="S130" si="161">SUM(S121:S129)</f>
        <v>11452197</v>
      </c>
      <c r="T130" s="551">
        <f t="shared" si="151"/>
        <v>8.4558247609934162E-2</v>
      </c>
    </row>
    <row r="131" spans="1:20" x14ac:dyDescent="0.25">
      <c r="A131" s="406"/>
      <c r="C131" s="406"/>
      <c r="F131" s="449"/>
      <c r="H131" s="406"/>
      <c r="J131" s="460"/>
      <c r="L131" s="534"/>
      <c r="M131" s="534"/>
      <c r="N131" s="535"/>
      <c r="P131" s="406"/>
      <c r="T131" s="550"/>
    </row>
    <row r="132" spans="1:20" x14ac:dyDescent="0.25">
      <c r="A132" s="403" t="str">
        <f t="shared" ref="A132:B138" si="162">+A105</f>
        <v>B1</v>
      </c>
      <c r="B132" s="56" t="str">
        <f t="shared" si="162"/>
        <v>Működési célú tám-ok államháztartáson belülről</v>
      </c>
      <c r="C132" s="427">
        <f>+'7. Polg.Hiv.'!C93</f>
        <v>0</v>
      </c>
      <c r="D132" s="73">
        <f>+'7. Polg.Hiv.'!D93</f>
        <v>1689348</v>
      </c>
      <c r="E132" s="73">
        <f>+'7. Polg.Hiv.'!E93</f>
        <v>1936197</v>
      </c>
      <c r="F132" s="438">
        <f>+'7. Polg.Hiv.'!F93</f>
        <v>0</v>
      </c>
      <c r="G132" s="73"/>
      <c r="H132" s="427">
        <f>+'7. Polg.Hiv.'!H93</f>
        <v>1760799</v>
      </c>
      <c r="I132" s="73">
        <f>+'7. Polg.Hiv.'!I93</f>
        <v>2190160</v>
      </c>
      <c r="J132" s="462">
        <f>+'7. Polg.Hiv.'!J93</f>
        <v>0</v>
      </c>
      <c r="K132" s="73"/>
      <c r="L132" s="534">
        <f t="shared" ref="L132:L141" si="163">IF(D132=0,0,H132/D132)</f>
        <v>1.042295015591814</v>
      </c>
      <c r="M132" s="534">
        <f t="shared" ref="M132:M141" si="164">IF(E132=0,0,I132/E132)</f>
        <v>1.1311658885950138</v>
      </c>
      <c r="N132" s="535">
        <f t="shared" ref="N132:N141" si="165">IF(F132=0,0,J132/F132)</f>
        <v>0</v>
      </c>
      <c r="O132" s="73"/>
      <c r="P132" s="427">
        <f>+'7. Polg.Hiv.'!P93</f>
        <v>1689348</v>
      </c>
      <c r="Q132" s="73">
        <f>+'7. Polg.Hiv.'!Q93</f>
        <v>246849</v>
      </c>
      <c r="R132" s="73">
        <f>+'7. Polg.Hiv.'!R93</f>
        <v>0</v>
      </c>
      <c r="S132" s="73">
        <f>+'7. Polg.Hiv.'!S93</f>
        <v>1936197</v>
      </c>
      <c r="T132" s="550" t="e">
        <f t="shared" si="151"/>
        <v>#DIV/0!</v>
      </c>
    </row>
    <row r="133" spans="1:20" x14ac:dyDescent="0.25">
      <c r="A133" s="403" t="str">
        <f t="shared" si="162"/>
        <v>B2</v>
      </c>
      <c r="B133" s="56" t="str">
        <f t="shared" si="162"/>
        <v>Felhalmozási célú tám-ok államházt-on belülről</v>
      </c>
      <c r="C133" s="427"/>
      <c r="D133" s="73"/>
      <c r="E133" s="73"/>
      <c r="F133" s="438"/>
      <c r="G133" s="73"/>
      <c r="H133" s="427"/>
      <c r="I133" s="73"/>
      <c r="J133" s="462"/>
      <c r="K133" s="73"/>
      <c r="L133" s="534">
        <f t="shared" si="163"/>
        <v>0</v>
      </c>
      <c r="M133" s="534">
        <f t="shared" si="164"/>
        <v>0</v>
      </c>
      <c r="N133" s="535">
        <f t="shared" si="165"/>
        <v>0</v>
      </c>
      <c r="O133" s="73"/>
      <c r="P133" s="427"/>
      <c r="Q133" s="73"/>
      <c r="R133" s="73"/>
      <c r="S133" s="73"/>
      <c r="T133" s="550">
        <f t="shared" si="151"/>
        <v>0</v>
      </c>
    </row>
    <row r="134" spans="1:20" x14ac:dyDescent="0.25">
      <c r="A134" s="403" t="str">
        <f t="shared" si="162"/>
        <v>B3</v>
      </c>
      <c r="B134" s="56" t="str">
        <f t="shared" si="162"/>
        <v>Közhatalmi bevételek</v>
      </c>
      <c r="C134" s="427"/>
      <c r="D134" s="73"/>
      <c r="E134" s="73"/>
      <c r="F134" s="438"/>
      <c r="G134" s="73"/>
      <c r="H134" s="427"/>
      <c r="I134" s="73"/>
      <c r="J134" s="462"/>
      <c r="K134" s="73"/>
      <c r="L134" s="534">
        <f t="shared" si="163"/>
        <v>0</v>
      </c>
      <c r="M134" s="534">
        <f t="shared" si="164"/>
        <v>0</v>
      </c>
      <c r="N134" s="535">
        <f t="shared" si="165"/>
        <v>0</v>
      </c>
      <c r="O134" s="73"/>
      <c r="P134" s="427"/>
      <c r="Q134" s="73"/>
      <c r="R134" s="73"/>
      <c r="S134" s="73"/>
      <c r="T134" s="550">
        <f t="shared" si="151"/>
        <v>0</v>
      </c>
    </row>
    <row r="135" spans="1:20" x14ac:dyDescent="0.25">
      <c r="A135" s="403" t="str">
        <f t="shared" si="162"/>
        <v>B4</v>
      </c>
      <c r="B135" s="56" t="str">
        <f t="shared" si="162"/>
        <v>Működési bevételek</v>
      </c>
      <c r="C135" s="427">
        <f>+'7. Polg.Hiv.'!C95</f>
        <v>10000</v>
      </c>
      <c r="D135" s="73">
        <f>+'7. Polg.Hiv.'!D95</f>
        <v>10000</v>
      </c>
      <c r="E135" s="73">
        <f>+'7. Polg.Hiv.'!E95</f>
        <v>10000</v>
      </c>
      <c r="F135" s="438">
        <f>+'7. Polg.Hiv.'!F95</f>
        <v>0</v>
      </c>
      <c r="G135" s="73"/>
      <c r="H135" s="427">
        <f>+'7. Polg.Hiv.'!H95</f>
        <v>2119</v>
      </c>
      <c r="I135" s="73">
        <f>+'7. Polg.Hiv.'!I95</f>
        <v>3754</v>
      </c>
      <c r="J135" s="462">
        <f>+'7. Polg.Hiv.'!J95</f>
        <v>0</v>
      </c>
      <c r="K135" s="73"/>
      <c r="L135" s="534">
        <f t="shared" si="163"/>
        <v>0.21190000000000001</v>
      </c>
      <c r="M135" s="534">
        <f t="shared" si="164"/>
        <v>0.37540000000000001</v>
      </c>
      <c r="N135" s="535">
        <f t="shared" si="165"/>
        <v>0</v>
      </c>
      <c r="O135" s="73"/>
      <c r="P135" s="427">
        <f>+'7. Polg.Hiv.'!P95</f>
        <v>0</v>
      </c>
      <c r="Q135" s="73">
        <f>+'7. Polg.Hiv.'!Q95</f>
        <v>0</v>
      </c>
      <c r="R135" s="73">
        <f>+'7. Polg.Hiv.'!R95</f>
        <v>0</v>
      </c>
      <c r="S135" s="73">
        <f>+'7. Polg.Hiv.'!S95</f>
        <v>0</v>
      </c>
      <c r="T135" s="550">
        <f t="shared" si="151"/>
        <v>0</v>
      </c>
    </row>
    <row r="136" spans="1:20" x14ac:dyDescent="0.25">
      <c r="A136" s="403" t="str">
        <f t="shared" si="162"/>
        <v>B5</v>
      </c>
      <c r="B136" s="56" t="str">
        <f t="shared" si="162"/>
        <v>Felhalmozási bevételek</v>
      </c>
      <c r="C136" s="427"/>
      <c r="D136" s="73"/>
      <c r="E136" s="73"/>
      <c r="F136" s="438"/>
      <c r="G136" s="73"/>
      <c r="H136" s="427"/>
      <c r="I136" s="73"/>
      <c r="J136" s="462"/>
      <c r="K136" s="73"/>
      <c r="L136" s="534">
        <f t="shared" si="163"/>
        <v>0</v>
      </c>
      <c r="M136" s="534">
        <f t="shared" si="164"/>
        <v>0</v>
      </c>
      <c r="N136" s="535">
        <f t="shared" si="165"/>
        <v>0</v>
      </c>
      <c r="O136" s="73"/>
      <c r="P136" s="427"/>
      <c r="Q136" s="73"/>
      <c r="R136" s="73"/>
      <c r="S136" s="73"/>
      <c r="T136" s="550">
        <f t="shared" si="151"/>
        <v>0</v>
      </c>
    </row>
    <row r="137" spans="1:20" x14ac:dyDescent="0.25">
      <c r="A137" s="403" t="str">
        <f t="shared" si="162"/>
        <v>B6</v>
      </c>
      <c r="B137" s="56" t="str">
        <f t="shared" si="162"/>
        <v>Működési célú átvett pénzeszközök</v>
      </c>
      <c r="C137" s="427"/>
      <c r="D137" s="73"/>
      <c r="E137" s="73"/>
      <c r="F137" s="438"/>
      <c r="G137" s="73"/>
      <c r="H137" s="427"/>
      <c r="I137" s="73"/>
      <c r="J137" s="462"/>
      <c r="K137" s="73"/>
      <c r="L137" s="534">
        <f t="shared" si="163"/>
        <v>0</v>
      </c>
      <c r="M137" s="534">
        <f t="shared" si="164"/>
        <v>0</v>
      </c>
      <c r="N137" s="535">
        <f t="shared" si="165"/>
        <v>0</v>
      </c>
      <c r="O137" s="73"/>
      <c r="P137" s="427"/>
      <c r="Q137" s="73"/>
      <c r="R137" s="73"/>
      <c r="S137" s="73"/>
      <c r="T137" s="550">
        <f t="shared" si="151"/>
        <v>0</v>
      </c>
    </row>
    <row r="138" spans="1:20" x14ac:dyDescent="0.25">
      <c r="A138" s="403" t="str">
        <f t="shared" si="162"/>
        <v>B7</v>
      </c>
      <c r="B138" s="56" t="str">
        <f t="shared" si="162"/>
        <v>Felhalmozási célú átvett pénzeszközök</v>
      </c>
      <c r="C138" s="427"/>
      <c r="D138" s="73"/>
      <c r="E138" s="73"/>
      <c r="F138" s="438"/>
      <c r="G138" s="73"/>
      <c r="H138" s="427"/>
      <c r="I138" s="73"/>
      <c r="J138" s="462"/>
      <c r="K138" s="73"/>
      <c r="L138" s="534">
        <f t="shared" si="163"/>
        <v>0</v>
      </c>
      <c r="M138" s="534">
        <f t="shared" si="164"/>
        <v>0</v>
      </c>
      <c r="N138" s="535">
        <f t="shared" si="165"/>
        <v>0</v>
      </c>
      <c r="O138" s="73"/>
      <c r="P138" s="427"/>
      <c r="Q138" s="73"/>
      <c r="R138" s="73"/>
      <c r="S138" s="73"/>
      <c r="T138" s="550">
        <f t="shared" si="151"/>
        <v>0</v>
      </c>
    </row>
    <row r="139" spans="1:20" x14ac:dyDescent="0.25">
      <c r="A139" s="403" t="str">
        <f>+A112</f>
        <v>B8-ból maradványértéken túli finanszírozási bevételek</v>
      </c>
      <c r="B139" s="56"/>
      <c r="C139" s="427">
        <f>+'7. Polg.Hiv.'!C99-C140</f>
        <v>132994717</v>
      </c>
      <c r="D139" s="73">
        <f>+'7. Polg.Hiv.'!D99-D140</f>
        <v>142510717</v>
      </c>
      <c r="E139" s="73">
        <f>+'7. Polg.Hiv.'!E99-E140</f>
        <v>142510717</v>
      </c>
      <c r="F139" s="438">
        <f>+'7. Polg.Hiv.'!F99-F140</f>
        <v>0</v>
      </c>
      <c r="G139" s="73"/>
      <c r="H139" s="427">
        <f>+'7. Polg.Hiv.'!H99-H140</f>
        <v>68609214</v>
      </c>
      <c r="I139" s="73">
        <f>+'7. Polg.Hiv.'!I99-I140</f>
        <v>99619603</v>
      </c>
      <c r="J139" s="462">
        <f>+'7. Polg.Hiv.'!J99-J140</f>
        <v>0</v>
      </c>
      <c r="K139" s="73"/>
      <c r="L139" s="534">
        <f t="shared" si="163"/>
        <v>0.4814319613590885</v>
      </c>
      <c r="M139" s="534">
        <f t="shared" si="164"/>
        <v>0.69903236119428125</v>
      </c>
      <c r="N139" s="535">
        <f t="shared" si="165"/>
        <v>0</v>
      </c>
      <c r="O139" s="73"/>
      <c r="P139" s="427">
        <f>+'7. Polg.Hiv.'!P99-P140</f>
        <v>9516000</v>
      </c>
      <c r="Q139" s="73">
        <f>+'7. Polg.Hiv.'!Q99-Q140</f>
        <v>0</v>
      </c>
      <c r="R139" s="73">
        <f>+'7. Polg.Hiv.'!R99-R140</f>
        <v>0</v>
      </c>
      <c r="S139" s="73">
        <f>+'7. Polg.Hiv.'!S99-S140</f>
        <v>9516000</v>
      </c>
      <c r="T139" s="550">
        <f t="shared" si="151"/>
        <v>7.1551714343660727E-2</v>
      </c>
    </row>
    <row r="140" spans="1:20" x14ac:dyDescent="0.25">
      <c r="A140" s="403" t="str">
        <f>+A113</f>
        <v>B8-ból előző évi mardvány igénybevétele</v>
      </c>
      <c r="B140" s="56"/>
      <c r="C140" s="427">
        <f>+'7. Polg.Hiv.'!C101</f>
        <v>2430883</v>
      </c>
      <c r="D140" s="73">
        <f>+'7. Polg.Hiv.'!D101</f>
        <v>2430883</v>
      </c>
      <c r="E140" s="73">
        <f>+'7. Polg.Hiv.'!E101</f>
        <v>2430883</v>
      </c>
      <c r="F140" s="438">
        <f>+'7. Polg.Hiv.'!F101</f>
        <v>0</v>
      </c>
      <c r="G140" s="73"/>
      <c r="H140" s="427">
        <f>+'7. Polg.Hiv.'!H101</f>
        <v>2430883</v>
      </c>
      <c r="I140" s="73">
        <f>+'7. Polg.Hiv.'!I101</f>
        <v>2430883</v>
      </c>
      <c r="J140" s="462">
        <f>+'7. Polg.Hiv.'!J101</f>
        <v>0</v>
      </c>
      <c r="K140" s="73"/>
      <c r="L140" s="534">
        <f t="shared" si="163"/>
        <v>1</v>
      </c>
      <c r="M140" s="534">
        <f t="shared" si="164"/>
        <v>1</v>
      </c>
      <c r="N140" s="535">
        <f t="shared" si="165"/>
        <v>0</v>
      </c>
      <c r="O140" s="73"/>
      <c r="P140" s="427">
        <f>+'7. Polg.Hiv.'!P101</f>
        <v>0</v>
      </c>
      <c r="Q140" s="73">
        <f>+'7. Polg.Hiv.'!Q101</f>
        <v>0</v>
      </c>
      <c r="R140" s="73">
        <f>+'7. Polg.Hiv.'!R101</f>
        <v>0</v>
      </c>
      <c r="S140" s="73">
        <f>+'7. Polg.Hiv.'!S101</f>
        <v>0</v>
      </c>
      <c r="T140" s="550">
        <f t="shared" si="151"/>
        <v>0</v>
      </c>
    </row>
    <row r="141" spans="1:20" x14ac:dyDescent="0.25">
      <c r="A141" s="407"/>
      <c r="B141" s="389" t="s">
        <v>376</v>
      </c>
      <c r="C141" s="429">
        <f>SUM(C132:C140)</f>
        <v>135435600</v>
      </c>
      <c r="D141" s="390">
        <f t="shared" ref="D141" si="166">SUM(D132:D140)</f>
        <v>146640948</v>
      </c>
      <c r="E141" s="390">
        <f t="shared" ref="E141" si="167">SUM(E132:E140)</f>
        <v>146887797</v>
      </c>
      <c r="F141" s="446">
        <f t="shared" ref="F141" si="168">SUM(F132:F140)</f>
        <v>0</v>
      </c>
      <c r="G141" s="390"/>
      <c r="H141" s="429">
        <f t="shared" ref="H141" si="169">SUM(H132:H140)</f>
        <v>72803015</v>
      </c>
      <c r="I141" s="390">
        <f t="shared" ref="I141" si="170">SUM(I132:I140)</f>
        <v>104244400</v>
      </c>
      <c r="J141" s="391">
        <f t="shared" ref="J141" si="171">SUM(J132:J140)</f>
        <v>0</v>
      </c>
      <c r="K141" s="392"/>
      <c r="L141" s="538">
        <f t="shared" si="163"/>
        <v>0.49647125167248646</v>
      </c>
      <c r="M141" s="538">
        <f t="shared" si="164"/>
        <v>0.70968727238791662</v>
      </c>
      <c r="N141" s="539">
        <f t="shared" si="165"/>
        <v>0</v>
      </c>
      <c r="O141" s="392"/>
      <c r="P141" s="429">
        <f t="shared" ref="P141" si="172">SUM(P132:P140)</f>
        <v>11205348</v>
      </c>
      <c r="Q141" s="390">
        <f t="shared" ref="Q141" si="173">SUM(Q132:Q140)</f>
        <v>246849</v>
      </c>
      <c r="R141" s="390">
        <f t="shared" ref="R141" si="174">SUM(R132:R140)</f>
        <v>0</v>
      </c>
      <c r="S141" s="391">
        <f t="shared" ref="S141" si="175">SUM(S132:S140)</f>
        <v>11452197</v>
      </c>
      <c r="T141" s="551">
        <f t="shared" si="151"/>
        <v>8.4558247609934162E-2</v>
      </c>
    </row>
    <row r="142" spans="1:20" x14ac:dyDescent="0.25">
      <c r="A142" s="406"/>
      <c r="B142" s="73"/>
      <c r="C142" s="427"/>
      <c r="D142" s="73"/>
      <c r="E142" s="73"/>
      <c r="F142" s="438"/>
      <c r="G142" s="73"/>
      <c r="H142" s="427"/>
      <c r="I142" s="73"/>
      <c r="J142" s="462"/>
      <c r="K142" s="73"/>
      <c r="L142" s="534"/>
      <c r="M142" s="534"/>
      <c r="N142" s="535"/>
      <c r="O142" s="73"/>
      <c r="P142" s="427"/>
      <c r="Q142" s="73"/>
      <c r="R142" s="73"/>
      <c r="S142" s="73"/>
      <c r="T142" s="552"/>
    </row>
    <row r="143" spans="1:20" ht="13.8" thickBot="1" x14ac:dyDescent="0.3">
      <c r="A143" s="409"/>
      <c r="B143" s="410" t="s">
        <v>461</v>
      </c>
      <c r="C143" s="431">
        <f>+C141-C130</f>
        <v>0</v>
      </c>
      <c r="D143" s="411">
        <f>+D141-D130</f>
        <v>0</v>
      </c>
      <c r="E143" s="411">
        <f>+E141-E130</f>
        <v>0</v>
      </c>
      <c r="F143" s="448">
        <f>+F141-F130</f>
        <v>0</v>
      </c>
      <c r="G143" s="411"/>
      <c r="H143" s="431">
        <f>+H141-H130</f>
        <v>3893346</v>
      </c>
      <c r="I143" s="411">
        <f>+I141-I130</f>
        <v>2860660</v>
      </c>
      <c r="J143" s="413">
        <f>+J141-J130</f>
        <v>0</v>
      </c>
      <c r="K143" s="412"/>
      <c r="L143" s="540">
        <f t="shared" ref="L143" si="176">IF(D143=0,0,H143/D143)</f>
        <v>0</v>
      </c>
      <c r="M143" s="540">
        <f t="shared" ref="M143" si="177">IF(E143=0,0,I143/E143)</f>
        <v>0</v>
      </c>
      <c r="N143" s="541">
        <f t="shared" ref="N143" si="178">IF(F143=0,0,J143/F143)</f>
        <v>0</v>
      </c>
      <c r="O143" s="412"/>
      <c r="P143" s="431">
        <f>+P141-P130</f>
        <v>0</v>
      </c>
      <c r="Q143" s="411">
        <f>+Q141-Q130</f>
        <v>0</v>
      </c>
      <c r="R143" s="411">
        <f>+R141-R130</f>
        <v>0</v>
      </c>
      <c r="S143" s="413">
        <f>+S141-S130</f>
        <v>0</v>
      </c>
      <c r="T143" s="553"/>
    </row>
    <row r="144" spans="1:20" x14ac:dyDescent="0.25">
      <c r="A144" s="56"/>
      <c r="B144" s="56"/>
      <c r="C144" s="427"/>
      <c r="D144" s="73"/>
      <c r="E144" s="73"/>
      <c r="F144" s="438"/>
      <c r="G144" s="73"/>
      <c r="H144" s="427"/>
      <c r="I144" s="73"/>
      <c r="J144" s="462"/>
      <c r="K144" s="73"/>
      <c r="L144" s="534"/>
      <c r="M144" s="534"/>
      <c r="N144" s="535"/>
      <c r="O144" s="73"/>
      <c r="P144" s="427"/>
      <c r="Q144" s="73"/>
      <c r="R144" s="73"/>
      <c r="S144" s="73"/>
      <c r="T144" s="552"/>
    </row>
    <row r="145" spans="1:20" ht="13.8" thickBot="1" x14ac:dyDescent="0.3">
      <c r="A145" s="56"/>
      <c r="B145" s="56"/>
      <c r="C145" s="427"/>
      <c r="D145" s="73"/>
      <c r="E145" s="73"/>
      <c r="F145" s="438"/>
      <c r="G145" s="73"/>
      <c r="H145" s="427"/>
      <c r="I145" s="73"/>
      <c r="J145" s="462"/>
      <c r="K145" s="73"/>
      <c r="L145" s="534"/>
      <c r="M145" s="534"/>
      <c r="N145" s="535"/>
      <c r="O145" s="73"/>
      <c r="P145" s="427"/>
      <c r="Q145" s="73"/>
      <c r="R145" s="73"/>
      <c r="S145" s="73"/>
      <c r="T145" s="552"/>
    </row>
    <row r="146" spans="1:20" ht="18" thickBot="1" x14ac:dyDescent="0.35">
      <c r="A146" s="416" t="s">
        <v>457</v>
      </c>
      <c r="B146" s="453"/>
      <c r="C146" s="427"/>
      <c r="D146" s="73"/>
      <c r="E146" s="73"/>
      <c r="F146" s="438"/>
      <c r="G146" s="73"/>
      <c r="H146" s="427"/>
      <c r="I146" s="73"/>
      <c r="J146" s="462"/>
      <c r="K146" s="73"/>
      <c r="L146" s="534"/>
      <c r="M146" s="534"/>
      <c r="N146" s="535"/>
      <c r="O146" s="73"/>
      <c r="P146" s="427"/>
      <c r="Q146" s="73"/>
      <c r="R146" s="73"/>
      <c r="S146" s="73"/>
      <c r="T146" s="552"/>
    </row>
    <row r="147" spans="1:20" x14ac:dyDescent="0.25">
      <c r="A147" s="454"/>
      <c r="B147" s="417"/>
      <c r="C147" s="428"/>
      <c r="D147" s="419"/>
      <c r="E147" s="419"/>
      <c r="F147" s="418"/>
      <c r="G147" s="419"/>
      <c r="H147" s="428"/>
      <c r="I147" s="419"/>
      <c r="J147" s="464"/>
      <c r="K147" s="419"/>
      <c r="L147" s="542"/>
      <c r="M147" s="542"/>
      <c r="N147" s="543"/>
      <c r="O147" s="419"/>
      <c r="P147" s="428"/>
      <c r="Q147" s="419"/>
      <c r="R147" s="419"/>
      <c r="S147" s="419"/>
      <c r="T147" s="554"/>
    </row>
    <row r="148" spans="1:20" x14ac:dyDescent="0.25">
      <c r="A148" s="455" t="s">
        <v>0</v>
      </c>
      <c r="B148" s="56" t="str">
        <f t="shared" ref="B148:B156" si="179">+B121</f>
        <v>Személyi juttatások</v>
      </c>
      <c r="C148" s="427">
        <f>+'8. WAMKK'!C13</f>
        <v>13970000</v>
      </c>
      <c r="D148" s="73">
        <f>+'8. WAMKK'!D13</f>
        <v>13970000</v>
      </c>
      <c r="E148" s="73">
        <f>+'8. WAMKK'!E13</f>
        <v>13970000</v>
      </c>
      <c r="F148" s="438">
        <f>+'8. WAMKK'!F13</f>
        <v>0</v>
      </c>
      <c r="G148" s="73"/>
      <c r="H148" s="427">
        <f>+'8. WAMKK'!H13</f>
        <v>6042177</v>
      </c>
      <c r="I148" s="73">
        <f>+'8. WAMKK'!I13</f>
        <v>9018873</v>
      </c>
      <c r="J148" s="462">
        <f>+'8. WAMKK'!J13</f>
        <v>0</v>
      </c>
      <c r="K148" s="73"/>
      <c r="L148" s="534">
        <f t="shared" ref="L148:L157" si="180">IF(D148=0,0,H148/D148)</f>
        <v>0.43251088045812458</v>
      </c>
      <c r="M148" s="534">
        <f t="shared" ref="M148:M157" si="181">IF(E148=0,0,I148/E148)</f>
        <v>0.64558861846814608</v>
      </c>
      <c r="N148" s="535">
        <f t="shared" ref="N148:N157" si="182">IF(F148=0,0,J148/F148)</f>
        <v>0</v>
      </c>
      <c r="O148" s="73"/>
      <c r="P148" s="427">
        <f>+'8. WAMKK'!P13</f>
        <v>0</v>
      </c>
      <c r="Q148" s="73">
        <f>+'8. WAMKK'!Q13</f>
        <v>0</v>
      </c>
      <c r="R148" s="73">
        <f>+'8. WAMKK'!R13</f>
        <v>0</v>
      </c>
      <c r="S148" s="73">
        <f>+'8. WAMKK'!S13</f>
        <v>0</v>
      </c>
      <c r="T148" s="550">
        <f>IF(S148=0,0,S148/C148)</f>
        <v>0</v>
      </c>
    </row>
    <row r="149" spans="1:20" x14ac:dyDescent="0.25">
      <c r="A149" s="455" t="s">
        <v>26</v>
      </c>
      <c r="B149" s="56" t="str">
        <f t="shared" si="179"/>
        <v>Munkaadót terhelő járulékok és szociális hozzájárulás</v>
      </c>
      <c r="C149" s="427">
        <f>+'8. WAMKK'!C29</f>
        <v>3000000</v>
      </c>
      <c r="D149" s="73">
        <f>+'8. WAMKK'!D29</f>
        <v>3000000</v>
      </c>
      <c r="E149" s="73">
        <f>+'8. WAMKK'!E29</f>
        <v>3000000</v>
      </c>
      <c r="F149" s="438">
        <f>+'8. WAMKK'!F29</f>
        <v>0</v>
      </c>
      <c r="G149" s="73"/>
      <c r="H149" s="427">
        <f>+'8. WAMKK'!H29</f>
        <v>1315967</v>
      </c>
      <c r="I149" s="73">
        <f>+'8. WAMKK'!I29</f>
        <v>1869747</v>
      </c>
      <c r="J149" s="462">
        <f>+'8. WAMKK'!J29</f>
        <v>0</v>
      </c>
      <c r="K149" s="73"/>
      <c r="L149" s="534">
        <f t="shared" si="180"/>
        <v>0.43865566666666667</v>
      </c>
      <c r="M149" s="534">
        <f t="shared" si="181"/>
        <v>0.62324900000000005</v>
      </c>
      <c r="N149" s="535">
        <f t="shared" si="182"/>
        <v>0</v>
      </c>
      <c r="O149" s="73"/>
      <c r="P149" s="427">
        <f>+'8. WAMKK'!P29</f>
        <v>0</v>
      </c>
      <c r="Q149" s="73">
        <f>+'8. WAMKK'!Q29</f>
        <v>0</v>
      </c>
      <c r="R149" s="73">
        <f>+'8. WAMKK'!R29</f>
        <v>0</v>
      </c>
      <c r="S149" s="73">
        <f>+'8. WAMKK'!S29</f>
        <v>0</v>
      </c>
      <c r="T149" s="550">
        <f t="shared" ref="T149:T168" si="183">IF(S149=0,0,S149/C149)</f>
        <v>0</v>
      </c>
    </row>
    <row r="150" spans="1:20" x14ac:dyDescent="0.25">
      <c r="A150" s="455" t="s">
        <v>29</v>
      </c>
      <c r="B150" s="56" t="str">
        <f t="shared" si="179"/>
        <v>Dologi kiadások</v>
      </c>
      <c r="C150" s="427">
        <f>+'8. WAMKK'!C32</f>
        <v>13092000</v>
      </c>
      <c r="D150" s="73">
        <f>+'8. WAMKK'!D32</f>
        <v>13019600</v>
      </c>
      <c r="E150" s="73">
        <f>+'8. WAMKK'!E32</f>
        <v>16293600</v>
      </c>
      <c r="F150" s="438">
        <f>+'8. WAMKK'!F32</f>
        <v>0</v>
      </c>
      <c r="G150" s="73"/>
      <c r="H150" s="427">
        <f>+'8. WAMKK'!H32</f>
        <v>4969781</v>
      </c>
      <c r="I150" s="73">
        <f>+'8. WAMKK'!I32</f>
        <v>12120491</v>
      </c>
      <c r="J150" s="462">
        <f>+'8. WAMKK'!J32</f>
        <v>0</v>
      </c>
      <c r="K150" s="73"/>
      <c r="L150" s="534">
        <f t="shared" si="180"/>
        <v>0.38171533687670894</v>
      </c>
      <c r="M150" s="534">
        <f t="shared" si="181"/>
        <v>0.74388048067953061</v>
      </c>
      <c r="N150" s="535">
        <f t="shared" si="182"/>
        <v>0</v>
      </c>
      <c r="O150" s="73"/>
      <c r="P150" s="427">
        <f>+'8. WAMKK'!P32</f>
        <v>-72400</v>
      </c>
      <c r="Q150" s="73">
        <f>+'8. WAMKK'!Q32</f>
        <v>3274000</v>
      </c>
      <c r="R150" s="73">
        <f>+'8. WAMKK'!R32</f>
        <v>0</v>
      </c>
      <c r="S150" s="73">
        <f>+'8. WAMKK'!S32</f>
        <v>3201600</v>
      </c>
      <c r="T150" s="550">
        <f t="shared" si="183"/>
        <v>0.24454628780934923</v>
      </c>
    </row>
    <row r="151" spans="1:20" x14ac:dyDescent="0.25">
      <c r="A151" s="455" t="s">
        <v>111</v>
      </c>
      <c r="B151" s="56" t="str">
        <f t="shared" si="179"/>
        <v>Elláttotak pénzbeli juttatásai</v>
      </c>
      <c r="C151" s="427"/>
      <c r="D151" s="73"/>
      <c r="E151" s="73"/>
      <c r="F151" s="438"/>
      <c r="G151" s="73"/>
      <c r="H151" s="427"/>
      <c r="I151" s="73"/>
      <c r="J151" s="462"/>
      <c r="K151" s="73"/>
      <c r="L151" s="534">
        <f t="shared" si="180"/>
        <v>0</v>
      </c>
      <c r="M151" s="534">
        <f t="shared" si="181"/>
        <v>0</v>
      </c>
      <c r="N151" s="535">
        <f t="shared" si="182"/>
        <v>0</v>
      </c>
      <c r="O151" s="73"/>
      <c r="P151" s="427"/>
      <c r="Q151" s="73"/>
      <c r="R151" s="73"/>
      <c r="S151" s="73"/>
      <c r="T151" s="550">
        <f t="shared" si="183"/>
        <v>0</v>
      </c>
    </row>
    <row r="152" spans="1:20" x14ac:dyDescent="0.25">
      <c r="A152" s="456" t="s">
        <v>375</v>
      </c>
      <c r="B152" s="56" t="str">
        <f t="shared" si="179"/>
        <v>Egyéb működési célú kiadások</v>
      </c>
      <c r="C152" s="427"/>
      <c r="D152" s="73"/>
      <c r="E152" s="73"/>
      <c r="F152" s="438"/>
      <c r="G152" s="73"/>
      <c r="H152" s="427"/>
      <c r="I152" s="73"/>
      <c r="J152" s="462"/>
      <c r="K152" s="73"/>
      <c r="L152" s="534">
        <f t="shared" si="180"/>
        <v>0</v>
      </c>
      <c r="M152" s="534">
        <f t="shared" si="181"/>
        <v>0</v>
      </c>
      <c r="N152" s="535">
        <f t="shared" si="182"/>
        <v>0</v>
      </c>
      <c r="O152" s="73"/>
      <c r="P152" s="427"/>
      <c r="Q152" s="73"/>
      <c r="R152" s="73"/>
      <c r="S152" s="73"/>
      <c r="T152" s="550">
        <f t="shared" si="183"/>
        <v>0</v>
      </c>
    </row>
    <row r="153" spans="1:20" x14ac:dyDescent="0.25">
      <c r="A153" s="455" t="s">
        <v>158</v>
      </c>
      <c r="B153" s="56" t="str">
        <f t="shared" si="179"/>
        <v>Beruházások</v>
      </c>
      <c r="C153" s="427">
        <f>+'8. WAMKK'!C83</f>
        <v>200000</v>
      </c>
      <c r="D153" s="73">
        <f>+'8. WAMKK'!D83</f>
        <v>272400</v>
      </c>
      <c r="E153" s="73">
        <f>+'8. WAMKK'!E83</f>
        <v>272400</v>
      </c>
      <c r="F153" s="438">
        <f>+'8. WAMKK'!F83</f>
        <v>0</v>
      </c>
      <c r="G153" s="73"/>
      <c r="H153" s="427">
        <f>+'8. WAMKK'!H83</f>
        <v>225840</v>
      </c>
      <c r="I153" s="73">
        <f>+'8. WAMKK'!I83</f>
        <v>225840</v>
      </c>
      <c r="J153" s="462">
        <f>+'8. WAMKK'!J83</f>
        <v>0</v>
      </c>
      <c r="K153" s="73"/>
      <c r="L153" s="534">
        <f t="shared" si="180"/>
        <v>0.82907488986784139</v>
      </c>
      <c r="M153" s="534">
        <f t="shared" si="181"/>
        <v>0.82907488986784139</v>
      </c>
      <c r="N153" s="535">
        <f t="shared" si="182"/>
        <v>0</v>
      </c>
      <c r="O153" s="73"/>
      <c r="P153" s="427">
        <f>+'8. WAMKK'!P83</f>
        <v>72400</v>
      </c>
      <c r="Q153" s="73">
        <f>+'8. WAMKK'!Q83</f>
        <v>0</v>
      </c>
      <c r="R153" s="73">
        <f>+'8. WAMKK'!R83</f>
        <v>0</v>
      </c>
      <c r="S153" s="73">
        <f>+'8. WAMKK'!S83</f>
        <v>72400</v>
      </c>
      <c r="T153" s="550">
        <f t="shared" si="183"/>
        <v>0.36199999999999999</v>
      </c>
    </row>
    <row r="154" spans="1:20" x14ac:dyDescent="0.25">
      <c r="A154" s="455" t="s">
        <v>173</v>
      </c>
      <c r="B154" s="56" t="str">
        <f t="shared" si="179"/>
        <v>Felújítások</v>
      </c>
      <c r="C154" s="427">
        <f>+'8. WAMKK'!C86</f>
        <v>0</v>
      </c>
      <c r="D154" s="73">
        <f>+'8. WAMKK'!D86</f>
        <v>0</v>
      </c>
      <c r="E154" s="73">
        <f>+'8. WAMKK'!E86</f>
        <v>0</v>
      </c>
      <c r="F154" s="438">
        <f>+'8. WAMKK'!F86</f>
        <v>0</v>
      </c>
      <c r="G154" s="73"/>
      <c r="H154" s="427">
        <f>+'8. WAMKK'!H86</f>
        <v>0</v>
      </c>
      <c r="I154" s="73">
        <f>+'8. WAMKK'!I86</f>
        <v>0</v>
      </c>
      <c r="J154" s="462">
        <f>+'8. WAMKK'!J86</f>
        <v>0</v>
      </c>
      <c r="K154" s="73"/>
      <c r="L154" s="534">
        <f t="shared" si="180"/>
        <v>0</v>
      </c>
      <c r="M154" s="534">
        <f t="shared" si="181"/>
        <v>0</v>
      </c>
      <c r="N154" s="535">
        <f t="shared" si="182"/>
        <v>0</v>
      </c>
      <c r="O154" s="73"/>
      <c r="P154" s="427">
        <f>+'8. WAMKK'!P86</f>
        <v>0</v>
      </c>
      <c r="Q154" s="73">
        <f>+'8. WAMKK'!Q86</f>
        <v>0</v>
      </c>
      <c r="R154" s="73">
        <f>+'8. WAMKK'!R86</f>
        <v>0</v>
      </c>
      <c r="S154" s="73">
        <f>+'8. WAMKK'!S86</f>
        <v>0</v>
      </c>
      <c r="T154" s="550">
        <f t="shared" si="183"/>
        <v>0</v>
      </c>
    </row>
    <row r="155" spans="1:20" x14ac:dyDescent="0.25">
      <c r="A155" s="455" t="s">
        <v>183</v>
      </c>
      <c r="B155" s="56" t="str">
        <f t="shared" si="179"/>
        <v>Szolgáltatások kiadásai</v>
      </c>
      <c r="C155" s="427"/>
      <c r="D155" s="73"/>
      <c r="E155" s="73"/>
      <c r="F155" s="438"/>
      <c r="G155" s="73"/>
      <c r="H155" s="427"/>
      <c r="I155" s="73"/>
      <c r="J155" s="462"/>
      <c r="K155" s="73"/>
      <c r="L155" s="534">
        <f t="shared" si="180"/>
        <v>0</v>
      </c>
      <c r="M155" s="534">
        <f t="shared" si="181"/>
        <v>0</v>
      </c>
      <c r="N155" s="535">
        <f t="shared" si="182"/>
        <v>0</v>
      </c>
      <c r="O155" s="73"/>
      <c r="P155" s="427"/>
      <c r="Q155" s="73"/>
      <c r="R155" s="73"/>
      <c r="S155" s="73"/>
      <c r="T155" s="550">
        <f t="shared" si="183"/>
        <v>0</v>
      </c>
    </row>
    <row r="156" spans="1:20" x14ac:dyDescent="0.25">
      <c r="A156" s="455" t="s">
        <v>201</v>
      </c>
      <c r="B156" s="56" t="str">
        <f t="shared" si="179"/>
        <v>Finanszírozási kiadások</v>
      </c>
      <c r="C156" s="427"/>
      <c r="D156" s="73"/>
      <c r="E156" s="73"/>
      <c r="F156" s="438"/>
      <c r="G156" s="73"/>
      <c r="H156" s="427"/>
      <c r="I156" s="73"/>
      <c r="J156" s="462"/>
      <c r="K156" s="73"/>
      <c r="L156" s="534">
        <f t="shared" si="180"/>
        <v>0</v>
      </c>
      <c r="M156" s="534">
        <f t="shared" si="181"/>
        <v>0</v>
      </c>
      <c r="N156" s="535">
        <f t="shared" si="182"/>
        <v>0</v>
      </c>
      <c r="O156" s="73"/>
      <c r="P156" s="427"/>
      <c r="Q156" s="73"/>
      <c r="R156" s="73"/>
      <c r="S156" s="73"/>
      <c r="T156" s="550">
        <f t="shared" si="183"/>
        <v>0</v>
      </c>
    </row>
    <row r="157" spans="1:20" x14ac:dyDescent="0.25">
      <c r="A157" s="457"/>
      <c r="B157" s="393" t="s">
        <v>377</v>
      </c>
      <c r="C157" s="432">
        <f>SUM(C148:C156)</f>
        <v>30262000</v>
      </c>
      <c r="D157" s="394">
        <f t="shared" ref="D157" si="184">SUM(D148:D156)</f>
        <v>30262000</v>
      </c>
      <c r="E157" s="394">
        <f t="shared" ref="E157" si="185">SUM(E148:E156)</f>
        <v>33536000</v>
      </c>
      <c r="F157" s="451">
        <f t="shared" ref="F157" si="186">SUM(F148:F156)</f>
        <v>0</v>
      </c>
      <c r="G157" s="394"/>
      <c r="H157" s="432">
        <f t="shared" ref="H157" si="187">SUM(H148:H156)</f>
        <v>12553765</v>
      </c>
      <c r="I157" s="394">
        <f t="shared" ref="I157" si="188">SUM(I148:I156)</f>
        <v>23234951</v>
      </c>
      <c r="J157" s="396">
        <f t="shared" ref="J157" si="189">SUM(J148:J156)</f>
        <v>0</v>
      </c>
      <c r="K157" s="397"/>
      <c r="L157" s="544">
        <f t="shared" si="180"/>
        <v>0.41483593285308307</v>
      </c>
      <c r="M157" s="544">
        <f t="shared" si="181"/>
        <v>0.69283608659351148</v>
      </c>
      <c r="N157" s="545">
        <f t="shared" si="182"/>
        <v>0</v>
      </c>
      <c r="O157" s="397"/>
      <c r="P157" s="432">
        <f t="shared" ref="P157" si="190">SUM(P148:P156)</f>
        <v>0</v>
      </c>
      <c r="Q157" s="394">
        <f t="shared" ref="Q157" si="191">SUM(Q148:Q156)</f>
        <v>3274000</v>
      </c>
      <c r="R157" s="394">
        <f t="shared" ref="R157" si="192">SUM(R148:R156)</f>
        <v>0</v>
      </c>
      <c r="S157" s="396">
        <f t="shared" ref="S157" si="193">SUM(S148:S156)</f>
        <v>3274000</v>
      </c>
      <c r="T157" s="551">
        <f t="shared" si="183"/>
        <v>0.10818848721168461</v>
      </c>
    </row>
    <row r="158" spans="1:20" x14ac:dyDescent="0.25">
      <c r="A158" s="406"/>
      <c r="C158" s="406"/>
      <c r="F158" s="449"/>
      <c r="H158" s="406"/>
      <c r="J158" s="460"/>
      <c r="L158" s="534"/>
      <c r="M158" s="534"/>
      <c r="N158" s="535"/>
      <c r="P158" s="406"/>
      <c r="T158" s="550"/>
    </row>
    <row r="159" spans="1:20" x14ac:dyDescent="0.25">
      <c r="A159" s="403" t="str">
        <f t="shared" ref="A159:B165" si="194">+A132</f>
        <v>B1</v>
      </c>
      <c r="B159" s="56" t="str">
        <f t="shared" si="194"/>
        <v>Működési célú tám-ok államháztartáson belülről</v>
      </c>
      <c r="C159" s="427">
        <f>+'8. WAMKK'!C93</f>
        <v>0</v>
      </c>
      <c r="D159" s="73">
        <f>+'8. WAMKK'!D93</f>
        <v>0</v>
      </c>
      <c r="E159" s="73">
        <f>+'8. WAMKK'!E93</f>
        <v>0</v>
      </c>
      <c r="F159" s="438">
        <f>+'8. WAMKK'!F93</f>
        <v>0</v>
      </c>
      <c r="G159" s="73"/>
      <c r="H159" s="427">
        <f>+'8. WAMKK'!H93</f>
        <v>0</v>
      </c>
      <c r="I159" s="73">
        <f>+'8. WAMKK'!I93</f>
        <v>0</v>
      </c>
      <c r="J159" s="462">
        <f>+'8. WAMKK'!J93</f>
        <v>0</v>
      </c>
      <c r="K159" s="73"/>
      <c r="L159" s="534">
        <f t="shared" ref="L159:L168" si="195">IF(D159=0,0,H159/D159)</f>
        <v>0</v>
      </c>
      <c r="M159" s="534">
        <f t="shared" ref="M159:M168" si="196">IF(E159=0,0,I159/E159)</f>
        <v>0</v>
      </c>
      <c r="N159" s="535">
        <f t="shared" ref="N159:N168" si="197">IF(F159=0,0,J159/F159)</f>
        <v>0</v>
      </c>
      <c r="O159" s="73"/>
      <c r="P159" s="427">
        <f>+'8. WAMKK'!P93</f>
        <v>0</v>
      </c>
      <c r="Q159" s="73">
        <f>+'8. WAMKK'!Q93</f>
        <v>0</v>
      </c>
      <c r="R159" s="73">
        <f>+'8. WAMKK'!R93</f>
        <v>0</v>
      </c>
      <c r="S159" s="73">
        <f>+'8. WAMKK'!S93</f>
        <v>0</v>
      </c>
      <c r="T159" s="550">
        <f t="shared" si="183"/>
        <v>0</v>
      </c>
    </row>
    <row r="160" spans="1:20" x14ac:dyDescent="0.25">
      <c r="A160" s="403" t="str">
        <f t="shared" si="194"/>
        <v>B2</v>
      </c>
      <c r="B160" s="56" t="str">
        <f t="shared" si="194"/>
        <v>Felhalmozási célú tám-ok államházt-on belülről</v>
      </c>
      <c r="C160" s="427"/>
      <c r="D160" s="73"/>
      <c r="E160" s="73"/>
      <c r="F160" s="438"/>
      <c r="G160" s="73"/>
      <c r="H160" s="427"/>
      <c r="I160" s="73"/>
      <c r="J160" s="462"/>
      <c r="K160" s="73"/>
      <c r="L160" s="534">
        <f t="shared" si="195"/>
        <v>0</v>
      </c>
      <c r="M160" s="534">
        <f t="shared" si="196"/>
        <v>0</v>
      </c>
      <c r="N160" s="535">
        <f t="shared" si="197"/>
        <v>0</v>
      </c>
      <c r="O160" s="73"/>
      <c r="P160" s="427"/>
      <c r="Q160" s="73"/>
      <c r="R160" s="73"/>
      <c r="S160" s="73"/>
      <c r="T160" s="550">
        <f t="shared" si="183"/>
        <v>0</v>
      </c>
    </row>
    <row r="161" spans="1:20" x14ac:dyDescent="0.25">
      <c r="A161" s="403" t="str">
        <f t="shared" si="194"/>
        <v>B3</v>
      </c>
      <c r="B161" s="56" t="str">
        <f t="shared" si="194"/>
        <v>Közhatalmi bevételek</v>
      </c>
      <c r="C161" s="427"/>
      <c r="D161" s="73"/>
      <c r="E161" s="73"/>
      <c r="F161" s="438"/>
      <c r="G161" s="73"/>
      <c r="H161" s="427"/>
      <c r="I161" s="73"/>
      <c r="J161" s="462"/>
      <c r="K161" s="73"/>
      <c r="L161" s="534">
        <f t="shared" si="195"/>
        <v>0</v>
      </c>
      <c r="M161" s="534">
        <f t="shared" si="196"/>
        <v>0</v>
      </c>
      <c r="N161" s="535">
        <f t="shared" si="197"/>
        <v>0</v>
      </c>
      <c r="O161" s="73"/>
      <c r="P161" s="427"/>
      <c r="Q161" s="73"/>
      <c r="R161" s="73"/>
      <c r="S161" s="73"/>
      <c r="T161" s="550">
        <f t="shared" si="183"/>
        <v>0</v>
      </c>
    </row>
    <row r="162" spans="1:20" x14ac:dyDescent="0.25">
      <c r="A162" s="403" t="str">
        <f t="shared" si="194"/>
        <v>B4</v>
      </c>
      <c r="B162" s="56" t="str">
        <f t="shared" si="194"/>
        <v>Működési bevételek</v>
      </c>
      <c r="C162" s="427">
        <f>+'8. WAMKK'!C95</f>
        <v>1221000</v>
      </c>
      <c r="D162" s="73">
        <f>+'8. WAMKK'!D95</f>
        <v>1221000</v>
      </c>
      <c r="E162" s="73">
        <f>+'8. WAMKK'!E95</f>
        <v>1221000</v>
      </c>
      <c r="F162" s="438">
        <f>+'8. WAMKK'!F95</f>
        <v>0</v>
      </c>
      <c r="G162" s="73"/>
      <c r="H162" s="427">
        <f>+'8. WAMKK'!H95</f>
        <v>718358</v>
      </c>
      <c r="I162" s="73">
        <f>+'8. WAMKK'!I95</f>
        <v>943177</v>
      </c>
      <c r="J162" s="462">
        <f>+'8. WAMKK'!J95</f>
        <v>0</v>
      </c>
      <c r="K162" s="73"/>
      <c r="L162" s="534">
        <f t="shared" si="195"/>
        <v>0.58833579033579031</v>
      </c>
      <c r="M162" s="534">
        <f t="shared" si="196"/>
        <v>0.77246273546273547</v>
      </c>
      <c r="N162" s="535">
        <f t="shared" si="197"/>
        <v>0</v>
      </c>
      <c r="O162" s="73"/>
      <c r="P162" s="427">
        <f>+'8. WAMKK'!P95</f>
        <v>0</v>
      </c>
      <c r="Q162" s="73">
        <f>+'8. WAMKK'!Q95</f>
        <v>0</v>
      </c>
      <c r="R162" s="73">
        <f>+'8. WAMKK'!R95</f>
        <v>0</v>
      </c>
      <c r="S162" s="73">
        <f>+'8. WAMKK'!S95</f>
        <v>0</v>
      </c>
      <c r="T162" s="550">
        <f t="shared" si="183"/>
        <v>0</v>
      </c>
    </row>
    <row r="163" spans="1:20" x14ac:dyDescent="0.25">
      <c r="A163" s="403" t="str">
        <f t="shared" si="194"/>
        <v>B5</v>
      </c>
      <c r="B163" s="56" t="str">
        <f t="shared" si="194"/>
        <v>Felhalmozási bevételek</v>
      </c>
      <c r="C163" s="427"/>
      <c r="D163" s="73"/>
      <c r="E163" s="73"/>
      <c r="F163" s="438"/>
      <c r="G163" s="73"/>
      <c r="H163" s="427"/>
      <c r="I163" s="73"/>
      <c r="J163" s="462"/>
      <c r="K163" s="73"/>
      <c r="L163" s="534">
        <f t="shared" si="195"/>
        <v>0</v>
      </c>
      <c r="M163" s="534">
        <f t="shared" si="196"/>
        <v>0</v>
      </c>
      <c r="N163" s="535">
        <f t="shared" si="197"/>
        <v>0</v>
      </c>
      <c r="O163" s="73"/>
      <c r="P163" s="427"/>
      <c r="Q163" s="73"/>
      <c r="R163" s="73"/>
      <c r="S163" s="73"/>
      <c r="T163" s="550">
        <f t="shared" si="183"/>
        <v>0</v>
      </c>
    </row>
    <row r="164" spans="1:20" x14ac:dyDescent="0.25">
      <c r="A164" s="403" t="str">
        <f t="shared" si="194"/>
        <v>B6</v>
      </c>
      <c r="B164" s="56" t="str">
        <f t="shared" si="194"/>
        <v>Működési célú átvett pénzeszközök</v>
      </c>
      <c r="C164" s="427"/>
      <c r="D164" s="73"/>
      <c r="E164" s="73"/>
      <c r="F164" s="438"/>
      <c r="G164" s="73"/>
      <c r="H164" s="427"/>
      <c r="I164" s="73"/>
      <c r="J164" s="462"/>
      <c r="K164" s="73"/>
      <c r="L164" s="534">
        <f t="shared" si="195"/>
        <v>0</v>
      </c>
      <c r="M164" s="534">
        <f t="shared" si="196"/>
        <v>0</v>
      </c>
      <c r="N164" s="535">
        <f t="shared" si="197"/>
        <v>0</v>
      </c>
      <c r="O164" s="73"/>
      <c r="P164" s="427"/>
      <c r="Q164" s="73"/>
      <c r="R164" s="73"/>
      <c r="S164" s="73"/>
      <c r="T164" s="550">
        <f t="shared" si="183"/>
        <v>0</v>
      </c>
    </row>
    <row r="165" spans="1:20" x14ac:dyDescent="0.25">
      <c r="A165" s="403" t="str">
        <f t="shared" si="194"/>
        <v>B7</v>
      </c>
      <c r="B165" s="56" t="str">
        <f t="shared" si="194"/>
        <v>Felhalmozási célú átvett pénzeszközök</v>
      </c>
      <c r="C165" s="427"/>
      <c r="D165" s="73"/>
      <c r="E165" s="73"/>
      <c r="F165" s="438"/>
      <c r="G165" s="73"/>
      <c r="H165" s="427"/>
      <c r="I165" s="73"/>
      <c r="J165" s="462"/>
      <c r="K165" s="73"/>
      <c r="L165" s="534">
        <f t="shared" si="195"/>
        <v>0</v>
      </c>
      <c r="M165" s="534">
        <f t="shared" si="196"/>
        <v>0</v>
      </c>
      <c r="N165" s="535">
        <f t="shared" si="197"/>
        <v>0</v>
      </c>
      <c r="O165" s="73"/>
      <c r="P165" s="427"/>
      <c r="Q165" s="73"/>
      <c r="R165" s="73"/>
      <c r="S165" s="73"/>
      <c r="T165" s="550">
        <f t="shared" si="183"/>
        <v>0</v>
      </c>
    </row>
    <row r="166" spans="1:20" x14ac:dyDescent="0.25">
      <c r="A166" s="403" t="str">
        <f>+A139</f>
        <v>B8-ból maradványértéken túli finanszírozási bevételek</v>
      </c>
      <c r="B166" s="56"/>
      <c r="C166" s="427">
        <f>+'8. WAMKK'!C99-C167</f>
        <v>28334588</v>
      </c>
      <c r="D166" s="73">
        <f>+'8. WAMKK'!D99-D167</f>
        <v>28334588</v>
      </c>
      <c r="E166" s="73">
        <f>+'8. WAMKK'!E99-E167</f>
        <v>31608588</v>
      </c>
      <c r="F166" s="438">
        <f>+'8. WAMKK'!F99-F167</f>
        <v>0</v>
      </c>
      <c r="G166" s="73"/>
      <c r="H166" s="427">
        <f>+'8. WAMKK'!H99-H167</f>
        <v>11496302</v>
      </c>
      <c r="I166" s="73">
        <f>+'8. WAMKK'!I99-I167</f>
        <v>24377110</v>
      </c>
      <c r="J166" s="462">
        <f>+'8. WAMKK'!J99-J167</f>
        <v>0</v>
      </c>
      <c r="K166" s="73"/>
      <c r="L166" s="534">
        <f t="shared" si="195"/>
        <v>0.40573386844375503</v>
      </c>
      <c r="M166" s="534">
        <f t="shared" si="196"/>
        <v>0.77121793608749623</v>
      </c>
      <c r="N166" s="535">
        <f t="shared" si="197"/>
        <v>0</v>
      </c>
      <c r="O166" s="73"/>
      <c r="P166" s="427">
        <f>+'8. WAMKK'!P99-P167</f>
        <v>0</v>
      </c>
      <c r="Q166" s="73">
        <f>+'8. WAMKK'!Q99-Q167</f>
        <v>3274000</v>
      </c>
      <c r="R166" s="73">
        <f>+'8. WAMKK'!R99-R167</f>
        <v>0</v>
      </c>
      <c r="S166" s="73">
        <f>+'8. WAMKK'!S99-S167</f>
        <v>3274000</v>
      </c>
      <c r="T166" s="550">
        <f t="shared" si="183"/>
        <v>0.11554782444692685</v>
      </c>
    </row>
    <row r="167" spans="1:20" x14ac:dyDescent="0.25">
      <c r="A167" s="403" t="str">
        <f>+A140</f>
        <v>B8-ból előző évi mardvány igénybevétele</v>
      </c>
      <c r="B167" s="56"/>
      <c r="C167" s="427">
        <f>+'8. WAMKK'!C101</f>
        <v>706412</v>
      </c>
      <c r="D167" s="73">
        <f>+'8. WAMKK'!D101</f>
        <v>706412</v>
      </c>
      <c r="E167" s="73">
        <f>+'8. WAMKK'!E101</f>
        <v>706412</v>
      </c>
      <c r="F167" s="438">
        <f>+'8. WAMKK'!F101</f>
        <v>0</v>
      </c>
      <c r="G167" s="73"/>
      <c r="H167" s="427">
        <f>+'8. WAMKK'!H101</f>
        <v>706412</v>
      </c>
      <c r="I167" s="73">
        <f>+'8. WAMKK'!I101</f>
        <v>706412</v>
      </c>
      <c r="J167" s="462">
        <f>+'8. WAMKK'!J101</f>
        <v>0</v>
      </c>
      <c r="K167" s="73"/>
      <c r="L167" s="534">
        <f t="shared" si="195"/>
        <v>1</v>
      </c>
      <c r="M167" s="534">
        <f t="shared" si="196"/>
        <v>1</v>
      </c>
      <c r="N167" s="535">
        <f t="shared" si="197"/>
        <v>0</v>
      </c>
      <c r="O167" s="73"/>
      <c r="P167" s="427">
        <f>+'8. WAMKK'!P101</f>
        <v>0</v>
      </c>
      <c r="Q167" s="73">
        <f>+'8. WAMKK'!Q101</f>
        <v>0</v>
      </c>
      <c r="R167" s="73">
        <f>+'8. WAMKK'!R101</f>
        <v>0</v>
      </c>
      <c r="S167" s="73">
        <f>+'8. WAMKK'!S101</f>
        <v>0</v>
      </c>
      <c r="T167" s="550">
        <f t="shared" si="183"/>
        <v>0</v>
      </c>
    </row>
    <row r="168" spans="1:20" x14ac:dyDescent="0.25">
      <c r="A168" s="458"/>
      <c r="B168" s="393" t="s">
        <v>376</v>
      </c>
      <c r="C168" s="432">
        <f>SUM(C159:C167)</f>
        <v>30262000</v>
      </c>
      <c r="D168" s="394">
        <f t="shared" ref="D168" si="198">SUM(D159:D167)</f>
        <v>30262000</v>
      </c>
      <c r="E168" s="394">
        <f t="shared" ref="E168" si="199">SUM(E159:E167)</f>
        <v>33536000</v>
      </c>
      <c r="F168" s="451">
        <f t="shared" ref="F168" si="200">SUM(F159:F167)</f>
        <v>0</v>
      </c>
      <c r="G168" s="394"/>
      <c r="H168" s="432">
        <f t="shared" ref="H168" si="201">SUM(H159:H167)</f>
        <v>12921072</v>
      </c>
      <c r="I168" s="394">
        <f t="shared" ref="I168" si="202">SUM(I159:I167)</f>
        <v>26026699</v>
      </c>
      <c r="J168" s="396">
        <f t="shared" ref="J168" si="203">SUM(J159:J167)</f>
        <v>0</v>
      </c>
      <c r="K168" s="395"/>
      <c r="L168" s="546">
        <f t="shared" si="195"/>
        <v>0.42697349811644969</v>
      </c>
      <c r="M168" s="546">
        <f t="shared" si="196"/>
        <v>0.7760823890744275</v>
      </c>
      <c r="N168" s="547">
        <f t="shared" si="197"/>
        <v>0</v>
      </c>
      <c r="O168" s="395"/>
      <c r="P168" s="432">
        <f t="shared" ref="P168" si="204">SUM(P159:P167)</f>
        <v>0</v>
      </c>
      <c r="Q168" s="394">
        <f t="shared" ref="Q168" si="205">SUM(Q159:Q167)</f>
        <v>3274000</v>
      </c>
      <c r="R168" s="394">
        <f t="shared" ref="R168" si="206">SUM(R159:R167)</f>
        <v>0</v>
      </c>
      <c r="S168" s="396">
        <f t="shared" ref="S168" si="207">SUM(S159:S167)</f>
        <v>3274000</v>
      </c>
      <c r="T168" s="551">
        <f t="shared" si="183"/>
        <v>0.10818848721168461</v>
      </c>
    </row>
    <row r="169" spans="1:20" x14ac:dyDescent="0.25">
      <c r="A169" s="406"/>
      <c r="B169" s="73"/>
      <c r="C169" s="427"/>
      <c r="D169" s="73"/>
      <c r="E169" s="73"/>
      <c r="F169" s="438"/>
      <c r="G169" s="73"/>
      <c r="H169" s="427"/>
      <c r="I169" s="73"/>
      <c r="J169" s="462"/>
      <c r="K169" s="73"/>
      <c r="L169" s="534"/>
      <c r="M169" s="534"/>
      <c r="N169" s="535"/>
      <c r="O169" s="73"/>
      <c r="P169" s="427"/>
      <c r="Q169" s="73"/>
      <c r="R169" s="73"/>
      <c r="S169" s="73"/>
      <c r="T169" s="552"/>
    </row>
    <row r="170" spans="1:20" ht="13.8" thickBot="1" x14ac:dyDescent="0.3">
      <c r="A170" s="409"/>
      <c r="B170" s="410" t="s">
        <v>461</v>
      </c>
      <c r="C170" s="431">
        <f>+C168-C157</f>
        <v>0</v>
      </c>
      <c r="D170" s="411">
        <f>+D168-D157</f>
        <v>0</v>
      </c>
      <c r="E170" s="411">
        <f>+E168-E157</f>
        <v>0</v>
      </c>
      <c r="F170" s="448">
        <f>+F168-F157</f>
        <v>0</v>
      </c>
      <c r="G170" s="411"/>
      <c r="H170" s="431">
        <f>+H168-H157</f>
        <v>367307</v>
      </c>
      <c r="I170" s="411">
        <f>+I168-I157</f>
        <v>2791748</v>
      </c>
      <c r="J170" s="413">
        <f>+J168-J157</f>
        <v>0</v>
      </c>
      <c r="K170" s="412"/>
      <c r="L170" s="540">
        <f t="shared" ref="L170" si="208">IF(D170=0,0,H170/D170)</f>
        <v>0</v>
      </c>
      <c r="M170" s="540">
        <f t="shared" ref="M170" si="209">IF(E170=0,0,I170/E170)</f>
        <v>0</v>
      </c>
      <c r="N170" s="541">
        <f t="shared" ref="N170" si="210">IF(F170=0,0,J170/F170)</f>
        <v>0</v>
      </c>
      <c r="O170" s="412"/>
      <c r="P170" s="431">
        <f>+P168-P157</f>
        <v>0</v>
      </c>
      <c r="Q170" s="411">
        <f>+Q168-Q157</f>
        <v>0</v>
      </c>
      <c r="R170" s="411">
        <f>+R168-R157</f>
        <v>0</v>
      </c>
      <c r="S170" s="413">
        <f>+S168-S157</f>
        <v>0</v>
      </c>
      <c r="T170" s="553"/>
    </row>
    <row r="171" spans="1:20" x14ac:dyDescent="0.25">
      <c r="B171" s="73"/>
      <c r="C171" s="427"/>
      <c r="D171" s="73"/>
      <c r="E171" s="73"/>
      <c r="F171" s="438"/>
      <c r="G171" s="73"/>
      <c r="H171" s="427"/>
      <c r="I171" s="73"/>
      <c r="J171" s="462"/>
      <c r="K171" s="73"/>
      <c r="L171" s="534"/>
      <c r="M171" s="534"/>
      <c r="N171" s="535"/>
      <c r="O171" s="73"/>
      <c r="P171" s="427"/>
      <c r="Q171" s="73"/>
      <c r="R171" s="73"/>
      <c r="S171" s="73"/>
      <c r="T171" s="552"/>
    </row>
    <row r="172" spans="1:20" ht="13.8" thickBot="1" x14ac:dyDescent="0.3">
      <c r="B172" s="73"/>
      <c r="C172" s="427"/>
      <c r="D172" s="73"/>
      <c r="E172" s="73"/>
      <c r="F172" s="438"/>
      <c r="G172" s="73"/>
      <c r="H172" s="427"/>
      <c r="I172" s="73"/>
      <c r="J172" s="462"/>
      <c r="K172" s="73"/>
      <c r="L172" s="534"/>
      <c r="M172" s="534"/>
      <c r="N172" s="535"/>
      <c r="O172" s="73"/>
      <c r="P172" s="427"/>
      <c r="Q172" s="73"/>
      <c r="R172" s="73"/>
      <c r="S172" s="73"/>
      <c r="T172" s="552"/>
    </row>
    <row r="173" spans="1:20" ht="18" thickBot="1" x14ac:dyDescent="0.35">
      <c r="A173" s="416" t="s">
        <v>430</v>
      </c>
      <c r="B173" s="418"/>
      <c r="C173" s="427"/>
      <c r="D173" s="73"/>
      <c r="E173" s="73"/>
      <c r="F173" s="438"/>
      <c r="G173" s="73"/>
      <c r="H173" s="427"/>
      <c r="I173" s="73"/>
      <c r="J173" s="462"/>
      <c r="K173" s="73"/>
      <c r="L173" s="534"/>
      <c r="M173" s="534"/>
      <c r="N173" s="535"/>
      <c r="O173" s="73"/>
      <c r="P173" s="427"/>
      <c r="Q173" s="73"/>
      <c r="R173" s="73"/>
      <c r="S173" s="73"/>
      <c r="T173" s="552"/>
    </row>
    <row r="174" spans="1:20" x14ac:dyDescent="0.25">
      <c r="A174" s="428"/>
      <c r="B174" s="419"/>
      <c r="C174" s="428"/>
      <c r="D174" s="419"/>
      <c r="E174" s="419"/>
      <c r="F174" s="418"/>
      <c r="G174" s="419"/>
      <c r="H174" s="428"/>
      <c r="I174" s="419"/>
      <c r="J174" s="464"/>
      <c r="K174" s="419"/>
      <c r="L174" s="542"/>
      <c r="M174" s="542"/>
      <c r="N174" s="543"/>
      <c r="O174" s="419"/>
      <c r="P174" s="428"/>
      <c r="Q174" s="419"/>
      <c r="R174" s="419"/>
      <c r="S174" s="419"/>
      <c r="T174" s="554"/>
    </row>
    <row r="175" spans="1:20" x14ac:dyDescent="0.25">
      <c r="A175" s="403" t="s">
        <v>0</v>
      </c>
      <c r="B175" s="56" t="str">
        <f t="shared" ref="B175:B183" si="211">+B148</f>
        <v>Személyi juttatások</v>
      </c>
      <c r="C175" s="427">
        <f>+'9. Közp. Konyha'!C13</f>
        <v>29372000</v>
      </c>
      <c r="D175" s="73">
        <f>+'9. Közp. Konyha'!D13</f>
        <v>29372000</v>
      </c>
      <c r="E175" s="73">
        <f>+'9. Közp. Konyha'!E13</f>
        <v>29372000</v>
      </c>
      <c r="F175" s="438">
        <f>+'9. Közp. Konyha'!F13</f>
        <v>0</v>
      </c>
      <c r="G175" s="73"/>
      <c r="H175" s="427">
        <f>+'9. Közp. Konyha'!H13</f>
        <v>14524060</v>
      </c>
      <c r="I175" s="73">
        <f>+'9. Közp. Konyha'!I13</f>
        <v>22067739</v>
      </c>
      <c r="J175" s="462">
        <f>+'9. Közp. Konyha'!J13</f>
        <v>0</v>
      </c>
      <c r="K175" s="73"/>
      <c r="L175" s="534">
        <f t="shared" ref="L175:L184" si="212">IF(D175=0,0,H175/D175)</f>
        <v>0.49448658586408822</v>
      </c>
      <c r="M175" s="534">
        <f t="shared" ref="M175:M184" si="213">IF(E175=0,0,I175/E175)</f>
        <v>0.75131890916519128</v>
      </c>
      <c r="N175" s="535">
        <f t="shared" ref="N175:N184" si="214">IF(F175=0,0,J175/F175)</f>
        <v>0</v>
      </c>
      <c r="O175" s="73"/>
      <c r="P175" s="427">
        <f>+'9. Közp. Konyha'!P13</f>
        <v>0</v>
      </c>
      <c r="Q175" s="73">
        <f>+'9. Közp. Konyha'!Q13</f>
        <v>0</v>
      </c>
      <c r="R175" s="73">
        <f>+'9. Közp. Konyha'!R13</f>
        <v>0</v>
      </c>
      <c r="S175" s="73">
        <f>+'9. Közp. Konyha'!S13</f>
        <v>0</v>
      </c>
      <c r="T175" s="550">
        <f>IF(S175=0,0,S175/C175)</f>
        <v>0</v>
      </c>
    </row>
    <row r="176" spans="1:20" x14ac:dyDescent="0.25">
      <c r="A176" s="403" t="s">
        <v>26</v>
      </c>
      <c r="B176" s="56" t="str">
        <f t="shared" si="211"/>
        <v>Munkaadót terhelő járulékok és szociális hozzájárulás</v>
      </c>
      <c r="C176" s="427">
        <f>+'9. Közp. Konyha'!C29</f>
        <v>5600000</v>
      </c>
      <c r="D176" s="73">
        <f>+'9. Közp. Konyha'!D29</f>
        <v>5600000</v>
      </c>
      <c r="E176" s="73">
        <f>+'9. Közp. Konyha'!E29</f>
        <v>5600000</v>
      </c>
      <c r="F176" s="438">
        <f>+'9. Közp. Konyha'!F29</f>
        <v>0</v>
      </c>
      <c r="G176" s="73"/>
      <c r="H176" s="427">
        <f>+'9. Közp. Konyha'!H29</f>
        <v>3351913</v>
      </c>
      <c r="I176" s="73">
        <f>+'9. Közp. Konyha'!I29</f>
        <v>4719990</v>
      </c>
      <c r="J176" s="462">
        <f>+'9. Közp. Konyha'!J29</f>
        <v>0</v>
      </c>
      <c r="K176" s="73"/>
      <c r="L176" s="534">
        <f t="shared" si="212"/>
        <v>0.59855589285714283</v>
      </c>
      <c r="M176" s="534">
        <f t="shared" si="213"/>
        <v>0.8428553571428572</v>
      </c>
      <c r="N176" s="535">
        <f t="shared" si="214"/>
        <v>0</v>
      </c>
      <c r="O176" s="73"/>
      <c r="P176" s="427">
        <f>+'9. Közp. Konyha'!P29</f>
        <v>0</v>
      </c>
      <c r="Q176" s="73">
        <f>+'9. Közp. Konyha'!Q29</f>
        <v>0</v>
      </c>
      <c r="R176" s="73">
        <f>+'9. Közp. Konyha'!R29</f>
        <v>0</v>
      </c>
      <c r="S176" s="73">
        <f>+'9. Közp. Konyha'!S29</f>
        <v>0</v>
      </c>
      <c r="T176" s="550">
        <f t="shared" ref="T176:T195" si="215">IF(S176=0,0,S176/C176)</f>
        <v>0</v>
      </c>
    </row>
    <row r="177" spans="1:20" x14ac:dyDescent="0.25">
      <c r="A177" s="403" t="s">
        <v>29</v>
      </c>
      <c r="B177" s="56" t="str">
        <f t="shared" si="211"/>
        <v>Dologi kiadások</v>
      </c>
      <c r="C177" s="427">
        <f>+'9. Közp. Konyha'!C32</f>
        <v>71371000</v>
      </c>
      <c r="D177" s="73">
        <f>+'9. Közp. Konyha'!D32</f>
        <v>71371000</v>
      </c>
      <c r="E177" s="73">
        <f>+'9. Közp. Konyha'!E32</f>
        <v>71371000</v>
      </c>
      <c r="F177" s="438">
        <f>+'9. Közp. Konyha'!F32</f>
        <v>0</v>
      </c>
      <c r="G177" s="73"/>
      <c r="H177" s="427">
        <f>+'9. Közp. Konyha'!H32</f>
        <v>35582506</v>
      </c>
      <c r="I177" s="73">
        <f>+'9. Közp. Konyha'!I32</f>
        <v>44993253</v>
      </c>
      <c r="J177" s="462">
        <f>+'9. Közp. Konyha'!J32</f>
        <v>0</v>
      </c>
      <c r="K177" s="73"/>
      <c r="L177" s="534">
        <f t="shared" si="212"/>
        <v>0.49855692087822784</v>
      </c>
      <c r="M177" s="534">
        <f t="shared" si="213"/>
        <v>0.63041365540625749</v>
      </c>
      <c r="N177" s="535">
        <f t="shared" si="214"/>
        <v>0</v>
      </c>
      <c r="O177" s="73"/>
      <c r="P177" s="427">
        <f>+'9. Közp. Konyha'!P32</f>
        <v>0</v>
      </c>
      <c r="Q177" s="73">
        <f>+'9. Közp. Konyha'!Q32</f>
        <v>0</v>
      </c>
      <c r="R177" s="73">
        <f>+'9. Közp. Konyha'!R32</f>
        <v>0</v>
      </c>
      <c r="S177" s="73">
        <f>+'9. Közp. Konyha'!S32</f>
        <v>0</v>
      </c>
      <c r="T177" s="550">
        <f t="shared" si="215"/>
        <v>0</v>
      </c>
    </row>
    <row r="178" spans="1:20" x14ac:dyDescent="0.25">
      <c r="A178" s="403" t="s">
        <v>111</v>
      </c>
      <c r="B178" s="56" t="str">
        <f t="shared" si="211"/>
        <v>Elláttotak pénzbeli juttatásai</v>
      </c>
      <c r="C178" s="427"/>
      <c r="D178" s="73"/>
      <c r="E178" s="73"/>
      <c r="F178" s="438"/>
      <c r="G178" s="73"/>
      <c r="H178" s="427"/>
      <c r="I178" s="73"/>
      <c r="J178" s="462"/>
      <c r="K178" s="73"/>
      <c r="L178" s="534">
        <f t="shared" si="212"/>
        <v>0</v>
      </c>
      <c r="M178" s="534">
        <f t="shared" si="213"/>
        <v>0</v>
      </c>
      <c r="N178" s="535">
        <f t="shared" si="214"/>
        <v>0</v>
      </c>
      <c r="O178" s="73"/>
      <c r="P178" s="427"/>
      <c r="Q178" s="73"/>
      <c r="R178" s="73"/>
      <c r="S178" s="73"/>
      <c r="T178" s="550">
        <f t="shared" si="215"/>
        <v>0</v>
      </c>
    </row>
    <row r="179" spans="1:20" x14ac:dyDescent="0.25">
      <c r="A179" s="404" t="s">
        <v>375</v>
      </c>
      <c r="B179" s="56" t="str">
        <f t="shared" si="211"/>
        <v>Egyéb működési célú kiadások</v>
      </c>
      <c r="C179" s="427"/>
      <c r="D179" s="73"/>
      <c r="E179" s="73"/>
      <c r="F179" s="438"/>
      <c r="G179" s="73"/>
      <c r="H179" s="427"/>
      <c r="I179" s="73"/>
      <c r="J179" s="462"/>
      <c r="K179" s="73"/>
      <c r="L179" s="534">
        <f t="shared" si="212"/>
        <v>0</v>
      </c>
      <c r="M179" s="534">
        <f t="shared" si="213"/>
        <v>0</v>
      </c>
      <c r="N179" s="535">
        <f t="shared" si="214"/>
        <v>0</v>
      </c>
      <c r="O179" s="73"/>
      <c r="P179" s="427"/>
      <c r="Q179" s="73"/>
      <c r="R179" s="73"/>
      <c r="S179" s="73"/>
      <c r="T179" s="550">
        <f t="shared" si="215"/>
        <v>0</v>
      </c>
    </row>
    <row r="180" spans="1:20" x14ac:dyDescent="0.25">
      <c r="A180" s="403" t="s">
        <v>158</v>
      </c>
      <c r="B180" s="56" t="str">
        <f t="shared" si="211"/>
        <v>Beruházások</v>
      </c>
      <c r="C180" s="427">
        <f>+'9. Közp. Konyha'!C83</f>
        <v>0</v>
      </c>
      <c r="D180" s="73">
        <f>+'9. Közp. Konyha'!D83</f>
        <v>0</v>
      </c>
      <c r="E180" s="73">
        <f>+'9. Közp. Konyha'!E83</f>
        <v>0</v>
      </c>
      <c r="F180" s="438">
        <f>+'9. Közp. Konyha'!F83</f>
        <v>0</v>
      </c>
      <c r="G180" s="73"/>
      <c r="H180" s="427">
        <f>+'9. Közp. Konyha'!H83</f>
        <v>0</v>
      </c>
      <c r="I180" s="73">
        <f>+'9. Közp. Konyha'!I83</f>
        <v>0</v>
      </c>
      <c r="J180" s="462">
        <f>+'9. Közp. Konyha'!J83</f>
        <v>0</v>
      </c>
      <c r="K180" s="73"/>
      <c r="L180" s="534">
        <f t="shared" si="212"/>
        <v>0</v>
      </c>
      <c r="M180" s="534">
        <f t="shared" si="213"/>
        <v>0</v>
      </c>
      <c r="N180" s="535">
        <f t="shared" si="214"/>
        <v>0</v>
      </c>
      <c r="O180" s="73"/>
      <c r="P180" s="427">
        <f>+'9. Közp. Konyha'!P83</f>
        <v>0</v>
      </c>
      <c r="Q180" s="73">
        <f>+'9. Közp. Konyha'!Q83</f>
        <v>0</v>
      </c>
      <c r="R180" s="73">
        <f>+'9. Közp. Konyha'!R83</f>
        <v>0</v>
      </c>
      <c r="S180" s="73">
        <f>+'9. Közp. Konyha'!S83</f>
        <v>0</v>
      </c>
      <c r="T180" s="550">
        <f t="shared" si="215"/>
        <v>0</v>
      </c>
    </row>
    <row r="181" spans="1:20" x14ac:dyDescent="0.25">
      <c r="A181" s="403" t="s">
        <v>173</v>
      </c>
      <c r="B181" s="56" t="str">
        <f t="shared" si="211"/>
        <v>Felújítások</v>
      </c>
      <c r="C181" s="427">
        <f>+'9. Közp. Konyha'!C86</f>
        <v>0</v>
      </c>
      <c r="D181" s="73">
        <f>+'9. Közp. Konyha'!D86</f>
        <v>0</v>
      </c>
      <c r="E181" s="73">
        <f>+'9. Közp. Konyha'!E86</f>
        <v>0</v>
      </c>
      <c r="F181" s="438">
        <f>+'9. Közp. Konyha'!F86</f>
        <v>0</v>
      </c>
      <c r="G181" s="73"/>
      <c r="H181" s="427">
        <f>+'9. Közp. Konyha'!H86</f>
        <v>0</v>
      </c>
      <c r="I181" s="73">
        <f>+'9. Közp. Konyha'!I86</f>
        <v>0</v>
      </c>
      <c r="J181" s="462">
        <f>+'9. Közp. Konyha'!J86</f>
        <v>0</v>
      </c>
      <c r="K181" s="73"/>
      <c r="L181" s="534">
        <f t="shared" si="212"/>
        <v>0</v>
      </c>
      <c r="M181" s="534">
        <f t="shared" si="213"/>
        <v>0</v>
      </c>
      <c r="N181" s="535">
        <f t="shared" si="214"/>
        <v>0</v>
      </c>
      <c r="O181" s="73"/>
      <c r="P181" s="427">
        <f>+'9. Közp. Konyha'!P86</f>
        <v>0</v>
      </c>
      <c r="Q181" s="73">
        <f>+'9. Közp. Konyha'!Q86</f>
        <v>0</v>
      </c>
      <c r="R181" s="73">
        <f>+'9. Közp. Konyha'!R86</f>
        <v>0</v>
      </c>
      <c r="S181" s="73">
        <f>+'9. Közp. Konyha'!S86</f>
        <v>0</v>
      </c>
      <c r="T181" s="550">
        <f t="shared" si="215"/>
        <v>0</v>
      </c>
    </row>
    <row r="182" spans="1:20" x14ac:dyDescent="0.25">
      <c r="A182" s="403" t="s">
        <v>183</v>
      </c>
      <c r="B182" s="56" t="str">
        <f t="shared" si="211"/>
        <v>Szolgáltatások kiadásai</v>
      </c>
      <c r="C182" s="427"/>
      <c r="D182" s="73"/>
      <c r="E182" s="73"/>
      <c r="F182" s="438"/>
      <c r="G182" s="73"/>
      <c r="H182" s="427"/>
      <c r="I182" s="73"/>
      <c r="J182" s="462"/>
      <c r="K182" s="73"/>
      <c r="L182" s="534">
        <f t="shared" si="212"/>
        <v>0</v>
      </c>
      <c r="M182" s="534">
        <f t="shared" si="213"/>
        <v>0</v>
      </c>
      <c r="N182" s="535">
        <f t="shared" si="214"/>
        <v>0</v>
      </c>
      <c r="O182" s="73"/>
      <c r="P182" s="427"/>
      <c r="Q182" s="73"/>
      <c r="R182" s="73"/>
      <c r="S182" s="73"/>
      <c r="T182" s="550">
        <f t="shared" si="215"/>
        <v>0</v>
      </c>
    </row>
    <row r="183" spans="1:20" x14ac:dyDescent="0.25">
      <c r="A183" s="403" t="s">
        <v>201</v>
      </c>
      <c r="B183" s="56" t="str">
        <f t="shared" si="211"/>
        <v>Finanszírozási kiadások</v>
      </c>
      <c r="C183" s="427"/>
      <c r="D183" s="73"/>
      <c r="E183" s="73"/>
      <c r="F183" s="438"/>
      <c r="G183" s="73"/>
      <c r="H183" s="427"/>
      <c r="I183" s="73"/>
      <c r="J183" s="462"/>
      <c r="K183" s="73"/>
      <c r="L183" s="534">
        <f t="shared" si="212"/>
        <v>0</v>
      </c>
      <c r="M183" s="534">
        <f t="shared" si="213"/>
        <v>0</v>
      </c>
      <c r="N183" s="535">
        <f t="shared" si="214"/>
        <v>0</v>
      </c>
      <c r="O183" s="73"/>
      <c r="P183" s="427"/>
      <c r="Q183" s="73"/>
      <c r="R183" s="73"/>
      <c r="S183" s="73"/>
      <c r="T183" s="550">
        <f t="shared" si="215"/>
        <v>0</v>
      </c>
    </row>
    <row r="184" spans="1:20" x14ac:dyDescent="0.25">
      <c r="A184" s="405"/>
      <c r="B184" s="389" t="s">
        <v>377</v>
      </c>
      <c r="C184" s="429">
        <f>SUM(C175:C183)</f>
        <v>106343000</v>
      </c>
      <c r="D184" s="390">
        <f t="shared" ref="D184:F184" si="216">SUM(D175:D183)</f>
        <v>106343000</v>
      </c>
      <c r="E184" s="390">
        <f t="shared" si="216"/>
        <v>106343000</v>
      </c>
      <c r="F184" s="446">
        <f t="shared" si="216"/>
        <v>0</v>
      </c>
      <c r="G184" s="390"/>
      <c r="H184" s="429">
        <f t="shared" ref="H184:J184" si="217">SUM(H175:H183)</f>
        <v>53458479</v>
      </c>
      <c r="I184" s="390">
        <f t="shared" si="217"/>
        <v>71780982</v>
      </c>
      <c r="J184" s="391">
        <f t="shared" si="217"/>
        <v>0</v>
      </c>
      <c r="K184" s="205"/>
      <c r="L184" s="536">
        <f t="shared" si="212"/>
        <v>0.50269861674017091</v>
      </c>
      <c r="M184" s="536">
        <f t="shared" si="213"/>
        <v>0.67499489388112055</v>
      </c>
      <c r="N184" s="537">
        <f t="shared" si="214"/>
        <v>0</v>
      </c>
      <c r="O184" s="205"/>
      <c r="P184" s="429">
        <f t="shared" ref="P184:S184" si="218">SUM(P175:P183)</f>
        <v>0</v>
      </c>
      <c r="Q184" s="390">
        <f t="shared" si="218"/>
        <v>0</v>
      </c>
      <c r="R184" s="390">
        <f t="shared" si="218"/>
        <v>0</v>
      </c>
      <c r="S184" s="391">
        <f t="shared" si="218"/>
        <v>0</v>
      </c>
      <c r="T184" s="551">
        <f t="shared" si="215"/>
        <v>0</v>
      </c>
    </row>
    <row r="185" spans="1:20" x14ac:dyDescent="0.25">
      <c r="A185" s="406"/>
      <c r="B185" s="73"/>
      <c r="C185" s="427"/>
      <c r="D185" s="73"/>
      <c r="E185" s="73"/>
      <c r="F185" s="438"/>
      <c r="G185" s="73"/>
      <c r="H185" s="427"/>
      <c r="I185" s="73"/>
      <c r="J185" s="462"/>
      <c r="K185" s="73"/>
      <c r="L185" s="534"/>
      <c r="M185" s="534"/>
      <c r="N185" s="535"/>
      <c r="O185" s="73"/>
      <c r="P185" s="427"/>
      <c r="Q185" s="73"/>
      <c r="R185" s="73"/>
      <c r="S185" s="73"/>
      <c r="T185" s="550"/>
    </row>
    <row r="186" spans="1:20" x14ac:dyDescent="0.25">
      <c r="A186" s="403" t="str">
        <f>+A159</f>
        <v>B1</v>
      </c>
      <c r="B186" s="56" t="str">
        <f>+B159</f>
        <v>Működési célú tám-ok államháztartáson belülről</v>
      </c>
      <c r="C186" s="427">
        <f>+'9. Közp. Konyha'!C93</f>
        <v>0</v>
      </c>
      <c r="D186" s="73">
        <f>+'9. Közp. Konyha'!D93</f>
        <v>0</v>
      </c>
      <c r="E186" s="73">
        <f>+'9. Közp. Konyha'!E93</f>
        <v>0</v>
      </c>
      <c r="F186" s="438">
        <f>+'9. Közp. Konyha'!F93</f>
        <v>0</v>
      </c>
      <c r="G186" s="73"/>
      <c r="H186" s="427">
        <f>+'9. Közp. Konyha'!H93</f>
        <v>0</v>
      </c>
      <c r="I186" s="73">
        <f>+'9. Közp. Konyha'!I93</f>
        <v>388680</v>
      </c>
      <c r="J186" s="462">
        <f>+'9. Közp. Konyha'!J93</f>
        <v>0</v>
      </c>
      <c r="K186" s="73"/>
      <c r="L186" s="534">
        <f t="shared" ref="L186:L195" si="219">IF(D186=0,0,H186/D186)</f>
        <v>0</v>
      </c>
      <c r="M186" s="534">
        <f t="shared" ref="M186:M195" si="220">IF(E186=0,0,I186/E186)</f>
        <v>0</v>
      </c>
      <c r="N186" s="535">
        <f t="shared" ref="N186:N195" si="221">IF(F186=0,0,J186/F186)</f>
        <v>0</v>
      </c>
      <c r="O186" s="73"/>
      <c r="P186" s="427">
        <f>+'9. Közp. Konyha'!P93</f>
        <v>0</v>
      </c>
      <c r="Q186" s="73">
        <f>+'9. Közp. Konyha'!Q93</f>
        <v>0</v>
      </c>
      <c r="R186" s="73">
        <f>+'9. Közp. Konyha'!R93</f>
        <v>0</v>
      </c>
      <c r="S186" s="73">
        <f>+'9. Közp. Konyha'!S93</f>
        <v>0</v>
      </c>
      <c r="T186" s="550">
        <f t="shared" si="215"/>
        <v>0</v>
      </c>
    </row>
    <row r="187" spans="1:20" x14ac:dyDescent="0.25">
      <c r="A187" s="403" t="str">
        <f t="shared" ref="A187:B187" si="222">+A160</f>
        <v>B2</v>
      </c>
      <c r="B187" s="56" t="str">
        <f t="shared" si="222"/>
        <v>Felhalmozási célú tám-ok államházt-on belülről</v>
      </c>
      <c r="C187" s="427"/>
      <c r="D187" s="73"/>
      <c r="E187" s="73"/>
      <c r="F187" s="438"/>
      <c r="G187" s="73"/>
      <c r="H187" s="427"/>
      <c r="I187" s="73"/>
      <c r="J187" s="462"/>
      <c r="K187" s="73"/>
      <c r="L187" s="534">
        <f t="shared" si="219"/>
        <v>0</v>
      </c>
      <c r="M187" s="534">
        <f t="shared" si="220"/>
        <v>0</v>
      </c>
      <c r="N187" s="535">
        <f t="shared" si="221"/>
        <v>0</v>
      </c>
      <c r="O187" s="73"/>
      <c r="P187" s="427"/>
      <c r="Q187" s="73"/>
      <c r="R187" s="73"/>
      <c r="S187" s="73"/>
      <c r="T187" s="550">
        <f t="shared" si="215"/>
        <v>0</v>
      </c>
    </row>
    <row r="188" spans="1:20" x14ac:dyDescent="0.25">
      <c r="A188" s="403" t="str">
        <f t="shared" ref="A188:B188" si="223">+A161</f>
        <v>B3</v>
      </c>
      <c r="B188" s="56" t="str">
        <f t="shared" si="223"/>
        <v>Közhatalmi bevételek</v>
      </c>
      <c r="C188" s="427"/>
      <c r="D188" s="73"/>
      <c r="E188" s="73"/>
      <c r="F188" s="438"/>
      <c r="G188" s="73"/>
      <c r="H188" s="427"/>
      <c r="I188" s="73"/>
      <c r="J188" s="462"/>
      <c r="K188" s="73"/>
      <c r="L188" s="534">
        <f t="shared" si="219"/>
        <v>0</v>
      </c>
      <c r="M188" s="534">
        <f t="shared" si="220"/>
        <v>0</v>
      </c>
      <c r="N188" s="535">
        <f t="shared" si="221"/>
        <v>0</v>
      </c>
      <c r="O188" s="73"/>
      <c r="P188" s="427"/>
      <c r="Q188" s="73"/>
      <c r="R188" s="73"/>
      <c r="S188" s="73"/>
      <c r="T188" s="550">
        <f t="shared" si="215"/>
        <v>0</v>
      </c>
    </row>
    <row r="189" spans="1:20" x14ac:dyDescent="0.25">
      <c r="A189" s="403" t="str">
        <f t="shared" ref="A189:B189" si="224">+A162</f>
        <v>B4</v>
      </c>
      <c r="B189" s="56" t="str">
        <f t="shared" si="224"/>
        <v>Működési bevételek</v>
      </c>
      <c r="C189" s="427">
        <f>+'9. Közp. Konyha'!C95</f>
        <v>30135000</v>
      </c>
      <c r="D189" s="73">
        <f>+'9. Közp. Konyha'!D95</f>
        <v>30135000</v>
      </c>
      <c r="E189" s="73">
        <f>+'9. Közp. Konyha'!E95</f>
        <v>30135000</v>
      </c>
      <c r="F189" s="438">
        <f>+'9. Közp. Konyha'!F95</f>
        <v>0</v>
      </c>
      <c r="G189" s="73"/>
      <c r="H189" s="427">
        <f>+'9. Közp. Konyha'!H95</f>
        <v>13819359</v>
      </c>
      <c r="I189" s="73">
        <f>+'9. Közp. Konyha'!I95</f>
        <v>18954964</v>
      </c>
      <c r="J189" s="462">
        <f>+'9. Közp. Konyha'!J95</f>
        <v>0</v>
      </c>
      <c r="K189" s="73"/>
      <c r="L189" s="534">
        <f t="shared" si="219"/>
        <v>0.45858168242906922</v>
      </c>
      <c r="M189" s="534">
        <f t="shared" si="220"/>
        <v>0.6290016260162602</v>
      </c>
      <c r="N189" s="535">
        <f t="shared" si="221"/>
        <v>0</v>
      </c>
      <c r="O189" s="73"/>
      <c r="P189" s="427">
        <f>+'9. Közp. Konyha'!P95</f>
        <v>0</v>
      </c>
      <c r="Q189" s="73">
        <f>+'9. Közp. Konyha'!Q95</f>
        <v>0</v>
      </c>
      <c r="R189" s="73">
        <f>+'9. Közp. Konyha'!R95</f>
        <v>0</v>
      </c>
      <c r="S189" s="73">
        <f>+'9. Közp. Konyha'!S95</f>
        <v>0</v>
      </c>
      <c r="T189" s="550">
        <f t="shared" si="215"/>
        <v>0</v>
      </c>
    </row>
    <row r="190" spans="1:20" x14ac:dyDescent="0.25">
      <c r="A190" s="403" t="str">
        <f t="shared" ref="A190:B190" si="225">+A163</f>
        <v>B5</v>
      </c>
      <c r="B190" s="56" t="str">
        <f t="shared" si="225"/>
        <v>Felhalmozási bevételek</v>
      </c>
      <c r="C190" s="427"/>
      <c r="D190" s="73"/>
      <c r="E190" s="73"/>
      <c r="F190" s="438"/>
      <c r="G190" s="73"/>
      <c r="H190" s="427"/>
      <c r="I190" s="73"/>
      <c r="J190" s="462"/>
      <c r="K190" s="73"/>
      <c r="L190" s="534">
        <f t="shared" si="219"/>
        <v>0</v>
      </c>
      <c r="M190" s="534">
        <f t="shared" si="220"/>
        <v>0</v>
      </c>
      <c r="N190" s="535">
        <f t="shared" si="221"/>
        <v>0</v>
      </c>
      <c r="O190" s="73"/>
      <c r="P190" s="427"/>
      <c r="Q190" s="73"/>
      <c r="R190" s="73"/>
      <c r="S190" s="73"/>
      <c r="T190" s="550">
        <f t="shared" si="215"/>
        <v>0</v>
      </c>
    </row>
    <row r="191" spans="1:20" x14ac:dyDescent="0.25">
      <c r="A191" s="403" t="str">
        <f t="shared" ref="A191:B191" si="226">+A164</f>
        <v>B6</v>
      </c>
      <c r="B191" s="56" t="str">
        <f t="shared" si="226"/>
        <v>Működési célú átvett pénzeszközök</v>
      </c>
      <c r="C191" s="427"/>
      <c r="D191" s="73"/>
      <c r="E191" s="73"/>
      <c r="F191" s="438"/>
      <c r="G191" s="73"/>
      <c r="H191" s="427"/>
      <c r="I191" s="73"/>
      <c r="J191" s="462"/>
      <c r="K191" s="73"/>
      <c r="L191" s="534">
        <f t="shared" si="219"/>
        <v>0</v>
      </c>
      <c r="M191" s="534">
        <f t="shared" si="220"/>
        <v>0</v>
      </c>
      <c r="N191" s="535">
        <f t="shared" si="221"/>
        <v>0</v>
      </c>
      <c r="O191" s="73"/>
      <c r="P191" s="427"/>
      <c r="Q191" s="73"/>
      <c r="R191" s="73"/>
      <c r="S191" s="73"/>
      <c r="T191" s="550">
        <f t="shared" si="215"/>
        <v>0</v>
      </c>
    </row>
    <row r="192" spans="1:20" x14ac:dyDescent="0.25">
      <c r="A192" s="403" t="str">
        <f t="shared" ref="A192:B192" si="227">+A165</f>
        <v>B7</v>
      </c>
      <c r="B192" s="56" t="str">
        <f t="shared" si="227"/>
        <v>Felhalmozási célú átvett pénzeszközök</v>
      </c>
      <c r="C192" s="427"/>
      <c r="D192" s="73"/>
      <c r="E192" s="73"/>
      <c r="F192" s="438"/>
      <c r="G192" s="73"/>
      <c r="H192" s="427"/>
      <c r="I192" s="73"/>
      <c r="J192" s="462"/>
      <c r="K192" s="73"/>
      <c r="L192" s="534">
        <f t="shared" si="219"/>
        <v>0</v>
      </c>
      <c r="M192" s="534">
        <f t="shared" si="220"/>
        <v>0</v>
      </c>
      <c r="N192" s="535">
        <f t="shared" si="221"/>
        <v>0</v>
      </c>
      <c r="O192" s="73"/>
      <c r="P192" s="427"/>
      <c r="Q192" s="73"/>
      <c r="R192" s="73"/>
      <c r="S192" s="73"/>
      <c r="T192" s="550">
        <f t="shared" si="215"/>
        <v>0</v>
      </c>
    </row>
    <row r="193" spans="1:20" x14ac:dyDescent="0.25">
      <c r="A193" s="403" t="str">
        <f t="shared" ref="A193" si="228">+A166</f>
        <v>B8-ból maradványértéken túli finanszírozási bevételek</v>
      </c>
      <c r="B193" s="56"/>
      <c r="C193" s="427">
        <f>+'9. Közp. Konyha'!C99-C194</f>
        <v>71398746</v>
      </c>
      <c r="D193" s="73">
        <f>+'9. Közp. Konyha'!D99-D194</f>
        <v>71398746</v>
      </c>
      <c r="E193" s="73">
        <f>+'9. Közp. Konyha'!E99-E194</f>
        <v>71398746</v>
      </c>
      <c r="F193" s="438">
        <f>+'9. Közp. Konyha'!F99-F194</f>
        <v>0</v>
      </c>
      <c r="G193" s="73"/>
      <c r="H193" s="427">
        <f>+'9. Közp. Konyha'!H99-H194</f>
        <v>38562308</v>
      </c>
      <c r="I193" s="73">
        <f>+'9. Közp. Konyha'!I99-I194</f>
        <v>52378460</v>
      </c>
      <c r="J193" s="462">
        <f>+'9. Közp. Konyha'!J99-J194</f>
        <v>0</v>
      </c>
      <c r="K193" s="73"/>
      <c r="L193" s="534">
        <f t="shared" si="219"/>
        <v>0.54009783309079407</v>
      </c>
      <c r="M193" s="534">
        <f t="shared" si="220"/>
        <v>0.73360476106961314</v>
      </c>
      <c r="N193" s="535">
        <f t="shared" si="221"/>
        <v>0</v>
      </c>
      <c r="O193" s="73"/>
      <c r="P193" s="427">
        <f>+'9. Közp. Konyha'!P99-P194</f>
        <v>0</v>
      </c>
      <c r="Q193" s="73">
        <f>+'9. Közp. Konyha'!Q99-Q194</f>
        <v>0</v>
      </c>
      <c r="R193" s="73">
        <f>+'9. Közp. Konyha'!R99-R194</f>
        <v>0</v>
      </c>
      <c r="S193" s="73">
        <f>+'9. Közp. Konyha'!S99-S194</f>
        <v>0</v>
      </c>
      <c r="T193" s="550">
        <f t="shared" si="215"/>
        <v>0</v>
      </c>
    </row>
    <row r="194" spans="1:20" x14ac:dyDescent="0.25">
      <c r="A194" s="403" t="str">
        <f t="shared" ref="A194" si="229">+A167</f>
        <v>B8-ból előző évi mardvány igénybevétele</v>
      </c>
      <c r="B194" s="56"/>
      <c r="C194" s="427">
        <f>+'9. Közp. Konyha'!C101</f>
        <v>4809254</v>
      </c>
      <c r="D194" s="73">
        <f>+'9. Közp. Konyha'!D101</f>
        <v>4809254</v>
      </c>
      <c r="E194" s="73">
        <f>+'9. Közp. Konyha'!E101</f>
        <v>4809254</v>
      </c>
      <c r="F194" s="438">
        <f>+'9. Közp. Konyha'!F101</f>
        <v>0</v>
      </c>
      <c r="G194" s="73"/>
      <c r="H194" s="427">
        <f>+'9. Közp. Konyha'!H101</f>
        <v>4809254</v>
      </c>
      <c r="I194" s="73">
        <f>+'9. Közp. Konyha'!I101</f>
        <v>4809254</v>
      </c>
      <c r="J194" s="462">
        <f>+'9. Közp. Konyha'!J101</f>
        <v>0</v>
      </c>
      <c r="K194" s="73"/>
      <c r="L194" s="534">
        <f t="shared" si="219"/>
        <v>1</v>
      </c>
      <c r="M194" s="534">
        <f t="shared" si="220"/>
        <v>1</v>
      </c>
      <c r="N194" s="535">
        <f t="shared" si="221"/>
        <v>0</v>
      </c>
      <c r="O194" s="73"/>
      <c r="P194" s="427">
        <f>+'9. Közp. Konyha'!P101</f>
        <v>0</v>
      </c>
      <c r="Q194" s="73">
        <f>+'9. Közp. Konyha'!Q101</f>
        <v>0</v>
      </c>
      <c r="R194" s="73">
        <f>+'9. Közp. Konyha'!R101</f>
        <v>0</v>
      </c>
      <c r="S194" s="73">
        <f>+'9. Közp. Konyha'!S101</f>
        <v>0</v>
      </c>
      <c r="T194" s="550">
        <f t="shared" si="215"/>
        <v>0</v>
      </c>
    </row>
    <row r="195" spans="1:20" x14ac:dyDescent="0.25">
      <c r="A195" s="407"/>
      <c r="B195" s="389" t="s">
        <v>376</v>
      </c>
      <c r="C195" s="429">
        <f>SUM(C186:C194)</f>
        <v>106343000</v>
      </c>
      <c r="D195" s="390">
        <f t="shared" ref="D195" si="230">SUM(D186:D194)</f>
        <v>106343000</v>
      </c>
      <c r="E195" s="390">
        <f t="shared" ref="E195" si="231">SUM(E186:E194)</f>
        <v>106343000</v>
      </c>
      <c r="F195" s="446">
        <f t="shared" ref="F195" si="232">SUM(F186:F194)</f>
        <v>0</v>
      </c>
      <c r="G195" s="390"/>
      <c r="H195" s="429">
        <f t="shared" ref="H195" si="233">SUM(H186:H194)</f>
        <v>57190921</v>
      </c>
      <c r="I195" s="390">
        <f t="shared" ref="I195" si="234">SUM(I186:I194)</f>
        <v>76531358</v>
      </c>
      <c r="J195" s="391">
        <f t="shared" ref="J195" si="235">SUM(J186:J194)</f>
        <v>0</v>
      </c>
      <c r="K195" s="392"/>
      <c r="L195" s="538">
        <f t="shared" si="219"/>
        <v>0.53779676142294275</v>
      </c>
      <c r="M195" s="538">
        <f t="shared" si="220"/>
        <v>0.71966521538794281</v>
      </c>
      <c r="N195" s="539">
        <f t="shared" si="221"/>
        <v>0</v>
      </c>
      <c r="O195" s="392"/>
      <c r="P195" s="429">
        <f t="shared" ref="P195" si="236">SUM(P186:P194)</f>
        <v>0</v>
      </c>
      <c r="Q195" s="390">
        <f t="shared" ref="Q195" si="237">SUM(Q186:Q194)</f>
        <v>0</v>
      </c>
      <c r="R195" s="390">
        <f t="shared" ref="R195" si="238">SUM(R186:R194)</f>
        <v>0</v>
      </c>
      <c r="S195" s="391">
        <f t="shared" ref="S195" si="239">SUM(S186:S194)</f>
        <v>0</v>
      </c>
      <c r="T195" s="551">
        <f t="shared" si="215"/>
        <v>0</v>
      </c>
    </row>
    <row r="196" spans="1:20" x14ac:dyDescent="0.25">
      <c r="A196" s="406"/>
      <c r="C196" s="406"/>
      <c r="F196" s="449"/>
      <c r="H196" s="406"/>
      <c r="J196" s="460"/>
      <c r="L196" s="534"/>
      <c r="M196" s="534"/>
      <c r="N196" s="535"/>
      <c r="P196" s="406"/>
      <c r="T196" s="552"/>
    </row>
    <row r="197" spans="1:20" ht="13.8" thickBot="1" x14ac:dyDescent="0.3">
      <c r="A197" s="409"/>
      <c r="B197" s="410" t="s">
        <v>461</v>
      </c>
      <c r="C197" s="431">
        <f>+C195-C184</f>
        <v>0</v>
      </c>
      <c r="D197" s="411">
        <f>+D195-D184</f>
        <v>0</v>
      </c>
      <c r="E197" s="411">
        <f>+E195-E184</f>
        <v>0</v>
      </c>
      <c r="F197" s="448">
        <f>+F195-F184</f>
        <v>0</v>
      </c>
      <c r="G197" s="411"/>
      <c r="H197" s="431">
        <f>+H195-H184</f>
        <v>3732442</v>
      </c>
      <c r="I197" s="411">
        <f>+I195-I184</f>
        <v>4750376</v>
      </c>
      <c r="J197" s="413">
        <f>+J195-J184</f>
        <v>0</v>
      </c>
      <c r="K197" s="412"/>
      <c r="L197" s="540">
        <f t="shared" ref="L197" si="240">IF(D197=0,0,H197/D197)</f>
        <v>0</v>
      </c>
      <c r="M197" s="540">
        <f t="shared" ref="M197" si="241">IF(E197=0,0,I197/E197)</f>
        <v>0</v>
      </c>
      <c r="N197" s="541">
        <f t="shared" ref="N197" si="242">IF(F197=0,0,J197/F197)</f>
        <v>0</v>
      </c>
      <c r="O197" s="412"/>
      <c r="P197" s="431">
        <f>+P195-P184</f>
        <v>0</v>
      </c>
      <c r="Q197" s="411">
        <f>+Q195-Q184</f>
        <v>0</v>
      </c>
      <c r="R197" s="411">
        <f>+R195-R184</f>
        <v>0</v>
      </c>
      <c r="S197" s="413">
        <f>+S195-S184</f>
        <v>0</v>
      </c>
      <c r="T197" s="553"/>
    </row>
    <row r="198" spans="1:20" ht="13.8" thickBot="1" x14ac:dyDescent="0.3">
      <c r="C198" s="433"/>
      <c r="D198" s="439"/>
      <c r="E198" s="439"/>
      <c r="F198" s="452"/>
      <c r="H198" s="433"/>
      <c r="I198" s="439"/>
      <c r="J198" s="465"/>
      <c r="K198" s="439"/>
      <c r="L198" s="548"/>
      <c r="M198" s="548"/>
      <c r="N198" s="549"/>
      <c r="P198" s="433"/>
      <c r="Q198" s="434"/>
      <c r="R198" s="434"/>
      <c r="S198" s="434"/>
      <c r="T198" s="553"/>
    </row>
    <row r="199" spans="1:20" x14ac:dyDescent="0.25">
      <c r="L199" s="534"/>
      <c r="M199" s="534"/>
      <c r="N199" s="534"/>
      <c r="T199" s="555"/>
    </row>
    <row r="200" spans="1:20" x14ac:dyDescent="0.25">
      <c r="T200" s="555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15748031496062992" bottom="0" header="0.31496062992125984" footer="0.31496062992125984"/>
  <pageSetup paperSize="9" scale="71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55"/>
  <sheetViews>
    <sheetView zoomScale="85" zoomScaleNormal="85" workbookViewId="0">
      <selection activeCell="F9" sqref="F9"/>
    </sheetView>
  </sheetViews>
  <sheetFormatPr defaultRowHeight="13.2" x14ac:dyDescent="0.25"/>
  <cols>
    <col min="1" max="1" width="6.33203125" style="13" bestFit="1" customWidth="1"/>
    <col min="2" max="2" width="47.6640625" style="13" bestFit="1" customWidth="1"/>
    <col min="3" max="4" width="18.5546875" style="17" customWidth="1"/>
    <col min="5" max="5" width="18.5546875" style="13" customWidth="1"/>
    <col min="6" max="6" width="18.5546875" style="13" hidden="1" customWidth="1"/>
    <col min="7" max="7" width="1.5546875" style="13" customWidth="1"/>
    <col min="8" max="9" width="16.33203125" style="13" customWidth="1"/>
    <col min="10" max="10" width="16.33203125" style="13" hidden="1" customWidth="1"/>
    <col min="11" max="11" width="1.5546875" style="13" customWidth="1"/>
    <col min="12" max="12" width="14.5546875" style="13" customWidth="1"/>
    <col min="13" max="13" width="13.6640625" style="13" customWidth="1"/>
    <col min="14" max="14" width="14.6640625" style="13" hidden="1" customWidth="1"/>
    <col min="15" max="15" width="1.5546875" style="13" customWidth="1"/>
    <col min="16" max="17" width="18.5546875" style="13" customWidth="1"/>
    <col min="18" max="18" width="18.5546875" style="13" hidden="1" customWidth="1"/>
    <col min="19" max="19" width="18.5546875" style="13" customWidth="1"/>
    <col min="20" max="20" width="10.5546875" customWidth="1"/>
    <col min="21" max="21" width="1.5546875" style="13" customWidth="1"/>
    <col min="22" max="22" width="2.44140625" customWidth="1"/>
  </cols>
  <sheetData>
    <row r="1" spans="1:22" ht="24.6" x14ac:dyDescent="0.4">
      <c r="A1" s="883" t="s">
        <v>539</v>
      </c>
      <c r="B1" s="884"/>
      <c r="C1" s="884"/>
      <c r="D1" s="884"/>
      <c r="E1" s="884"/>
      <c r="F1" s="884"/>
      <c r="G1" s="63"/>
      <c r="H1" s="63"/>
      <c r="J1" s="225" t="s">
        <v>569</v>
      </c>
      <c r="K1" s="226"/>
      <c r="L1" s="226"/>
      <c r="M1" s="63"/>
      <c r="N1" s="63"/>
      <c r="O1" s="63"/>
      <c r="Q1" s="63"/>
      <c r="R1" s="63"/>
      <c r="S1" s="63"/>
      <c r="U1" s="63"/>
    </row>
    <row r="2" spans="1:22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U2" s="63"/>
    </row>
    <row r="3" spans="1:22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3"/>
    </row>
    <row r="4" spans="1:22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U4" s="63"/>
    </row>
    <row r="5" spans="1:22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U5" s="63"/>
    </row>
    <row r="6" spans="1:22" ht="16.350000000000001" customHeight="1" x14ac:dyDescent="0.25">
      <c r="A6" s="903" t="s">
        <v>373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5"/>
      <c r="O6" s="905"/>
      <c r="P6" s="905"/>
      <c r="Q6" s="905"/>
      <c r="R6" s="905"/>
      <c r="S6" s="905"/>
      <c r="T6" s="905"/>
      <c r="U6" s="905"/>
      <c r="V6" s="906"/>
    </row>
    <row r="7" spans="1:22" ht="16.350000000000001" customHeight="1" x14ac:dyDescent="0.3">
      <c r="A7" s="168"/>
      <c r="B7" s="169"/>
      <c r="C7" s="897" t="s">
        <v>410</v>
      </c>
      <c r="D7" s="898"/>
      <c r="E7" s="898"/>
      <c r="F7" s="899"/>
      <c r="G7" s="170"/>
      <c r="H7" s="897" t="s">
        <v>420</v>
      </c>
      <c r="I7" s="907"/>
      <c r="J7" s="907"/>
      <c r="K7" s="907"/>
      <c r="L7" s="907"/>
      <c r="M7" s="907"/>
      <c r="N7" s="908"/>
      <c r="O7" s="170"/>
      <c r="P7" s="897" t="s">
        <v>406</v>
      </c>
      <c r="Q7" s="898"/>
      <c r="R7" s="898"/>
      <c r="S7" s="898"/>
      <c r="T7" s="899"/>
      <c r="U7" s="171"/>
      <c r="V7" s="878" t="s">
        <v>412</v>
      </c>
    </row>
    <row r="8" spans="1:22" ht="16.350000000000001" customHeight="1" x14ac:dyDescent="0.25">
      <c r="A8" s="172"/>
      <c r="B8" s="130"/>
      <c r="C8" s="151"/>
      <c r="D8" s="151"/>
      <c r="E8" s="156"/>
      <c r="F8" s="156"/>
      <c r="G8" s="156"/>
      <c r="H8" s="900" t="s">
        <v>422</v>
      </c>
      <c r="I8" s="901"/>
      <c r="J8" s="902"/>
      <c r="K8" s="173"/>
      <c r="L8" s="900" t="s">
        <v>421</v>
      </c>
      <c r="M8" s="901"/>
      <c r="N8" s="902"/>
      <c r="O8" s="156"/>
      <c r="P8" s="372">
        <v>1</v>
      </c>
      <c r="Q8" s="373">
        <v>1</v>
      </c>
      <c r="R8" s="373">
        <v>0</v>
      </c>
      <c r="S8" s="174"/>
      <c r="T8" s="174"/>
      <c r="U8" s="162"/>
      <c r="V8" s="881"/>
    </row>
    <row r="9" spans="1:22" ht="51" x14ac:dyDescent="0.25">
      <c r="A9" s="182" t="s">
        <v>424</v>
      </c>
      <c r="B9" s="188" t="s">
        <v>370</v>
      </c>
      <c r="C9" s="183" t="s">
        <v>550</v>
      </c>
      <c r="D9" s="184" t="s">
        <v>551</v>
      </c>
      <c r="E9" s="184" t="s">
        <v>552</v>
      </c>
      <c r="F9" s="184" t="s">
        <v>633</v>
      </c>
      <c r="G9" s="184"/>
      <c r="H9" s="185" t="s">
        <v>570</v>
      </c>
      <c r="I9" s="185" t="s">
        <v>571</v>
      </c>
      <c r="J9" s="185" t="s">
        <v>511</v>
      </c>
      <c r="K9" s="184"/>
      <c r="L9" s="186" t="s">
        <v>572</v>
      </c>
      <c r="M9" s="186" t="s">
        <v>573</v>
      </c>
      <c r="N9" s="186" t="s">
        <v>512</v>
      </c>
      <c r="O9" s="185"/>
      <c r="P9" s="185" t="s">
        <v>557</v>
      </c>
      <c r="Q9" s="185" t="s">
        <v>558</v>
      </c>
      <c r="R9" s="185" t="s">
        <v>513</v>
      </c>
      <c r="S9" s="185" t="s">
        <v>407</v>
      </c>
      <c r="T9" s="186" t="s">
        <v>408</v>
      </c>
      <c r="U9" s="187" t="s">
        <v>412</v>
      </c>
      <c r="V9" s="882"/>
    </row>
    <row r="10" spans="1:22" x14ac:dyDescent="0.25">
      <c r="A10" s="34" t="s">
        <v>241</v>
      </c>
      <c r="B10" s="18" t="s">
        <v>242</v>
      </c>
      <c r="C10" s="160">
        <f>+'bevételi segédtábla'!C13</f>
        <v>572340889</v>
      </c>
      <c r="D10" s="160">
        <f>+'bevételi segédtábla'!D13</f>
        <v>583546237</v>
      </c>
      <c r="E10" s="160">
        <f>+'bevételi segédtábla'!E13</f>
        <v>583793086</v>
      </c>
      <c r="F10" s="160">
        <f>+'bevételi segédtábla'!F13</f>
        <v>0</v>
      </c>
      <c r="G10" s="160"/>
      <c r="H10" s="160">
        <f>+'bevételi segédtábla'!H13</f>
        <v>304959425</v>
      </c>
      <c r="I10" s="160">
        <f>+'bevételi segédtábla'!I13</f>
        <v>464974939</v>
      </c>
      <c r="J10" s="160">
        <f>+'bevételi segédtábla'!J13</f>
        <v>0</v>
      </c>
      <c r="K10" s="160"/>
      <c r="L10" s="732">
        <f>H10/D10</f>
        <v>0.52259684951065843</v>
      </c>
      <c r="M10" s="732">
        <f>I10/E10</f>
        <v>0.79647215794535808</v>
      </c>
      <c r="N10" s="732" t="e">
        <f>J10/F10</f>
        <v>#DIV/0!</v>
      </c>
      <c r="O10" s="733"/>
      <c r="P10" s="160">
        <f>+'bevételi segédtábla'!P13</f>
        <v>11205348</v>
      </c>
      <c r="Q10" s="160">
        <f>+'bevételi segédtábla'!Q13</f>
        <v>246849</v>
      </c>
      <c r="R10" s="160">
        <f>+'bevételi segédtábla'!R13</f>
        <v>0</v>
      </c>
      <c r="S10" s="160">
        <f>+'bevételi segédtábla'!S13</f>
        <v>11452197</v>
      </c>
      <c r="T10" s="176">
        <f>IF(C10=0,0,+S10/C10)</f>
        <v>2.0009398629563926E-2</v>
      </c>
      <c r="U10" s="160"/>
      <c r="V10" s="179">
        <f>+S10-E10+C10</f>
        <v>0</v>
      </c>
    </row>
    <row r="11" spans="1:22" x14ac:dyDescent="0.25">
      <c r="A11" s="34" t="s">
        <v>262</v>
      </c>
      <c r="B11" s="18" t="s">
        <v>263</v>
      </c>
      <c r="C11" s="160">
        <f>+'bevételi segédtábla'!C14</f>
        <v>285600000</v>
      </c>
      <c r="D11" s="160">
        <f>+'bevételi segédtábla'!D14</f>
        <v>285600000</v>
      </c>
      <c r="E11" s="160">
        <f>+'bevételi segédtábla'!E14</f>
        <v>285600000</v>
      </c>
      <c r="F11" s="160">
        <f>+'bevételi segédtábla'!F14</f>
        <v>0</v>
      </c>
      <c r="G11" s="160"/>
      <c r="H11" s="160">
        <f>+'bevételi segédtábla'!H14</f>
        <v>52664113</v>
      </c>
      <c r="I11" s="160">
        <f>+'bevételi segédtábla'!I14</f>
        <v>50464113</v>
      </c>
      <c r="J11" s="160">
        <f>+'bevételi segédtábla'!J14</f>
        <v>0</v>
      </c>
      <c r="K11" s="160"/>
      <c r="L11" s="732">
        <f t="shared" ref="L11:N17" si="0">H11/D11</f>
        <v>0.18439815476190477</v>
      </c>
      <c r="M11" s="732">
        <f t="shared" si="0"/>
        <v>0.17669507352941177</v>
      </c>
      <c r="N11" s="732" t="e">
        <f t="shared" si="0"/>
        <v>#DIV/0!</v>
      </c>
      <c r="O11" s="733"/>
      <c r="P11" s="160">
        <f>+'bevételi segédtábla'!P14</f>
        <v>0</v>
      </c>
      <c r="Q11" s="160">
        <f>+'bevételi segédtábla'!Q14</f>
        <v>0</v>
      </c>
      <c r="R11" s="160">
        <f>+'bevételi segédtábla'!R14</f>
        <v>0</v>
      </c>
      <c r="S11" s="160">
        <f>+'bevételi segédtábla'!S14</f>
        <v>0</v>
      </c>
      <c r="T11" s="176">
        <f t="shared" ref="T11:T19" si="1">IF(C11=0,0,+S11/C11)</f>
        <v>0</v>
      </c>
      <c r="U11" s="160"/>
      <c r="V11" s="179">
        <f t="shared" ref="V11:V19" si="2">+S11-E11+C11</f>
        <v>0</v>
      </c>
    </row>
    <row r="12" spans="1:22" x14ac:dyDescent="0.25">
      <c r="A12" s="34" t="s">
        <v>270</v>
      </c>
      <c r="B12" s="18" t="s">
        <v>271</v>
      </c>
      <c r="C12" s="160">
        <f>+'bevételi segédtábla'!C15</f>
        <v>238500000</v>
      </c>
      <c r="D12" s="160">
        <f>+'bevételi segédtábla'!D15</f>
        <v>238500000</v>
      </c>
      <c r="E12" s="160">
        <f>+'bevételi segédtábla'!E15</f>
        <v>238500000</v>
      </c>
      <c r="F12" s="160">
        <f>+'bevételi segédtábla'!F15</f>
        <v>0</v>
      </c>
      <c r="G12" s="160"/>
      <c r="H12" s="160">
        <f>+'bevételi segédtábla'!H15</f>
        <v>126487519</v>
      </c>
      <c r="I12" s="160">
        <f>+'bevételi segédtábla'!I15</f>
        <v>188691308</v>
      </c>
      <c r="J12" s="160">
        <f>+'bevételi segédtábla'!J15</f>
        <v>0</v>
      </c>
      <c r="K12" s="160"/>
      <c r="L12" s="732">
        <f t="shared" si="0"/>
        <v>0.53034599161425577</v>
      </c>
      <c r="M12" s="732">
        <f t="shared" si="0"/>
        <v>0.79115852410901466</v>
      </c>
      <c r="N12" s="732" t="e">
        <f t="shared" si="0"/>
        <v>#DIV/0!</v>
      </c>
      <c r="O12" s="733"/>
      <c r="P12" s="160">
        <f>+'bevételi segédtábla'!P15</f>
        <v>0</v>
      </c>
      <c r="Q12" s="160">
        <f>+'bevételi segédtábla'!Q15</f>
        <v>0</v>
      </c>
      <c r="R12" s="160">
        <f>+'bevételi segédtábla'!R15</f>
        <v>0</v>
      </c>
      <c r="S12" s="160">
        <f>+'bevételi segédtábla'!S15</f>
        <v>0</v>
      </c>
      <c r="T12" s="176">
        <f t="shared" si="1"/>
        <v>0</v>
      </c>
      <c r="U12" s="160"/>
      <c r="V12" s="179">
        <f t="shared" si="2"/>
        <v>0</v>
      </c>
    </row>
    <row r="13" spans="1:22" x14ac:dyDescent="0.25">
      <c r="A13" s="34" t="s">
        <v>284</v>
      </c>
      <c r="B13" s="18" t="s">
        <v>285</v>
      </c>
      <c r="C13" s="160">
        <f>+'bevételi segédtábla'!C16</f>
        <v>270513649</v>
      </c>
      <c r="D13" s="160">
        <f>+'bevételi segédtábla'!D16</f>
        <v>330513649</v>
      </c>
      <c r="E13" s="160">
        <f>+'bevételi segédtábla'!E16</f>
        <v>369819560</v>
      </c>
      <c r="F13" s="160">
        <f>+'bevételi segédtábla'!F16</f>
        <v>0</v>
      </c>
      <c r="G13" s="160"/>
      <c r="H13" s="160">
        <f>+'bevételi segédtábla'!H16</f>
        <v>256456899</v>
      </c>
      <c r="I13" s="160">
        <f>+'bevételi segédtábla'!I16</f>
        <v>331572601</v>
      </c>
      <c r="J13" s="160">
        <f>+'bevételi segédtábla'!J16</f>
        <v>0</v>
      </c>
      <c r="K13" s="160"/>
      <c r="L13" s="732">
        <f t="shared" si="0"/>
        <v>0.77593436693441975</v>
      </c>
      <c r="M13" s="732">
        <f t="shared" si="0"/>
        <v>0.89657940483191312</v>
      </c>
      <c r="N13" s="732" t="e">
        <f t="shared" si="0"/>
        <v>#DIV/0!</v>
      </c>
      <c r="O13" s="733"/>
      <c r="P13" s="160">
        <f>+'bevételi segédtábla'!P16</f>
        <v>60000000</v>
      </c>
      <c r="Q13" s="160">
        <f>+'bevételi segédtábla'!Q16</f>
        <v>39305911</v>
      </c>
      <c r="R13" s="160">
        <f>+'bevételi segédtábla'!R16</f>
        <v>0</v>
      </c>
      <c r="S13" s="160">
        <f>+'bevételi segédtábla'!S16</f>
        <v>99305911</v>
      </c>
      <c r="T13" s="176">
        <f t="shared" si="1"/>
        <v>0.36710129550616499</v>
      </c>
      <c r="U13" s="160"/>
      <c r="V13" s="179">
        <f t="shared" si="2"/>
        <v>0</v>
      </c>
    </row>
    <row r="14" spans="1:22" x14ac:dyDescent="0.25">
      <c r="A14" s="34" t="s">
        <v>310</v>
      </c>
      <c r="B14" s="18" t="s">
        <v>311</v>
      </c>
      <c r="C14" s="160">
        <f>+'bevételi segédtábla'!C17</f>
        <v>99395520</v>
      </c>
      <c r="D14" s="160">
        <f>+'bevételi segédtábla'!D17</f>
        <v>99395520</v>
      </c>
      <c r="E14" s="160">
        <f>+'bevételi segédtábla'!E17</f>
        <v>60089609</v>
      </c>
      <c r="F14" s="160">
        <f>+'bevételi segédtábla'!F17</f>
        <v>0</v>
      </c>
      <c r="G14" s="160"/>
      <c r="H14" s="160">
        <f>+'bevételi segédtábla'!H17</f>
        <v>24370866</v>
      </c>
      <c r="I14" s="160">
        <f>+'bevételi segédtábla'!I17</f>
        <v>27956388</v>
      </c>
      <c r="J14" s="160">
        <f>+'bevételi segédtábla'!J17</f>
        <v>0</v>
      </c>
      <c r="K14" s="160"/>
      <c r="L14" s="732">
        <f t="shared" si="0"/>
        <v>0.24519078928305824</v>
      </c>
      <c r="M14" s="732">
        <f t="shared" si="0"/>
        <v>0.46524496439975171</v>
      </c>
      <c r="N14" s="732" t="e">
        <f t="shared" si="0"/>
        <v>#DIV/0!</v>
      </c>
      <c r="O14" s="733"/>
      <c r="P14" s="160">
        <f>+'bevételi segédtábla'!P17</f>
        <v>0</v>
      </c>
      <c r="Q14" s="160">
        <f>+'bevételi segédtábla'!Q17</f>
        <v>-39305911</v>
      </c>
      <c r="R14" s="160">
        <f>+'bevételi segédtábla'!R17</f>
        <v>0</v>
      </c>
      <c r="S14" s="160">
        <f>+'bevételi segédtábla'!S17</f>
        <v>-39305911</v>
      </c>
      <c r="T14" s="176">
        <f t="shared" si="1"/>
        <v>-0.39544952327831273</v>
      </c>
      <c r="U14" s="160"/>
      <c r="V14" s="179">
        <f t="shared" si="2"/>
        <v>0</v>
      </c>
    </row>
    <row r="15" spans="1:22" x14ac:dyDescent="0.25">
      <c r="A15" s="34" t="s">
        <v>320</v>
      </c>
      <c r="B15" s="18" t="s">
        <v>321</v>
      </c>
      <c r="C15" s="160">
        <f>+'bevételi segédtábla'!C18</f>
        <v>0</v>
      </c>
      <c r="D15" s="160">
        <f>+'bevételi segédtábla'!D18</f>
        <v>0</v>
      </c>
      <c r="E15" s="160">
        <f>+'bevételi segédtábla'!E18</f>
        <v>10037947</v>
      </c>
      <c r="F15" s="160">
        <f>+'bevételi segédtábla'!F18</f>
        <v>0</v>
      </c>
      <c r="G15" s="160"/>
      <c r="H15" s="160">
        <f>+'bevételi segédtábla'!H18</f>
        <v>0</v>
      </c>
      <c r="I15" s="160">
        <f>+'bevételi segédtábla'!I18</f>
        <v>0</v>
      </c>
      <c r="J15" s="160">
        <f>+'bevételi segédtábla'!J18</f>
        <v>0</v>
      </c>
      <c r="K15" s="160"/>
      <c r="L15" s="732" t="e">
        <f t="shared" si="0"/>
        <v>#DIV/0!</v>
      </c>
      <c r="M15" s="732">
        <f t="shared" si="0"/>
        <v>0</v>
      </c>
      <c r="N15" s="732" t="e">
        <f t="shared" si="0"/>
        <v>#DIV/0!</v>
      </c>
      <c r="O15" s="733"/>
      <c r="P15" s="160">
        <f>+'bevételi segédtábla'!P18</f>
        <v>0</v>
      </c>
      <c r="Q15" s="160">
        <f>+'bevételi segédtábla'!Q18</f>
        <v>10037947</v>
      </c>
      <c r="R15" s="160">
        <f>+'bevételi segédtábla'!R18</f>
        <v>0</v>
      </c>
      <c r="S15" s="160">
        <f>+'bevételi segédtábla'!S18</f>
        <v>10037947</v>
      </c>
      <c r="T15" s="176">
        <f t="shared" si="1"/>
        <v>0</v>
      </c>
      <c r="U15" s="160"/>
      <c r="V15" s="179">
        <f t="shared" si="2"/>
        <v>0</v>
      </c>
    </row>
    <row r="16" spans="1:22" x14ac:dyDescent="0.25">
      <c r="A16" s="34" t="s">
        <v>326</v>
      </c>
      <c r="B16" s="18" t="s">
        <v>327</v>
      </c>
      <c r="C16" s="160">
        <f>+'bevételi segédtábla'!C19</f>
        <v>60000000</v>
      </c>
      <c r="D16" s="160">
        <f>+'bevételi segédtábla'!D19</f>
        <v>112693</v>
      </c>
      <c r="E16" s="160">
        <f>+'bevételi segédtábla'!E19</f>
        <v>112693</v>
      </c>
      <c r="F16" s="160">
        <f>+'bevételi segédtábla'!F19</f>
        <v>0</v>
      </c>
      <c r="G16" s="160"/>
      <c r="H16" s="160">
        <f>+'bevételi segédtábla'!H19</f>
        <v>352000</v>
      </c>
      <c r="I16" s="160">
        <f>+'bevételi segédtábla'!I19</f>
        <v>718078</v>
      </c>
      <c r="J16" s="160">
        <f>+'bevételi segédtábla'!J19</f>
        <v>0</v>
      </c>
      <c r="K16" s="160"/>
      <c r="L16" s="732">
        <f t="shared" si="0"/>
        <v>3.1235302991312683</v>
      </c>
      <c r="M16" s="732">
        <f t="shared" si="0"/>
        <v>6.3719840628965416</v>
      </c>
      <c r="N16" s="732" t="e">
        <f t="shared" si="0"/>
        <v>#DIV/0!</v>
      </c>
      <c r="O16" s="733"/>
      <c r="P16" s="160">
        <f>+'bevételi segédtábla'!P19</f>
        <v>-59887307</v>
      </c>
      <c r="Q16" s="160">
        <f>+'bevételi segédtábla'!Q19</f>
        <v>0</v>
      </c>
      <c r="R16" s="160">
        <f>+'bevételi segédtábla'!R19</f>
        <v>0</v>
      </c>
      <c r="S16" s="160">
        <f>+'bevételi segédtábla'!S19</f>
        <v>-59887307</v>
      </c>
      <c r="T16" s="176">
        <f t="shared" si="1"/>
        <v>-0.99812178333333335</v>
      </c>
      <c r="U16" s="160"/>
      <c r="V16" s="179">
        <f t="shared" si="2"/>
        <v>0</v>
      </c>
    </row>
    <row r="17" spans="1:22" x14ac:dyDescent="0.25">
      <c r="A17" s="34" t="s">
        <v>333</v>
      </c>
      <c r="B17" s="18" t="s">
        <v>334</v>
      </c>
      <c r="C17" s="160">
        <f>+'bevételi segédtábla'!C20</f>
        <v>941116459.02999997</v>
      </c>
      <c r="D17" s="160">
        <f>+'bevételi segédtábla'!D20</f>
        <v>950632459</v>
      </c>
      <c r="E17" s="160">
        <f>+'bevételi segédtábla'!E20</f>
        <v>953906459</v>
      </c>
      <c r="F17" s="160">
        <f>+'bevételi segédtábla'!F20</f>
        <v>0</v>
      </c>
      <c r="G17" s="160"/>
      <c r="H17" s="160">
        <f>+'bevételi segédtábla'!H20</f>
        <v>684240604</v>
      </c>
      <c r="I17" s="160">
        <f>+'bevételi segédtábla'!I20</f>
        <v>808762346</v>
      </c>
      <c r="J17" s="160">
        <f>+'bevételi segédtábla'!J20</f>
        <v>0</v>
      </c>
      <c r="K17" s="160"/>
      <c r="L17" s="732">
        <f t="shared" si="0"/>
        <v>0.71977408042617652</v>
      </c>
      <c r="M17" s="732">
        <f t="shared" si="0"/>
        <v>0.84784240463980332</v>
      </c>
      <c r="N17" s="732" t="e">
        <f t="shared" si="0"/>
        <v>#DIV/0!</v>
      </c>
      <c r="O17" s="733"/>
      <c r="P17" s="160">
        <f>+'bevételi segédtábla'!P20</f>
        <v>8847177.9699999988</v>
      </c>
      <c r="Q17" s="160">
        <f>+'bevételi segédtábla'!Q20</f>
        <v>3274000</v>
      </c>
      <c r="R17" s="160">
        <f>+'bevételi segédtábla'!R20</f>
        <v>0</v>
      </c>
      <c r="S17" s="160">
        <f>+'bevételi segédtábla'!S20</f>
        <v>12121177.969999999</v>
      </c>
      <c r="T17" s="176">
        <f t="shared" si="1"/>
        <v>1.2879572824061738E-2</v>
      </c>
      <c r="U17" s="160"/>
      <c r="V17" s="179">
        <f t="shared" si="2"/>
        <v>-668822</v>
      </c>
    </row>
    <row r="18" spans="1:22" x14ac:dyDescent="0.25">
      <c r="A18" s="34"/>
      <c r="B18" s="371" t="s">
        <v>446</v>
      </c>
      <c r="C18" s="160">
        <f>+'bevételi segédtábla'!C21</f>
        <v>-517324859.02999997</v>
      </c>
      <c r="D18" s="160">
        <f>+'bevételi segédtábla'!D21</f>
        <v>-526172037</v>
      </c>
      <c r="E18" s="160">
        <f>+'bevételi segédtábla'!E21</f>
        <v>-529446037</v>
      </c>
      <c r="F18" s="160">
        <f>+'bevételi segédtábla'!F21</f>
        <v>0</v>
      </c>
      <c r="G18" s="160"/>
      <c r="H18" s="160">
        <f>+'bevételi segédtábla'!H21</f>
        <v>-259780182</v>
      </c>
      <c r="I18" s="160">
        <f>+'bevételi segédtábla'!I21</f>
        <v>-384301924</v>
      </c>
      <c r="J18" s="160">
        <f>+'bevételi segédtábla'!J21</f>
        <v>0</v>
      </c>
      <c r="K18" s="160"/>
      <c r="L18" s="732">
        <f t="shared" ref="L18" si="3">H18/D18</f>
        <v>0.49371719462925395</v>
      </c>
      <c r="M18" s="732">
        <f t="shared" ref="M18" si="4">I18/E18</f>
        <v>0.7258566447632131</v>
      </c>
      <c r="N18" s="732" t="e">
        <f t="shared" ref="N18" si="5">J18/F18</f>
        <v>#DIV/0!</v>
      </c>
      <c r="O18" s="733"/>
      <c r="P18" s="160">
        <f>+'bevételi segédtábla'!P21</f>
        <v>-8847177.9699999988</v>
      </c>
      <c r="Q18" s="160">
        <f>+'bevételi segédtábla'!Q21</f>
        <v>-3274000</v>
      </c>
      <c r="R18" s="160">
        <f>+'bevételi segédtábla'!R21</f>
        <v>0</v>
      </c>
      <c r="S18" s="160">
        <f>+'bevételi segédtábla'!S21</f>
        <v>-12121177.969999999</v>
      </c>
      <c r="T18" s="176"/>
      <c r="U18" s="160"/>
      <c r="V18" s="179">
        <f t="shared" si="2"/>
        <v>0</v>
      </c>
    </row>
    <row r="19" spans="1:22" x14ac:dyDescent="0.25">
      <c r="A19" s="759"/>
      <c r="B19" s="48" t="s">
        <v>376</v>
      </c>
      <c r="C19" s="760">
        <f>SUM(C10:C18)</f>
        <v>1950141657.9999998</v>
      </c>
      <c r="D19" s="760">
        <f t="shared" ref="D19:E19" si="6">SUM(D10:D18)</f>
        <v>1962128521</v>
      </c>
      <c r="E19" s="760">
        <f t="shared" si="6"/>
        <v>1972413317</v>
      </c>
      <c r="F19" s="760">
        <f>SUM(F10:F18)</f>
        <v>0</v>
      </c>
      <c r="G19" s="760"/>
      <c r="H19" s="760">
        <f>SUM(H10:H18)</f>
        <v>1189751244</v>
      </c>
      <c r="I19" s="760">
        <f t="shared" ref="I19:J19" si="7">SUM(I10:I18)</f>
        <v>1488837849</v>
      </c>
      <c r="J19" s="760">
        <f t="shared" si="7"/>
        <v>0</v>
      </c>
      <c r="K19" s="760"/>
      <c r="L19" s="677">
        <f>H19/D19</f>
        <v>0.60635744869232244</v>
      </c>
      <c r="M19" s="677">
        <f>I19/E19</f>
        <v>0.75483056019135564</v>
      </c>
      <c r="N19" s="677" t="e">
        <f>J19/F19</f>
        <v>#DIV/0!</v>
      </c>
      <c r="O19" s="761"/>
      <c r="P19" s="760">
        <f>SUM(P10:P18)</f>
        <v>11318041</v>
      </c>
      <c r="Q19" s="760">
        <f t="shared" ref="Q19:S19" si="8">SUM(Q10:Q18)</f>
        <v>10284796</v>
      </c>
      <c r="R19" s="760">
        <f t="shared" si="8"/>
        <v>0</v>
      </c>
      <c r="S19" s="760">
        <f t="shared" si="8"/>
        <v>21602837</v>
      </c>
      <c r="T19" s="720">
        <f t="shared" si="1"/>
        <v>1.1077573216991401E-2</v>
      </c>
      <c r="U19" s="161"/>
      <c r="V19" s="179">
        <f t="shared" si="2"/>
        <v>-668822.00000023842</v>
      </c>
    </row>
    <row r="20" spans="1:22" x14ac:dyDescent="0.25">
      <c r="A20" s="181"/>
      <c r="B20" s="181"/>
      <c r="C20" s="181"/>
      <c r="D20" s="181"/>
      <c r="E20" s="181"/>
      <c r="F20" s="181"/>
      <c r="G20" s="181"/>
      <c r="H20" s="382"/>
      <c r="I20" s="382"/>
      <c r="J20" s="383"/>
      <c r="K20" s="181"/>
      <c r="L20" s="637"/>
      <c r="M20" s="637"/>
      <c r="N20" s="637"/>
      <c r="O20" s="637"/>
      <c r="P20" s="181"/>
      <c r="Q20" s="181"/>
      <c r="R20" s="181"/>
      <c r="S20" s="181"/>
      <c r="T20" s="181"/>
      <c r="U20" s="181"/>
      <c r="V20" s="181"/>
    </row>
    <row r="21" spans="1:22" x14ac:dyDescent="0.25">
      <c r="A21"/>
      <c r="B21"/>
      <c r="C21"/>
      <c r="D21"/>
      <c r="E21" s="635"/>
      <c r="F21"/>
      <c r="G21"/>
      <c r="H21"/>
      <c r="I21" s="635"/>
      <c r="J21"/>
      <c r="K21"/>
      <c r="L21" s="694"/>
      <c r="M21" s="694"/>
      <c r="N21" s="694"/>
      <c r="O21" s="694"/>
      <c r="P21"/>
      <c r="Q21"/>
      <c r="R21"/>
      <c r="S21"/>
      <c r="U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 s="694"/>
      <c r="M22" s="694"/>
      <c r="N22" s="694"/>
      <c r="O22" s="694"/>
      <c r="P22"/>
      <c r="Q22"/>
      <c r="R22"/>
      <c r="S22"/>
      <c r="U22"/>
    </row>
    <row r="23" spans="1:22" ht="16.350000000000001" customHeight="1" x14ac:dyDescent="0.25">
      <c r="A23" s="903" t="s">
        <v>374</v>
      </c>
      <c r="B23" s="904"/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5"/>
      <c r="O23" s="905"/>
      <c r="P23" s="905"/>
      <c r="Q23" s="905"/>
      <c r="R23" s="905"/>
      <c r="S23" s="905"/>
      <c r="T23" s="905"/>
      <c r="U23" s="905"/>
      <c r="V23" s="906"/>
    </row>
    <row r="24" spans="1:22" ht="16.350000000000001" customHeight="1" x14ac:dyDescent="0.25">
      <c r="A24" s="158"/>
      <c r="B24" s="159"/>
      <c r="C24" s="891" t="s">
        <v>410</v>
      </c>
      <c r="D24" s="892"/>
      <c r="E24" s="892"/>
      <c r="F24" s="893"/>
      <c r="G24" s="68"/>
      <c r="H24" s="885" t="s">
        <v>409</v>
      </c>
      <c r="I24" s="886"/>
      <c r="J24" s="886"/>
      <c r="K24" s="886"/>
      <c r="L24" s="886"/>
      <c r="M24" s="886"/>
      <c r="N24" s="887"/>
      <c r="O24" s="165"/>
      <c r="P24" s="891" t="s">
        <v>406</v>
      </c>
      <c r="Q24" s="892"/>
      <c r="R24" s="892"/>
      <c r="S24" s="892"/>
      <c r="T24" s="893"/>
      <c r="U24" s="163"/>
      <c r="V24" s="878" t="s">
        <v>412</v>
      </c>
    </row>
    <row r="25" spans="1:22" ht="13.35" customHeight="1" x14ac:dyDescent="0.25">
      <c r="A25" s="64"/>
      <c r="B25" s="65"/>
      <c r="C25" s="894"/>
      <c r="D25" s="895"/>
      <c r="E25" s="895"/>
      <c r="F25" s="896"/>
      <c r="G25" s="156"/>
      <c r="H25" s="888" t="s">
        <v>422</v>
      </c>
      <c r="I25" s="889"/>
      <c r="J25" s="890"/>
      <c r="K25" s="157"/>
      <c r="L25" s="888" t="s">
        <v>421</v>
      </c>
      <c r="M25" s="889"/>
      <c r="N25" s="890"/>
      <c r="O25" s="156"/>
      <c r="P25" s="894"/>
      <c r="Q25" s="895"/>
      <c r="R25" s="895"/>
      <c r="S25" s="895"/>
      <c r="T25" s="896"/>
      <c r="U25" s="162"/>
      <c r="V25" s="879"/>
    </row>
    <row r="26" spans="1:22" ht="51" x14ac:dyDescent="0.25">
      <c r="A26" s="182" t="s">
        <v>424</v>
      </c>
      <c r="B26" s="188" t="s">
        <v>370</v>
      </c>
      <c r="C26" s="183" t="s">
        <v>550</v>
      </c>
      <c r="D26" s="184" t="s">
        <v>551</v>
      </c>
      <c r="E26" s="184" t="s">
        <v>552</v>
      </c>
      <c r="F26" s="184" t="s">
        <v>633</v>
      </c>
      <c r="G26" s="184"/>
      <c r="H26" s="185" t="s">
        <v>570</v>
      </c>
      <c r="I26" s="185" t="s">
        <v>571</v>
      </c>
      <c r="J26" s="185" t="s">
        <v>634</v>
      </c>
      <c r="K26" s="184"/>
      <c r="L26" s="186" t="s">
        <v>572</v>
      </c>
      <c r="M26" s="186" t="s">
        <v>573</v>
      </c>
      <c r="N26" s="186" t="s">
        <v>635</v>
      </c>
      <c r="O26" s="185"/>
      <c r="P26" s="185" t="s">
        <v>557</v>
      </c>
      <c r="Q26" s="185" t="s">
        <v>558</v>
      </c>
      <c r="R26" s="185" t="s">
        <v>631</v>
      </c>
      <c r="S26" s="185" t="s">
        <v>407</v>
      </c>
      <c r="T26" s="186" t="s">
        <v>423</v>
      </c>
      <c r="U26" s="189"/>
      <c r="V26" s="880"/>
    </row>
    <row r="27" spans="1:22" x14ac:dyDescent="0.25">
      <c r="A27" s="14" t="s">
        <v>0</v>
      </c>
      <c r="B27" s="18" t="s">
        <v>3</v>
      </c>
      <c r="C27" s="138">
        <f>+'kiadási segédtábla'!C13</f>
        <v>427595554</v>
      </c>
      <c r="D27" s="138">
        <f>+'kiadási segédtábla'!D13</f>
        <v>440289654</v>
      </c>
      <c r="E27" s="160">
        <f>+'kiadási segédtábla'!E13</f>
        <v>440573451</v>
      </c>
      <c r="F27" s="138">
        <f>+'kiadási segédtábla'!F13</f>
        <v>0</v>
      </c>
      <c r="G27" s="138"/>
      <c r="H27" s="138">
        <f>+'kiadási segédtábla'!H13</f>
        <v>206440974</v>
      </c>
      <c r="I27" s="138">
        <f>+'kiadási segédtábla'!I13</f>
        <v>316775768</v>
      </c>
      <c r="J27" s="138">
        <f>+'kiadási segédtábla'!J13</f>
        <v>0</v>
      </c>
      <c r="K27" s="139"/>
      <c r="L27" s="668">
        <f t="shared" ref="L27:N33" si="9">H27/D27</f>
        <v>0.46887536903149668</v>
      </c>
      <c r="M27" s="668">
        <f t="shared" si="9"/>
        <v>0.71900784598116874</v>
      </c>
      <c r="N27" s="668" t="e">
        <f t="shared" si="9"/>
        <v>#DIV/0!</v>
      </c>
      <c r="O27" s="735"/>
      <c r="P27" s="143">
        <f t="shared" ref="P27:P35" si="10">+(D27-C27)*P$8</f>
        <v>12694100</v>
      </c>
      <c r="Q27" s="143">
        <f t="shared" ref="Q27:Q35" si="11">+(E27-D27)*Q$8</f>
        <v>283797</v>
      </c>
      <c r="R27" s="143">
        <f t="shared" ref="R27:R35" si="12">+(F27-E27)*R$8</f>
        <v>0</v>
      </c>
      <c r="S27" s="143">
        <f t="shared" ref="S27:S35" si="13">SUM(P27:R27)</f>
        <v>12977897</v>
      </c>
      <c r="T27" s="758">
        <f t="shared" ref="T27:T41" si="14">IF(C27=0,0,+S27/C27)</f>
        <v>3.0350869831541793E-2</v>
      </c>
      <c r="U27" s="160"/>
      <c r="V27" s="166">
        <f t="shared" ref="V27:V41" si="15">+S27-E27+C27</f>
        <v>0</v>
      </c>
    </row>
    <row r="28" spans="1:22" ht="15" customHeight="1" x14ac:dyDescent="0.25">
      <c r="A28" s="14" t="s">
        <v>26</v>
      </c>
      <c r="B28" s="18" t="s">
        <v>27</v>
      </c>
      <c r="C28" s="138">
        <f>+'kiadási segédtábla'!C14</f>
        <v>82881356.030000001</v>
      </c>
      <c r="D28" s="138">
        <f>+'kiadási segédtábla'!D14</f>
        <v>83128031</v>
      </c>
      <c r="E28" s="160">
        <f>+'kiadási segédtábla'!E14</f>
        <v>83150829</v>
      </c>
      <c r="F28" s="138">
        <f>+'kiadási segédtábla'!F14</f>
        <v>0</v>
      </c>
      <c r="G28" s="138"/>
      <c r="H28" s="138">
        <f>+'kiadási segédtábla'!H14</f>
        <v>44058096</v>
      </c>
      <c r="I28" s="138">
        <f>+'kiadási segédtábla'!I14</f>
        <v>63733664</v>
      </c>
      <c r="J28" s="138">
        <f>+'kiadási segédtábla'!J14</f>
        <v>0</v>
      </c>
      <c r="K28" s="139"/>
      <c r="L28" s="668">
        <f t="shared" si="9"/>
        <v>0.53000288194002809</v>
      </c>
      <c r="M28" s="668">
        <f t="shared" si="9"/>
        <v>0.76648260476152319</v>
      </c>
      <c r="N28" s="668" t="e">
        <f t="shared" si="9"/>
        <v>#DIV/0!</v>
      </c>
      <c r="O28" s="735"/>
      <c r="P28" s="143">
        <f t="shared" si="10"/>
        <v>246674.96999999881</v>
      </c>
      <c r="Q28" s="143">
        <f t="shared" si="11"/>
        <v>22798</v>
      </c>
      <c r="R28" s="143">
        <f t="shared" si="12"/>
        <v>0</v>
      </c>
      <c r="S28" s="143">
        <f t="shared" si="13"/>
        <v>269472.96999999881</v>
      </c>
      <c r="T28" s="758">
        <f t="shared" si="14"/>
        <v>3.2513098591492578E-3</v>
      </c>
      <c r="U28" s="160"/>
      <c r="V28" s="166">
        <f t="shared" si="15"/>
        <v>0</v>
      </c>
    </row>
    <row r="29" spans="1:22" x14ac:dyDescent="0.25">
      <c r="A29" s="14" t="s">
        <v>29</v>
      </c>
      <c r="B29" s="18" t="s">
        <v>30</v>
      </c>
      <c r="C29" s="138">
        <f>+'kiadási segédtábla'!C15</f>
        <v>297819000</v>
      </c>
      <c r="D29" s="374">
        <f>+'kiadási segédtábla'!D15</f>
        <v>285175143</v>
      </c>
      <c r="E29" s="374">
        <f>+'kiadási segédtábla'!E15</f>
        <v>339446765</v>
      </c>
      <c r="F29" s="374">
        <f>+'kiadási segédtábla'!F15</f>
        <v>0</v>
      </c>
      <c r="G29" s="138"/>
      <c r="H29" s="138">
        <f>+'kiadási segédtábla'!H15</f>
        <v>127489245</v>
      </c>
      <c r="I29" s="138">
        <f>+'kiadási segédtábla'!I15</f>
        <v>214632445</v>
      </c>
      <c r="J29" s="138">
        <f>+'kiadási segédtábla'!J15</f>
        <v>0</v>
      </c>
      <c r="K29" s="139"/>
      <c r="L29" s="736">
        <f t="shared" si="9"/>
        <v>0.44705595185762736</v>
      </c>
      <c r="M29" s="736">
        <f t="shared" si="9"/>
        <v>0.63230075266735863</v>
      </c>
      <c r="N29" s="736" t="e">
        <f t="shared" si="9"/>
        <v>#DIV/0!</v>
      </c>
      <c r="O29" s="735"/>
      <c r="P29" s="143">
        <f t="shared" si="10"/>
        <v>-12643857</v>
      </c>
      <c r="Q29" s="143">
        <f t="shared" si="11"/>
        <v>54271622</v>
      </c>
      <c r="R29" s="143">
        <f t="shared" si="12"/>
        <v>0</v>
      </c>
      <c r="S29" s="143">
        <f t="shared" si="13"/>
        <v>41627765</v>
      </c>
      <c r="T29" s="758">
        <f t="shared" si="14"/>
        <v>0.13977538370621082</v>
      </c>
      <c r="U29" s="160"/>
      <c r="V29" s="166">
        <f t="shared" si="15"/>
        <v>0</v>
      </c>
    </row>
    <row r="30" spans="1:22" x14ac:dyDescent="0.25">
      <c r="A30" s="14" t="s">
        <v>111</v>
      </c>
      <c r="B30" s="18" t="s">
        <v>536</v>
      </c>
      <c r="C30" s="138">
        <f>+'kiadási segédtábla'!C16</f>
        <v>22100000</v>
      </c>
      <c r="D30" s="138">
        <f>+'kiadási segédtábla'!D16</f>
        <v>24267500</v>
      </c>
      <c r="E30" s="160">
        <f>+'kiadási segédtábla'!E16</f>
        <v>20200000</v>
      </c>
      <c r="F30" s="138">
        <f>+'kiadási segédtábla'!F16</f>
        <v>0</v>
      </c>
      <c r="G30" s="138"/>
      <c r="H30" s="138">
        <f>+'kiadási segédtábla'!H16</f>
        <v>7396231</v>
      </c>
      <c r="I30" s="138">
        <f>+'kiadási segédtábla'!I16</f>
        <v>10496866</v>
      </c>
      <c r="J30" s="138">
        <f>+'kiadási segédtábla'!J16</f>
        <v>0</v>
      </c>
      <c r="K30" s="138"/>
      <c r="L30" s="668">
        <f t="shared" si="9"/>
        <v>0.30477927268981148</v>
      </c>
      <c r="M30" s="668">
        <f t="shared" si="9"/>
        <v>0.51964683168316828</v>
      </c>
      <c r="N30" s="668" t="e">
        <f t="shared" si="9"/>
        <v>#DIV/0!</v>
      </c>
      <c r="O30" s="737"/>
      <c r="P30" s="143">
        <f t="shared" si="10"/>
        <v>2167500</v>
      </c>
      <c r="Q30" s="143">
        <f t="shared" si="11"/>
        <v>-4067500</v>
      </c>
      <c r="R30" s="143">
        <f t="shared" si="12"/>
        <v>0</v>
      </c>
      <c r="S30" s="143">
        <f t="shared" si="13"/>
        <v>-1900000</v>
      </c>
      <c r="T30" s="758">
        <f t="shared" si="14"/>
        <v>-8.5972850678733032E-2</v>
      </c>
      <c r="U30" s="160"/>
      <c r="V30" s="166">
        <f t="shared" si="15"/>
        <v>0</v>
      </c>
    </row>
    <row r="31" spans="1:22" x14ac:dyDescent="0.25">
      <c r="A31" s="14" t="s">
        <v>375</v>
      </c>
      <c r="B31" s="18" t="s">
        <v>141</v>
      </c>
      <c r="C31" s="138">
        <f>+'kiadási segédtábla'!C17</f>
        <v>106777000</v>
      </c>
      <c r="D31" s="138">
        <f>+'kiadási segédtábla'!D17</f>
        <v>114831425</v>
      </c>
      <c r="E31" s="160">
        <f>+'kiadási segédtábla'!E17</f>
        <v>126926504</v>
      </c>
      <c r="F31" s="138">
        <f>+'kiadási segédtábla'!F17</f>
        <v>0</v>
      </c>
      <c r="G31" s="138"/>
      <c r="H31" s="138">
        <f>+'kiadási segédtábla'!H17</f>
        <v>68417711</v>
      </c>
      <c r="I31" s="138">
        <f>+'kiadási segédtábla'!I17</f>
        <v>111271404</v>
      </c>
      <c r="J31" s="138">
        <f>+'kiadási segédtábla'!J17</f>
        <v>0</v>
      </c>
      <c r="K31" s="138"/>
      <c r="L31" s="668">
        <f t="shared" si="9"/>
        <v>0.59580999713275351</v>
      </c>
      <c r="M31" s="668">
        <f t="shared" si="9"/>
        <v>0.87666011820509926</v>
      </c>
      <c r="N31" s="668" t="e">
        <f t="shared" si="9"/>
        <v>#DIV/0!</v>
      </c>
      <c r="O31" s="737"/>
      <c r="P31" s="143">
        <f t="shared" si="10"/>
        <v>8054425</v>
      </c>
      <c r="Q31" s="143">
        <f t="shared" si="11"/>
        <v>12095079</v>
      </c>
      <c r="R31" s="143">
        <f t="shared" si="12"/>
        <v>0</v>
      </c>
      <c r="S31" s="143">
        <f t="shared" si="13"/>
        <v>20149504</v>
      </c>
      <c r="T31" s="758">
        <f t="shared" si="14"/>
        <v>0.18870640681045545</v>
      </c>
      <c r="U31" s="160"/>
      <c r="V31" s="166">
        <f t="shared" si="15"/>
        <v>0</v>
      </c>
    </row>
    <row r="32" spans="1:22" x14ac:dyDescent="0.25">
      <c r="A32" s="14" t="s">
        <v>158</v>
      </c>
      <c r="B32" s="18" t="s">
        <v>159</v>
      </c>
      <c r="C32" s="138">
        <f>+'kiadási segédtábla'!C18</f>
        <v>796250000</v>
      </c>
      <c r="D32" s="138">
        <f>+'kiadási segédtábla'!D18</f>
        <v>797718020</v>
      </c>
      <c r="E32" s="160">
        <f>+'kiadási segédtábla'!E18</f>
        <v>746934020</v>
      </c>
      <c r="F32" s="138">
        <f>+'kiadási segédtábla'!F18</f>
        <v>0</v>
      </c>
      <c r="G32" s="374"/>
      <c r="H32" s="138">
        <f>+'kiadási segédtábla'!H18</f>
        <v>100910696</v>
      </c>
      <c r="I32" s="138">
        <f>+'kiadási segédtábla'!I18</f>
        <v>179839289</v>
      </c>
      <c r="J32" s="138">
        <f>+'kiadási segédtábla'!J18</f>
        <v>0</v>
      </c>
      <c r="K32" s="138"/>
      <c r="L32" s="668">
        <f t="shared" si="9"/>
        <v>0.12649920582212748</v>
      </c>
      <c r="M32" s="668">
        <f t="shared" si="9"/>
        <v>0.24076997992406343</v>
      </c>
      <c r="N32" s="668" t="e">
        <f t="shared" si="9"/>
        <v>#DIV/0!</v>
      </c>
      <c r="O32" s="737"/>
      <c r="P32" s="143">
        <f t="shared" si="10"/>
        <v>1468020</v>
      </c>
      <c r="Q32" s="143">
        <f t="shared" si="11"/>
        <v>-50784000</v>
      </c>
      <c r="R32" s="143">
        <f t="shared" si="12"/>
        <v>0</v>
      </c>
      <c r="S32" s="143">
        <f t="shared" si="13"/>
        <v>-49315980</v>
      </c>
      <c r="T32" s="758">
        <f t="shared" si="14"/>
        <v>-6.1935296703296706E-2</v>
      </c>
      <c r="U32" s="160"/>
      <c r="V32" s="166">
        <f t="shared" si="15"/>
        <v>0</v>
      </c>
    </row>
    <row r="33" spans="1:22" x14ac:dyDescent="0.25">
      <c r="A33" s="14" t="s">
        <v>173</v>
      </c>
      <c r="B33" s="18" t="s">
        <v>174</v>
      </c>
      <c r="C33" s="138">
        <f>+'kiadási segédtábla'!C19</f>
        <v>198800000</v>
      </c>
      <c r="D33" s="138">
        <f>+'kiadási segédtábla'!D19</f>
        <v>198800000</v>
      </c>
      <c r="E33" s="160">
        <f>+'kiadási segédtábla'!E19</f>
        <v>197263000</v>
      </c>
      <c r="F33" s="138">
        <f>+'kiadási segédtábla'!F19</f>
        <v>0</v>
      </c>
      <c r="G33" s="138"/>
      <c r="H33" s="138">
        <f>+'kiadási segédtábla'!H19</f>
        <v>15737344</v>
      </c>
      <c r="I33" s="138">
        <f>+'kiadási segédtábla'!I19</f>
        <v>68275190</v>
      </c>
      <c r="J33" s="138">
        <f>+'kiadási segédtábla'!J19</f>
        <v>0</v>
      </c>
      <c r="K33" s="138"/>
      <c r="L33" s="668">
        <f t="shared" si="9"/>
        <v>7.9161690140845065E-2</v>
      </c>
      <c r="M33" s="668">
        <f t="shared" si="9"/>
        <v>0.34611249955642975</v>
      </c>
      <c r="N33" s="668" t="e">
        <f t="shared" si="9"/>
        <v>#DIV/0!</v>
      </c>
      <c r="O33" s="737"/>
      <c r="P33" s="143">
        <f t="shared" si="10"/>
        <v>0</v>
      </c>
      <c r="Q33" s="143">
        <f t="shared" si="11"/>
        <v>-1537000</v>
      </c>
      <c r="R33" s="143">
        <f t="shared" si="12"/>
        <v>0</v>
      </c>
      <c r="S33" s="143">
        <f t="shared" si="13"/>
        <v>-1537000</v>
      </c>
      <c r="T33" s="758">
        <f t="shared" si="14"/>
        <v>-7.731388329979879E-3</v>
      </c>
      <c r="U33" s="160"/>
      <c r="V33" s="166">
        <f t="shared" si="15"/>
        <v>0</v>
      </c>
    </row>
    <row r="34" spans="1:22" x14ac:dyDescent="0.25">
      <c r="A34" s="14" t="s">
        <v>183</v>
      </c>
      <c r="B34" s="18" t="s">
        <v>184</v>
      </c>
      <c r="C34" s="138">
        <f>+'kiadási segédtábla'!C20</f>
        <v>0</v>
      </c>
      <c r="D34" s="138">
        <f>+'kiadási segédtábla'!D20</f>
        <v>0</v>
      </c>
      <c r="E34" s="138">
        <f>+'kiadási segédtábla'!E20</f>
        <v>0</v>
      </c>
      <c r="F34" s="138">
        <f>+'kiadási segédtábla'!F20</f>
        <v>0</v>
      </c>
      <c r="G34" s="138"/>
      <c r="H34" s="138">
        <f>+'kiadási segédtábla'!H20</f>
        <v>0</v>
      </c>
      <c r="I34" s="138">
        <f>+'kiadási segédtábla'!I20</f>
        <v>0</v>
      </c>
      <c r="J34" s="138">
        <f>+'kiadási segédtábla'!J20</f>
        <v>0</v>
      </c>
      <c r="K34" s="138"/>
      <c r="L34" s="668">
        <v>0</v>
      </c>
      <c r="M34" s="668">
        <v>0</v>
      </c>
      <c r="N34" s="668">
        <v>0</v>
      </c>
      <c r="O34" s="737"/>
      <c r="P34" s="143">
        <f t="shared" si="10"/>
        <v>0</v>
      </c>
      <c r="Q34" s="143">
        <f t="shared" si="11"/>
        <v>0</v>
      </c>
      <c r="R34" s="143">
        <f t="shared" si="12"/>
        <v>0</v>
      </c>
      <c r="S34" s="143">
        <f t="shared" si="13"/>
        <v>0</v>
      </c>
      <c r="T34" s="758">
        <f t="shared" si="14"/>
        <v>0</v>
      </c>
      <c r="U34" s="160"/>
      <c r="V34" s="166">
        <f t="shared" si="15"/>
        <v>0</v>
      </c>
    </row>
    <row r="35" spans="1:22" x14ac:dyDescent="0.25">
      <c r="A35" s="14" t="s">
        <v>201</v>
      </c>
      <c r="B35" s="18" t="s">
        <v>202</v>
      </c>
      <c r="C35" s="138">
        <f>+'kiadási segédtábla'!C21</f>
        <v>535243607.02999997</v>
      </c>
      <c r="D35" s="138">
        <f>+'kiadási segédtábla'!D21</f>
        <v>544090785</v>
      </c>
      <c r="E35" s="138">
        <f>+'kiadási segédtábla'!E21</f>
        <v>547364785</v>
      </c>
      <c r="F35" s="138">
        <f>+'kiadási segédtábla'!F21</f>
        <v>0</v>
      </c>
      <c r="G35" s="138"/>
      <c r="H35" s="138">
        <f>+'kiadási segédtábla'!H21</f>
        <v>277698930</v>
      </c>
      <c r="I35" s="138">
        <f>+'kiadási segédtábla'!I21</f>
        <v>402220672</v>
      </c>
      <c r="J35" s="138">
        <f>+'kiadási segédtábla'!J21</f>
        <v>0</v>
      </c>
      <c r="K35" s="138"/>
      <c r="L35" s="668">
        <f t="shared" ref="L35:N37" si="16">+H35/D35</f>
        <v>0.51039079810917953</v>
      </c>
      <c r="M35" s="668">
        <f t="shared" si="16"/>
        <v>0.73483110901991988</v>
      </c>
      <c r="N35" s="668" t="e">
        <f t="shared" si="16"/>
        <v>#DIV/0!</v>
      </c>
      <c r="O35" s="737"/>
      <c r="P35" s="143">
        <f t="shared" si="10"/>
        <v>8847177.9700000286</v>
      </c>
      <c r="Q35" s="143">
        <f t="shared" si="11"/>
        <v>3274000</v>
      </c>
      <c r="R35" s="143">
        <f t="shared" si="12"/>
        <v>0</v>
      </c>
      <c r="S35" s="143">
        <f t="shared" si="13"/>
        <v>12121177.970000029</v>
      </c>
      <c r="T35" s="758">
        <f t="shared" si="14"/>
        <v>2.2646095741822931E-2</v>
      </c>
      <c r="U35" s="160"/>
      <c r="V35" s="166">
        <f t="shared" si="15"/>
        <v>0</v>
      </c>
    </row>
    <row r="36" spans="1:22" x14ac:dyDescent="0.25">
      <c r="A36" s="14"/>
      <c r="B36" s="371" t="s">
        <v>446</v>
      </c>
      <c r="C36" s="138">
        <f>+'kiadási segédtábla'!C22</f>
        <v>-517324859.02999997</v>
      </c>
      <c r="D36" s="138">
        <f>+'kiadási segédtábla'!D22</f>
        <v>-526172037</v>
      </c>
      <c r="E36" s="138">
        <f>+'kiadási segédtábla'!E22</f>
        <v>-529446037</v>
      </c>
      <c r="F36" s="138">
        <f>-'kiadási segédtábla'!F145</f>
        <v>0</v>
      </c>
      <c r="G36" s="138"/>
      <c r="H36" s="138">
        <f>-'kiadási segédtábla'!H145</f>
        <v>-259780182</v>
      </c>
      <c r="I36" s="138">
        <f>-'kiadási segédtábla'!I145</f>
        <v>-384301924</v>
      </c>
      <c r="J36" s="138">
        <f>-'kiadási segédtábla'!J145</f>
        <v>0</v>
      </c>
      <c r="K36" s="138"/>
      <c r="L36" s="668">
        <f t="shared" si="16"/>
        <v>0.49371719462925395</v>
      </c>
      <c r="M36" s="668">
        <f t="shared" si="16"/>
        <v>0.7258566447632131</v>
      </c>
      <c r="N36" s="668" t="e">
        <f t="shared" si="16"/>
        <v>#DIV/0!</v>
      </c>
      <c r="O36" s="737"/>
      <c r="P36" s="143">
        <f t="shared" ref="P36" si="17">+(D36-C36)*P$8</f>
        <v>-8847177.9700000286</v>
      </c>
      <c r="Q36" s="143">
        <f t="shared" ref="Q36" si="18">+(E36-D36)*Q$8</f>
        <v>-3274000</v>
      </c>
      <c r="R36" s="143">
        <f t="shared" ref="R36" si="19">+(F36-E36)*R$8</f>
        <v>0</v>
      </c>
      <c r="S36" s="143">
        <f t="shared" ref="S36" si="20">SUM(P36:R36)</f>
        <v>-12121177.970000029</v>
      </c>
      <c r="T36" s="758"/>
      <c r="U36" s="160"/>
      <c r="V36" s="166"/>
    </row>
    <row r="37" spans="1:22" x14ac:dyDescent="0.25">
      <c r="A37" s="7"/>
      <c r="B37" s="3" t="s">
        <v>377</v>
      </c>
      <c r="C37" s="80">
        <f>SUM(C27:C36)</f>
        <v>1950141658.03</v>
      </c>
      <c r="D37" s="80">
        <f t="shared" ref="D37:F37" si="21">SUM(D27:D36)</f>
        <v>1962128521</v>
      </c>
      <c r="E37" s="80">
        <f t="shared" si="21"/>
        <v>1972413317</v>
      </c>
      <c r="F37" s="80">
        <f t="shared" si="21"/>
        <v>0</v>
      </c>
      <c r="G37" s="80"/>
      <c r="H37" s="80">
        <f t="shared" ref="H37" si="22">SUM(H27:H36)</f>
        <v>588369045</v>
      </c>
      <c r="I37" s="80">
        <f t="shared" ref="I37" si="23">SUM(I27:I36)</f>
        <v>982943374</v>
      </c>
      <c r="J37" s="80">
        <f t="shared" ref="J37" si="24">SUM(J27:J36)</f>
        <v>0</v>
      </c>
      <c r="K37" s="80"/>
      <c r="L37" s="701">
        <f t="shared" si="16"/>
        <v>0.29986264340122704</v>
      </c>
      <c r="M37" s="701">
        <f t="shared" si="16"/>
        <v>0.49834553717931523</v>
      </c>
      <c r="N37" s="701" t="e">
        <f t="shared" si="16"/>
        <v>#DIV/0!</v>
      </c>
      <c r="O37" s="738"/>
      <c r="P37" s="80">
        <f>SUM(P27:P36)</f>
        <v>11986862.969999999</v>
      </c>
      <c r="Q37" s="80">
        <f t="shared" ref="Q37:S37" si="25">SUM(Q27:Q36)</f>
        <v>10284796</v>
      </c>
      <c r="R37" s="80">
        <f t="shared" si="25"/>
        <v>0</v>
      </c>
      <c r="S37" s="80">
        <f t="shared" si="25"/>
        <v>22271658.969999999</v>
      </c>
      <c r="T37" s="691">
        <f t="shared" si="14"/>
        <v>1.14205339280319E-2</v>
      </c>
      <c r="U37" s="164"/>
      <c r="V37" s="167">
        <f t="shared" si="15"/>
        <v>0</v>
      </c>
    </row>
    <row r="38" spans="1:2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5">
      <c r="A41" s="34"/>
      <c r="B41" s="177" t="s">
        <v>412</v>
      </c>
      <c r="C41" s="155">
        <f>+C19-C37</f>
        <v>-3.0000209808349609E-2</v>
      </c>
      <c r="D41" s="155">
        <f>+D19-D37</f>
        <v>0</v>
      </c>
      <c r="E41" s="155">
        <f>+E19-E37</f>
        <v>0</v>
      </c>
      <c r="F41" s="155">
        <f>+F19-F37</f>
        <v>0</v>
      </c>
      <c r="G41" s="155"/>
      <c r="H41" s="155">
        <f>+H19-H37</f>
        <v>601382199</v>
      </c>
      <c r="I41" s="155">
        <f>+I19-I37</f>
        <v>505894475</v>
      </c>
      <c r="J41" s="155">
        <f>+J19-J37</f>
        <v>0</v>
      </c>
      <c r="K41" s="155"/>
      <c r="L41" s="739">
        <f>+L19-L37</f>
        <v>0.30649480529109541</v>
      </c>
      <c r="M41" s="739">
        <f>+M19-M37</f>
        <v>0.2564850230120404</v>
      </c>
      <c r="N41" s="739" t="e">
        <f>+N19-N37</f>
        <v>#DIV/0!</v>
      </c>
      <c r="O41" s="739"/>
      <c r="P41" s="155">
        <f>+P19-P37</f>
        <v>-668821.96999999881</v>
      </c>
      <c r="Q41" s="155">
        <f>+Q19-Q37</f>
        <v>0</v>
      </c>
      <c r="R41" s="155">
        <f>+R19-R37</f>
        <v>0</v>
      </c>
      <c r="S41" s="155">
        <f>+S19-S37</f>
        <v>-668821.96999999881</v>
      </c>
      <c r="T41" s="176">
        <f t="shared" si="14"/>
        <v>22293909.751719583</v>
      </c>
      <c r="U41" s="178"/>
      <c r="V41" s="180">
        <f t="shared" si="15"/>
        <v>-668822.00000020862</v>
      </c>
    </row>
    <row r="45" spans="1:22" x14ac:dyDescent="0.25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5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5">
      <c r="H49" s="19"/>
      <c r="I49" s="19"/>
      <c r="J49" s="19"/>
    </row>
    <row r="51" spans="2:21" x14ac:dyDescent="0.25">
      <c r="H51" s="19"/>
      <c r="I51" s="19"/>
      <c r="J51" s="19"/>
    </row>
    <row r="52" spans="2:21" x14ac:dyDescent="0.25">
      <c r="H52" s="19"/>
      <c r="I52" s="19"/>
      <c r="J52" s="19"/>
    </row>
    <row r="53" spans="2:21" x14ac:dyDescent="0.25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5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5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60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7"/>
  <sheetViews>
    <sheetView view="pageBreakPreview" zoomScaleNormal="50" zoomScaleSheetLayoutView="100" workbookViewId="0">
      <pane ySplit="11" topLeftCell="A87" activePane="bottomLeft" state="frozen"/>
      <selection pane="bottomLeft" activeCell="J11" sqref="J11"/>
    </sheetView>
  </sheetViews>
  <sheetFormatPr defaultRowHeight="13.2" x14ac:dyDescent="0.25"/>
  <cols>
    <col min="1" max="1" width="8.44140625" style="13" customWidth="1"/>
    <col min="2" max="2" width="36.44140625" style="13" customWidth="1"/>
    <col min="3" max="3" width="19.44140625" style="13" customWidth="1"/>
    <col min="4" max="4" width="15.5546875" style="17" customWidth="1"/>
    <col min="5" max="5" width="15.5546875" customWidth="1"/>
    <col min="6" max="6" width="12.33203125" customWidth="1"/>
    <col min="7" max="7" width="1" customWidth="1"/>
    <col min="8" max="9" width="15.5546875" style="17" customWidth="1"/>
    <col min="10" max="10" width="15.5546875" hidden="1" customWidth="1"/>
    <col min="11" max="11" width="0.6640625" customWidth="1"/>
    <col min="12" max="12" width="13.33203125" customWidth="1"/>
    <col min="13" max="13" width="14.5546875" customWidth="1"/>
    <col min="14" max="14" width="12.33203125" hidden="1" customWidth="1"/>
    <col min="15" max="15" width="0.6640625" customWidth="1"/>
    <col min="16" max="17" width="15.5546875" style="17" customWidth="1"/>
    <col min="18" max="18" width="15.5546875" style="17" hidden="1" customWidth="1"/>
    <col min="19" max="19" width="15.5546875" style="17" customWidth="1"/>
    <col min="21" max="21" width="0.6640625" customWidth="1"/>
    <col min="22" max="22" width="4.6640625" customWidth="1"/>
  </cols>
  <sheetData>
    <row r="1" spans="1:27" ht="24.6" x14ac:dyDescent="0.4">
      <c r="A1" s="230" t="s">
        <v>493</v>
      </c>
      <c r="B1" s="229"/>
      <c r="C1" s="229"/>
      <c r="D1" s="229"/>
      <c r="E1" s="229"/>
      <c r="F1" s="229"/>
      <c r="G1" s="228"/>
      <c r="H1" s="225"/>
      <c r="I1" s="225" t="s">
        <v>569</v>
      </c>
      <c r="J1" s="225" t="str">
        <f>+'1. Sülysáp összesen'!J1</f>
        <v>2019. ÉV KÖLTSÉGVETÉS</v>
      </c>
      <c r="K1" s="231" t="s">
        <v>425</v>
      </c>
      <c r="L1" s="231" t="s">
        <v>425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x14ac:dyDescent="0.25">
      <c r="A2" s="63"/>
      <c r="B2" s="63"/>
      <c r="C2" s="63"/>
      <c r="D2" s="63"/>
      <c r="H2" s="63"/>
      <c r="I2" s="63"/>
      <c r="L2" s="63"/>
      <c r="M2" s="63"/>
      <c r="N2" s="63"/>
      <c r="P2" s="63"/>
      <c r="Q2" s="63"/>
      <c r="R2" s="63"/>
      <c r="S2" s="63"/>
    </row>
    <row r="3" spans="1:27" x14ac:dyDescent="0.25">
      <c r="A3" s="63"/>
      <c r="B3" s="63"/>
      <c r="C3" s="575"/>
      <c r="D3" s="63"/>
      <c r="H3" s="63"/>
      <c r="I3" s="63"/>
      <c r="L3" s="63"/>
      <c r="M3" s="63"/>
      <c r="N3" s="63"/>
      <c r="P3" s="63"/>
      <c r="Q3" s="63"/>
      <c r="R3" s="63"/>
      <c r="S3" s="63"/>
    </row>
    <row r="4" spans="1:27" hidden="1" x14ac:dyDescent="0.25">
      <c r="A4" s="63"/>
      <c r="B4" s="63"/>
      <c r="C4" s="63"/>
      <c r="D4" s="63"/>
      <c r="H4" s="63"/>
      <c r="I4" s="63"/>
      <c r="L4" s="63"/>
      <c r="M4" s="63"/>
      <c r="N4" s="63"/>
      <c r="P4" s="63"/>
      <c r="Q4" s="63"/>
      <c r="R4" s="63"/>
      <c r="S4" s="63"/>
    </row>
    <row r="5" spans="1:27" hidden="1" x14ac:dyDescent="0.25">
      <c r="A5" s="63"/>
      <c r="B5" s="63"/>
      <c r="C5" s="63"/>
      <c r="D5" s="63"/>
      <c r="H5" s="63"/>
      <c r="I5" s="63"/>
      <c r="L5" s="63"/>
      <c r="M5" s="63"/>
      <c r="N5" s="63"/>
      <c r="P5" s="63"/>
      <c r="Q5" s="63"/>
      <c r="R5" s="63"/>
      <c r="S5" s="63"/>
    </row>
    <row r="6" spans="1:27" x14ac:dyDescent="0.25">
      <c r="A6" s="65"/>
      <c r="B6" s="65"/>
      <c r="C6" s="65"/>
      <c r="D6" s="65"/>
      <c r="E6" s="46"/>
      <c r="F6" s="46"/>
      <c r="G6" s="46"/>
      <c r="H6" s="65"/>
      <c r="I6" s="65"/>
      <c r="J6" s="46"/>
      <c r="K6" s="46"/>
      <c r="L6" s="65"/>
      <c r="M6" s="65"/>
      <c r="N6" s="65"/>
      <c r="O6" s="46"/>
      <c r="P6" s="63"/>
      <c r="Q6" s="63"/>
      <c r="R6" s="63"/>
      <c r="S6" s="63"/>
      <c r="T6" s="46"/>
      <c r="U6" s="46"/>
      <c r="V6" s="46"/>
    </row>
    <row r="7" spans="1:27" ht="15.6" x14ac:dyDescent="0.3">
      <c r="A7" s="223"/>
      <c r="B7" s="224"/>
      <c r="C7" s="912" t="s">
        <v>410</v>
      </c>
      <c r="D7" s="915"/>
      <c r="E7" s="915"/>
      <c r="F7" s="916"/>
      <c r="G7" s="68"/>
      <c r="H7" s="912" t="s">
        <v>420</v>
      </c>
      <c r="I7" s="913"/>
      <c r="J7" s="913"/>
      <c r="K7" s="913"/>
      <c r="L7" s="913"/>
      <c r="M7" s="913"/>
      <c r="N7" s="914"/>
      <c r="O7" s="68"/>
      <c r="P7" s="912" t="s">
        <v>406</v>
      </c>
      <c r="Q7" s="915"/>
      <c r="R7" s="915"/>
      <c r="S7" s="915"/>
      <c r="T7" s="916"/>
      <c r="U7" s="46"/>
      <c r="V7" s="46"/>
    </row>
    <row r="8" spans="1:27" x14ac:dyDescent="0.25">
      <c r="A8" s="34"/>
      <c r="B8" s="78"/>
      <c r="C8" s="151"/>
      <c r="D8" s="151"/>
      <c r="E8" s="151"/>
      <c r="F8" s="151"/>
      <c r="G8" s="151"/>
      <c r="H8" s="909" t="s">
        <v>422</v>
      </c>
      <c r="I8" s="910"/>
      <c r="J8" s="911"/>
      <c r="K8" s="134"/>
      <c r="L8" s="909" t="s">
        <v>421</v>
      </c>
      <c r="M8" s="910"/>
      <c r="N8" s="911"/>
      <c r="O8" s="151"/>
      <c r="P8" s="128">
        <f>+'1. Sülysáp összesen'!P8</f>
        <v>1</v>
      </c>
      <c r="Q8" s="128">
        <f>+'1. Sülysáp összesen'!Q8</f>
        <v>1</v>
      </c>
      <c r="R8" s="128">
        <f>+'1. Sülysáp összesen'!R8</f>
        <v>0</v>
      </c>
      <c r="S8" s="81"/>
      <c r="T8" s="81"/>
      <c r="U8" s="46"/>
      <c r="V8" s="46"/>
    </row>
    <row r="9" spans="1:27" ht="20.100000000000001" customHeight="1" x14ac:dyDescent="0.25">
      <c r="A9" s="232"/>
      <c r="B9" s="246" t="s">
        <v>371</v>
      </c>
      <c r="C9" s="641">
        <f>+C96</f>
        <v>1895220607</v>
      </c>
      <c r="D9" s="641">
        <f>+D96</f>
        <v>1904849300</v>
      </c>
      <c r="E9" s="641">
        <f>+E96</f>
        <v>1914887247</v>
      </c>
      <c r="F9" s="641">
        <f>+F96</f>
        <v>0</v>
      </c>
      <c r="G9" s="641"/>
      <c r="H9" s="641">
        <f>+H96</f>
        <v>1155612367</v>
      </c>
      <c r="I9" s="641">
        <f>+I96</f>
        <v>1445691287</v>
      </c>
      <c r="J9" s="642">
        <f>+J96</f>
        <v>0</v>
      </c>
      <c r="K9" s="641"/>
      <c r="L9" s="722">
        <f>H9/C9</f>
        <v>0.60975084522178791</v>
      </c>
      <c r="M9" s="722">
        <f>I9/D9</f>
        <v>0.75895310300925123</v>
      </c>
      <c r="N9" s="722">
        <f>J9/E9</f>
        <v>0</v>
      </c>
      <c r="O9" s="724"/>
      <c r="P9" s="641">
        <f>+P96</f>
        <v>9628693</v>
      </c>
      <c r="Q9" s="641">
        <f>+Q96</f>
        <v>10037947</v>
      </c>
      <c r="R9" s="641">
        <f>+R96</f>
        <v>0</v>
      </c>
      <c r="S9" s="641">
        <f>+S96</f>
        <v>19666640</v>
      </c>
      <c r="T9" s="249">
        <f>IF(C9=0,0,+S9/C9)</f>
        <v>1.0376966104822435E-2</v>
      </c>
      <c r="U9" s="234" t="e">
        <f>+R9-D9+B9</f>
        <v>#VALUE!</v>
      </c>
      <c r="V9" s="234">
        <f>+S9-E9+C9</f>
        <v>0</v>
      </c>
    </row>
    <row r="10" spans="1:27" x14ac:dyDescent="0.25">
      <c r="A10" s="34"/>
      <c r="B10" s="78"/>
      <c r="C10" s="762"/>
      <c r="D10" s="762"/>
      <c r="E10" s="762"/>
      <c r="F10" s="762"/>
      <c r="G10" s="762"/>
      <c r="H10" s="764"/>
      <c r="I10" s="765"/>
      <c r="J10" s="766"/>
      <c r="K10" s="763"/>
      <c r="L10" s="638"/>
      <c r="M10" s="639"/>
      <c r="N10" s="640"/>
      <c r="O10" s="725"/>
      <c r="P10" s="244"/>
      <c r="Q10" s="244"/>
      <c r="R10" s="244"/>
      <c r="S10" s="174"/>
      <c r="T10" s="174"/>
      <c r="U10" s="245"/>
      <c r="V10" s="245"/>
      <c r="W10" s="8"/>
    </row>
    <row r="11" spans="1:27" ht="71.099999999999994" customHeight="1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575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28"/>
      <c r="V11" s="132" t="s">
        <v>412</v>
      </c>
    </row>
    <row r="12" spans="1:27" x14ac:dyDescent="0.25">
      <c r="A12" s="149"/>
      <c r="B12" s="146"/>
      <c r="C12" s="71"/>
      <c r="D12" s="71"/>
      <c r="E12" s="68"/>
      <c r="F12" s="68"/>
      <c r="G12" s="68"/>
      <c r="H12" s="68"/>
      <c r="I12" s="68"/>
      <c r="J12" s="68"/>
      <c r="K12" s="68"/>
      <c r="L12" s="653"/>
      <c r="M12" s="653"/>
      <c r="N12" s="653"/>
      <c r="O12" s="93"/>
      <c r="P12" s="81"/>
      <c r="Q12" s="81"/>
      <c r="R12" s="81"/>
      <c r="S12" s="81"/>
      <c r="T12" s="152"/>
      <c r="U12" s="68"/>
      <c r="V12" s="196"/>
    </row>
    <row r="13" spans="1:27" ht="26.4" x14ac:dyDescent="0.25">
      <c r="A13" s="4" t="s">
        <v>241</v>
      </c>
      <c r="B13" s="3" t="s">
        <v>242</v>
      </c>
      <c r="C13" s="66">
        <f>+C14+C21+C22+C23+C24+C25</f>
        <v>572340889</v>
      </c>
      <c r="D13" s="66">
        <f>+D14+D21+D22+D23+D24+D25</f>
        <v>581856889</v>
      </c>
      <c r="E13" s="66">
        <f>+E14+E21+E22+E23+E24+E25</f>
        <v>581856889</v>
      </c>
      <c r="F13" s="66">
        <f>+F14+F21+F22+F23+F24+F25</f>
        <v>0</v>
      </c>
      <c r="G13" s="66"/>
      <c r="H13" s="66">
        <f>+H14+H21+H22+H23+H24+H25</f>
        <v>303198626</v>
      </c>
      <c r="I13" s="66">
        <f>+I14+I21+I22+I23+I24+I25</f>
        <v>462396099</v>
      </c>
      <c r="J13" s="66">
        <f>+J14+J21+J22+J23+J24+J25</f>
        <v>0</v>
      </c>
      <c r="K13" s="66"/>
      <c r="L13" s="691">
        <f t="shared" ref="L13:N28" si="0">IF(H13&gt;0,H13/C13,0)</f>
        <v>0.52975181719019204</v>
      </c>
      <c r="M13" s="691">
        <f t="shared" si="0"/>
        <v>0.79469042601642204</v>
      </c>
      <c r="N13" s="691">
        <f t="shared" si="0"/>
        <v>0</v>
      </c>
      <c r="O13" s="767"/>
      <c r="P13" s="66">
        <f t="shared" ref="P13" si="1">+(D13-C13)*P$8</f>
        <v>9516000</v>
      </c>
      <c r="Q13" s="66">
        <f t="shared" ref="Q13" si="2">+(E13-D13)*Q$8</f>
        <v>0</v>
      </c>
      <c r="R13" s="66">
        <f t="shared" ref="R13" si="3">+(F13-E13)*R$8</f>
        <v>0</v>
      </c>
      <c r="S13" s="66">
        <f t="shared" ref="S13:S76" si="4">+P13*P$8+Q13*Q$8+Q13*G$8</f>
        <v>9516000</v>
      </c>
      <c r="T13" s="85">
        <f t="shared" ref="T13" si="5">IF(C13=0,0,+S13/C13)</f>
        <v>1.6626454937766991E-2</v>
      </c>
      <c r="U13" s="151"/>
      <c r="V13" s="196">
        <f t="shared" ref="V13" si="6">+S13-E13+C13</f>
        <v>0</v>
      </c>
    </row>
    <row r="14" spans="1:27" x14ac:dyDescent="0.25">
      <c r="A14" s="38" t="s">
        <v>243</v>
      </c>
      <c r="B14" s="39" t="s">
        <v>244</v>
      </c>
      <c r="C14" s="140">
        <f>SUM(C15:C20)</f>
        <v>513180889</v>
      </c>
      <c r="D14" s="140">
        <f t="shared" ref="D14:F14" si="7">SUM(D15:D20)</f>
        <v>522696889</v>
      </c>
      <c r="E14" s="140">
        <f t="shared" si="7"/>
        <v>522696889</v>
      </c>
      <c r="F14" s="140">
        <f t="shared" si="7"/>
        <v>0</v>
      </c>
      <c r="G14" s="95"/>
      <c r="H14" s="140">
        <f t="shared" ref="H14" si="8">SUM(H15:H20)</f>
        <v>277454973</v>
      </c>
      <c r="I14" s="140">
        <f t="shared" ref="I14" si="9">SUM(I15:I20)</f>
        <v>417383699</v>
      </c>
      <c r="J14" s="140">
        <f t="shared" ref="J14" si="10">SUM(J15:J20)</f>
        <v>0</v>
      </c>
      <c r="K14" s="95"/>
      <c r="L14" s="653">
        <f t="shared" si="0"/>
        <v>0.54065725935480036</v>
      </c>
      <c r="M14" s="653">
        <f t="shared" si="0"/>
        <v>0.79851957756725811</v>
      </c>
      <c r="N14" s="653">
        <f t="shared" si="0"/>
        <v>0</v>
      </c>
      <c r="O14" s="726"/>
      <c r="P14" s="95">
        <f t="shared" ref="P14:P24" si="11">+(D14-C14)*P$8</f>
        <v>9516000</v>
      </c>
      <c r="Q14" s="95">
        <f t="shared" ref="Q14:Q24" si="12">+(E14-D14)*Q$8</f>
        <v>0</v>
      </c>
      <c r="R14" s="95">
        <f t="shared" ref="R14:R24" si="13">+(F14-E14)*R$8</f>
        <v>0</v>
      </c>
      <c r="S14" s="95">
        <f t="shared" si="4"/>
        <v>9516000</v>
      </c>
      <c r="T14" s="85">
        <f t="shared" ref="T14:T50" si="14">IF(C14=0,0,+S14/C14)</f>
        <v>1.8543169092955059E-2</v>
      </c>
      <c r="U14" s="95"/>
      <c r="V14" s="196">
        <f t="shared" ref="V14:V50" si="15">+S14-E14+C14</f>
        <v>0</v>
      </c>
    </row>
    <row r="15" spans="1:27" ht="26.4" x14ac:dyDescent="0.25">
      <c r="A15" s="149" t="s">
        <v>245</v>
      </c>
      <c r="B15" s="147" t="s">
        <v>382</v>
      </c>
      <c r="C15" s="68">
        <v>162595605</v>
      </c>
      <c r="D15" s="68">
        <v>162595605</v>
      </c>
      <c r="E15" s="68">
        <v>162595605</v>
      </c>
      <c r="F15" s="68"/>
      <c r="G15" s="68"/>
      <c r="H15" s="68">
        <v>84790627</v>
      </c>
      <c r="I15" s="68">
        <v>126999096</v>
      </c>
      <c r="J15" s="68"/>
      <c r="K15" s="68"/>
      <c r="L15" s="653">
        <f t="shared" si="0"/>
        <v>0.52148166612498537</v>
      </c>
      <c r="M15" s="653">
        <f t="shared" si="0"/>
        <v>0.78107336296082541</v>
      </c>
      <c r="N15" s="653">
        <f t="shared" si="0"/>
        <v>0</v>
      </c>
      <c r="O15" s="93"/>
      <c r="P15" s="81">
        <f t="shared" si="11"/>
        <v>0</v>
      </c>
      <c r="Q15" s="81">
        <f t="shared" si="12"/>
        <v>0</v>
      </c>
      <c r="R15" s="81">
        <f t="shared" si="13"/>
        <v>0</v>
      </c>
      <c r="S15" s="81">
        <f t="shared" si="4"/>
        <v>0</v>
      </c>
      <c r="T15" s="85">
        <f t="shared" si="14"/>
        <v>0</v>
      </c>
      <c r="U15" s="68"/>
      <c r="V15" s="196">
        <f t="shared" si="15"/>
        <v>0</v>
      </c>
    </row>
    <row r="16" spans="1:27" ht="26.4" x14ac:dyDescent="0.25">
      <c r="A16" s="149" t="s">
        <v>246</v>
      </c>
      <c r="B16" s="146" t="s">
        <v>413</v>
      </c>
      <c r="C16" s="71">
        <v>192807166</v>
      </c>
      <c r="D16" s="71">
        <v>192807166</v>
      </c>
      <c r="E16" s="71">
        <v>192807166</v>
      </c>
      <c r="F16" s="68"/>
      <c r="G16" s="68"/>
      <c r="H16" s="68">
        <v>98092525</v>
      </c>
      <c r="I16" s="68">
        <v>148960779</v>
      </c>
      <c r="J16" s="68"/>
      <c r="K16" s="68"/>
      <c r="L16" s="653">
        <f t="shared" si="0"/>
        <v>0.50875974703139404</v>
      </c>
      <c r="M16" s="653">
        <f t="shared" si="0"/>
        <v>0.77258943269774527</v>
      </c>
      <c r="N16" s="653">
        <f t="shared" si="0"/>
        <v>0</v>
      </c>
      <c r="O16" s="93"/>
      <c r="P16" s="81">
        <f t="shared" si="11"/>
        <v>0</v>
      </c>
      <c r="Q16" s="81">
        <f t="shared" si="12"/>
        <v>0</v>
      </c>
      <c r="R16" s="81">
        <f t="shared" si="13"/>
        <v>0</v>
      </c>
      <c r="S16" s="81">
        <f t="shared" si="4"/>
        <v>0</v>
      </c>
      <c r="T16" s="85">
        <f t="shared" si="14"/>
        <v>0</v>
      </c>
      <c r="U16" s="68"/>
      <c r="V16" s="196">
        <f t="shared" si="15"/>
        <v>0</v>
      </c>
    </row>
    <row r="17" spans="1:22" ht="26.4" x14ac:dyDescent="0.25">
      <c r="A17" s="149" t="s">
        <v>247</v>
      </c>
      <c r="B17" s="146" t="s">
        <v>414</v>
      </c>
      <c r="C17" s="68">
        <v>147583868</v>
      </c>
      <c r="D17" s="68">
        <v>147583868</v>
      </c>
      <c r="E17" s="68">
        <v>147583868</v>
      </c>
      <c r="F17" s="68"/>
      <c r="G17" s="68"/>
      <c r="H17" s="68">
        <v>79220620</v>
      </c>
      <c r="I17" s="68">
        <v>120446525</v>
      </c>
      <c r="J17" s="68"/>
      <c r="K17" s="68"/>
      <c r="L17" s="653">
        <f t="shared" si="0"/>
        <v>0.53678373574000648</v>
      </c>
      <c r="M17" s="653">
        <f t="shared" si="0"/>
        <v>0.81612256564518282</v>
      </c>
      <c r="N17" s="653">
        <f t="shared" si="0"/>
        <v>0</v>
      </c>
      <c r="O17" s="93"/>
      <c r="P17" s="81">
        <f t="shared" si="11"/>
        <v>0</v>
      </c>
      <c r="Q17" s="81">
        <f t="shared" si="12"/>
        <v>0</v>
      </c>
      <c r="R17" s="81">
        <f t="shared" si="13"/>
        <v>0</v>
      </c>
      <c r="S17" s="81">
        <f t="shared" si="4"/>
        <v>0</v>
      </c>
      <c r="T17" s="85">
        <f t="shared" si="14"/>
        <v>0</v>
      </c>
      <c r="U17" s="68"/>
      <c r="V17" s="196">
        <f t="shared" si="15"/>
        <v>0</v>
      </c>
    </row>
    <row r="18" spans="1:22" ht="26.4" x14ac:dyDescent="0.25">
      <c r="A18" s="149" t="s">
        <v>248</v>
      </c>
      <c r="B18" s="146" t="s">
        <v>415</v>
      </c>
      <c r="C18" s="71">
        <v>10194250</v>
      </c>
      <c r="D18" s="71">
        <v>10194250</v>
      </c>
      <c r="E18" s="71">
        <v>10194250</v>
      </c>
      <c r="F18" s="141"/>
      <c r="G18" s="141"/>
      <c r="H18" s="68">
        <v>5835201</v>
      </c>
      <c r="I18" s="141">
        <v>8883145</v>
      </c>
      <c r="J18" s="141"/>
      <c r="K18" s="141"/>
      <c r="L18" s="653">
        <f t="shared" si="0"/>
        <v>0.57240120656252302</v>
      </c>
      <c r="M18" s="653">
        <f t="shared" si="0"/>
        <v>0.87138779213772466</v>
      </c>
      <c r="N18" s="653">
        <f t="shared" si="0"/>
        <v>0</v>
      </c>
      <c r="O18" s="727"/>
      <c r="P18" s="81">
        <f t="shared" si="11"/>
        <v>0</v>
      </c>
      <c r="Q18" s="81">
        <f t="shared" si="12"/>
        <v>0</v>
      </c>
      <c r="R18" s="81">
        <f t="shared" si="13"/>
        <v>0</v>
      </c>
      <c r="S18" s="81">
        <f t="shared" si="4"/>
        <v>0</v>
      </c>
      <c r="T18" s="85">
        <f t="shared" si="14"/>
        <v>0</v>
      </c>
      <c r="U18" s="141"/>
      <c r="V18" s="196">
        <f t="shared" si="15"/>
        <v>0</v>
      </c>
    </row>
    <row r="19" spans="1:22" x14ac:dyDescent="0.25">
      <c r="A19" s="149" t="s">
        <v>249</v>
      </c>
      <c r="B19" s="147" t="s">
        <v>250</v>
      </c>
      <c r="C19" s="68">
        <v>0</v>
      </c>
      <c r="D19" s="68">
        <v>9516000</v>
      </c>
      <c r="E19" s="68">
        <v>9516000</v>
      </c>
      <c r="F19" s="68"/>
      <c r="G19" s="68"/>
      <c r="H19" s="68">
        <v>9516000</v>
      </c>
      <c r="I19" s="68">
        <v>9516000</v>
      </c>
      <c r="J19" s="68"/>
      <c r="K19" s="68"/>
      <c r="L19" s="653" t="e">
        <f t="shared" si="0"/>
        <v>#DIV/0!</v>
      </c>
      <c r="M19" s="653">
        <f t="shared" si="0"/>
        <v>1</v>
      </c>
      <c r="N19" s="653">
        <f t="shared" si="0"/>
        <v>0</v>
      </c>
      <c r="O19" s="93"/>
      <c r="P19" s="81">
        <f t="shared" si="11"/>
        <v>9516000</v>
      </c>
      <c r="Q19" s="81">
        <f t="shared" si="12"/>
        <v>0</v>
      </c>
      <c r="R19" s="81">
        <f t="shared" si="13"/>
        <v>0</v>
      </c>
      <c r="S19" s="81">
        <f t="shared" si="4"/>
        <v>9516000</v>
      </c>
      <c r="T19" s="85">
        <f t="shared" si="14"/>
        <v>0</v>
      </c>
      <c r="U19" s="68"/>
      <c r="V19" s="196">
        <f t="shared" si="15"/>
        <v>0</v>
      </c>
    </row>
    <row r="20" spans="1:22" ht="26.7" customHeight="1" x14ac:dyDescent="0.25">
      <c r="A20" s="149" t="s">
        <v>251</v>
      </c>
      <c r="B20" s="147" t="s">
        <v>252</v>
      </c>
      <c r="C20" s="68">
        <v>0</v>
      </c>
      <c r="D20" s="68"/>
      <c r="E20" s="68"/>
      <c r="F20" s="68"/>
      <c r="G20" s="68"/>
      <c r="H20" s="68"/>
      <c r="I20" s="68">
        <v>2578154</v>
      </c>
      <c r="J20" s="68"/>
      <c r="K20" s="68"/>
      <c r="L20" s="653">
        <f t="shared" si="0"/>
        <v>0</v>
      </c>
      <c r="M20" s="654" t="e">
        <f t="shared" si="0"/>
        <v>#DIV/0!</v>
      </c>
      <c r="N20" s="654">
        <f t="shared" si="0"/>
        <v>0</v>
      </c>
      <c r="O20" s="93"/>
      <c r="P20" s="81">
        <f t="shared" si="11"/>
        <v>0</v>
      </c>
      <c r="Q20" s="81">
        <f t="shared" si="12"/>
        <v>0</v>
      </c>
      <c r="R20" s="81">
        <f t="shared" si="13"/>
        <v>0</v>
      </c>
      <c r="S20" s="81">
        <f t="shared" si="4"/>
        <v>0</v>
      </c>
      <c r="T20" s="85">
        <f t="shared" si="14"/>
        <v>0</v>
      </c>
      <c r="U20" s="68"/>
      <c r="V20" s="196">
        <f t="shared" si="15"/>
        <v>0</v>
      </c>
    </row>
    <row r="21" spans="1:22" x14ac:dyDescent="0.25">
      <c r="A21" s="38" t="s">
        <v>253</v>
      </c>
      <c r="B21" s="39" t="s">
        <v>254</v>
      </c>
      <c r="C21" s="140"/>
      <c r="D21" s="95"/>
      <c r="E21" s="95"/>
      <c r="F21" s="95"/>
      <c r="G21" s="95"/>
      <c r="H21" s="95"/>
      <c r="I21" s="95"/>
      <c r="J21" s="95"/>
      <c r="K21" s="95"/>
      <c r="L21" s="654">
        <f t="shared" si="0"/>
        <v>0</v>
      </c>
      <c r="M21" s="654">
        <f t="shared" si="0"/>
        <v>0</v>
      </c>
      <c r="N21" s="654">
        <f t="shared" si="0"/>
        <v>0</v>
      </c>
      <c r="O21" s="726"/>
      <c r="P21" s="81">
        <f t="shared" si="11"/>
        <v>0</v>
      </c>
      <c r="Q21" s="81">
        <f t="shared" si="12"/>
        <v>0</v>
      </c>
      <c r="R21" s="81">
        <f t="shared" si="13"/>
        <v>0</v>
      </c>
      <c r="S21" s="81">
        <f t="shared" si="4"/>
        <v>0</v>
      </c>
      <c r="T21" s="85">
        <f t="shared" si="14"/>
        <v>0</v>
      </c>
      <c r="U21" s="95"/>
      <c r="V21" s="196">
        <f t="shared" si="15"/>
        <v>0</v>
      </c>
    </row>
    <row r="22" spans="1:22" ht="36" x14ac:dyDescent="0.25">
      <c r="A22" s="38" t="s">
        <v>255</v>
      </c>
      <c r="B22" s="644" t="s">
        <v>256</v>
      </c>
      <c r="C22" s="140"/>
      <c r="D22" s="95"/>
      <c r="E22" s="95"/>
      <c r="F22" s="95"/>
      <c r="G22" s="95"/>
      <c r="H22" s="95"/>
      <c r="I22" s="95"/>
      <c r="J22" s="95"/>
      <c r="K22" s="95"/>
      <c r="L22" s="654">
        <f t="shared" si="0"/>
        <v>0</v>
      </c>
      <c r="M22" s="654">
        <f t="shared" si="0"/>
        <v>0</v>
      </c>
      <c r="N22" s="654">
        <f t="shared" si="0"/>
        <v>0</v>
      </c>
      <c r="O22" s="726"/>
      <c r="P22" s="81">
        <f t="shared" si="11"/>
        <v>0</v>
      </c>
      <c r="Q22" s="81">
        <f t="shared" si="12"/>
        <v>0</v>
      </c>
      <c r="R22" s="81">
        <f t="shared" si="13"/>
        <v>0</v>
      </c>
      <c r="S22" s="81">
        <f t="shared" si="4"/>
        <v>0</v>
      </c>
      <c r="T22" s="85">
        <f t="shared" si="14"/>
        <v>0</v>
      </c>
      <c r="U22" s="95"/>
      <c r="V22" s="196">
        <f t="shared" si="15"/>
        <v>0</v>
      </c>
    </row>
    <row r="23" spans="1:22" ht="36" x14ac:dyDescent="0.25">
      <c r="A23" s="38" t="s">
        <v>257</v>
      </c>
      <c r="B23" s="644" t="s">
        <v>258</v>
      </c>
      <c r="C23" s="140"/>
      <c r="D23" s="95"/>
      <c r="E23" s="95"/>
      <c r="F23" s="95"/>
      <c r="G23" s="95"/>
      <c r="H23" s="95"/>
      <c r="I23" s="95"/>
      <c r="J23" s="95"/>
      <c r="K23" s="95"/>
      <c r="L23" s="654">
        <f t="shared" si="0"/>
        <v>0</v>
      </c>
      <c r="M23" s="654">
        <f t="shared" si="0"/>
        <v>0</v>
      </c>
      <c r="N23" s="654">
        <f t="shared" si="0"/>
        <v>0</v>
      </c>
      <c r="O23" s="726"/>
      <c r="P23" s="81">
        <f t="shared" si="11"/>
        <v>0</v>
      </c>
      <c r="Q23" s="81">
        <f t="shared" si="12"/>
        <v>0</v>
      </c>
      <c r="R23" s="81">
        <f t="shared" si="13"/>
        <v>0</v>
      </c>
      <c r="S23" s="81">
        <f t="shared" si="4"/>
        <v>0</v>
      </c>
      <c r="T23" s="85">
        <f t="shared" si="14"/>
        <v>0</v>
      </c>
      <c r="U23" s="95"/>
      <c r="V23" s="196">
        <f t="shared" si="15"/>
        <v>0</v>
      </c>
    </row>
    <row r="24" spans="1:22" ht="39.6" x14ac:dyDescent="0.25">
      <c r="A24" s="38" t="s">
        <v>259</v>
      </c>
      <c r="B24" s="39" t="s">
        <v>260</v>
      </c>
      <c r="C24" s="140"/>
      <c r="D24" s="95"/>
      <c r="E24" s="95"/>
      <c r="F24" s="95"/>
      <c r="G24" s="95"/>
      <c r="H24" s="95"/>
      <c r="I24" s="95"/>
      <c r="J24" s="95"/>
      <c r="K24" s="95"/>
      <c r="L24" s="654">
        <f t="shared" si="0"/>
        <v>0</v>
      </c>
      <c r="M24" s="654">
        <f t="shared" si="0"/>
        <v>0</v>
      </c>
      <c r="N24" s="654">
        <f t="shared" si="0"/>
        <v>0</v>
      </c>
      <c r="O24" s="726"/>
      <c r="P24" s="81">
        <f t="shared" si="11"/>
        <v>0</v>
      </c>
      <c r="Q24" s="81">
        <f t="shared" si="12"/>
        <v>0</v>
      </c>
      <c r="R24" s="81">
        <f t="shared" si="13"/>
        <v>0</v>
      </c>
      <c r="S24" s="81">
        <f t="shared" si="4"/>
        <v>0</v>
      </c>
      <c r="T24" s="85">
        <f t="shared" si="14"/>
        <v>0</v>
      </c>
      <c r="U24" s="95"/>
      <c r="V24" s="196">
        <f t="shared" si="15"/>
        <v>0</v>
      </c>
    </row>
    <row r="25" spans="1:22" ht="39.6" x14ac:dyDescent="0.25">
      <c r="A25" s="38" t="s">
        <v>261</v>
      </c>
      <c r="B25" s="39" t="s">
        <v>383</v>
      </c>
      <c r="C25" s="95">
        <f>SUM(C26:C29)</f>
        <v>59160000</v>
      </c>
      <c r="D25" s="95">
        <f>SUM(D26:D29)</f>
        <v>59160000</v>
      </c>
      <c r="E25" s="95">
        <f>SUM(E26:E29)</f>
        <v>59160000</v>
      </c>
      <c r="F25" s="95">
        <f t="shared" ref="F25" si="16">SUM(F26:F29)</f>
        <v>0</v>
      </c>
      <c r="G25" s="95"/>
      <c r="H25" s="95">
        <f>SUM(H26:H29)</f>
        <v>25743653</v>
      </c>
      <c r="I25" s="95">
        <f>SUM(I26:I29)</f>
        <v>45012400</v>
      </c>
      <c r="J25" s="95">
        <f t="shared" ref="J25" si="17">SUM(J26:J29)</f>
        <v>0</v>
      </c>
      <c r="K25" s="95"/>
      <c r="L25" s="653">
        <f t="shared" si="0"/>
        <v>0.43515302569303582</v>
      </c>
      <c r="M25" s="653">
        <f t="shared" si="0"/>
        <v>0.76085868830290737</v>
      </c>
      <c r="N25" s="653">
        <f t="shared" si="0"/>
        <v>0</v>
      </c>
      <c r="O25" s="726"/>
      <c r="P25" s="95">
        <f t="shared" ref="P25:R25" si="18">+P26+P27+P28+P29</f>
        <v>0</v>
      </c>
      <c r="Q25" s="95">
        <f t="shared" si="18"/>
        <v>0</v>
      </c>
      <c r="R25" s="95">
        <f t="shared" si="18"/>
        <v>0</v>
      </c>
      <c r="S25" s="95">
        <f t="shared" si="4"/>
        <v>0</v>
      </c>
      <c r="T25" s="85">
        <f t="shared" si="14"/>
        <v>0</v>
      </c>
      <c r="U25" s="95"/>
      <c r="V25" s="196">
        <f t="shared" si="15"/>
        <v>0</v>
      </c>
    </row>
    <row r="26" spans="1:22" ht="47.4" x14ac:dyDescent="0.25">
      <c r="A26" s="150" t="s">
        <v>391</v>
      </c>
      <c r="B26" s="146" t="s">
        <v>416</v>
      </c>
      <c r="C26" s="142">
        <v>20000000</v>
      </c>
      <c r="D26" s="142">
        <v>20000000</v>
      </c>
      <c r="E26" s="142">
        <v>20000000</v>
      </c>
      <c r="F26" s="141"/>
      <c r="G26" s="141"/>
      <c r="H26" s="141">
        <f>75240+8091000</f>
        <v>8166240</v>
      </c>
      <c r="I26" s="141">
        <v>12652600</v>
      </c>
      <c r="J26" s="141"/>
      <c r="K26" s="141"/>
      <c r="L26" s="653">
        <f t="shared" si="0"/>
        <v>0.40831200000000001</v>
      </c>
      <c r="M26" s="653">
        <f t="shared" si="0"/>
        <v>0.63263000000000003</v>
      </c>
      <c r="N26" s="653">
        <f t="shared" si="0"/>
        <v>0</v>
      </c>
      <c r="O26" s="727"/>
      <c r="P26" s="81">
        <f t="shared" ref="P26:R29" si="19">+(D26-C26)*P$8</f>
        <v>0</v>
      </c>
      <c r="Q26" s="81">
        <f t="shared" si="19"/>
        <v>0</v>
      </c>
      <c r="R26" s="81">
        <f t="shared" si="19"/>
        <v>0</v>
      </c>
      <c r="S26" s="81">
        <f t="shared" si="4"/>
        <v>0</v>
      </c>
      <c r="T26" s="85">
        <f t="shared" si="14"/>
        <v>0</v>
      </c>
      <c r="U26" s="141"/>
      <c r="V26" s="196">
        <f t="shared" si="15"/>
        <v>0</v>
      </c>
    </row>
    <row r="27" spans="1:22" ht="24" x14ac:dyDescent="0.25">
      <c r="A27" s="150" t="s">
        <v>394</v>
      </c>
      <c r="B27" s="146" t="s">
        <v>417</v>
      </c>
      <c r="C27" s="142">
        <f>540000*4</f>
        <v>2160000</v>
      </c>
      <c r="D27" s="142">
        <f>540000*4</f>
        <v>2160000</v>
      </c>
      <c r="E27" s="142">
        <f>540000*4</f>
        <v>2160000</v>
      </c>
      <c r="F27" s="141"/>
      <c r="G27" s="141"/>
      <c r="H27" s="141">
        <v>3608000</v>
      </c>
      <c r="I27" s="141">
        <f>8683262+657120</f>
        <v>9340382</v>
      </c>
      <c r="J27" s="141"/>
      <c r="K27" s="141"/>
      <c r="L27" s="653">
        <f t="shared" si="0"/>
        <v>1.6703703703703703</v>
      </c>
      <c r="M27" s="653">
        <f t="shared" si="0"/>
        <v>4.3242509259259263</v>
      </c>
      <c r="N27" s="653">
        <f t="shared" si="0"/>
        <v>0</v>
      </c>
      <c r="O27" s="727"/>
      <c r="P27" s="81">
        <f t="shared" si="19"/>
        <v>0</v>
      </c>
      <c r="Q27" s="81">
        <f t="shared" si="19"/>
        <v>0</v>
      </c>
      <c r="R27" s="81">
        <f t="shared" si="19"/>
        <v>0</v>
      </c>
      <c r="S27" s="81">
        <f t="shared" si="4"/>
        <v>0</v>
      </c>
      <c r="T27" s="85">
        <f t="shared" si="14"/>
        <v>0</v>
      </c>
      <c r="U27" s="141"/>
      <c r="V27" s="196">
        <f t="shared" si="15"/>
        <v>0</v>
      </c>
    </row>
    <row r="28" spans="1:22" x14ac:dyDescent="0.25">
      <c r="A28" s="150" t="s">
        <v>395</v>
      </c>
      <c r="B28" s="146" t="s">
        <v>580</v>
      </c>
      <c r="C28" s="142">
        <v>7000000</v>
      </c>
      <c r="D28" s="142">
        <v>7000000</v>
      </c>
      <c r="E28" s="142">
        <v>7000000</v>
      </c>
      <c r="F28" s="141"/>
      <c r="G28" s="141"/>
      <c r="H28" s="141">
        <v>0</v>
      </c>
      <c r="I28" s="141">
        <v>0</v>
      </c>
      <c r="J28" s="141"/>
      <c r="K28" s="141"/>
      <c r="L28" s="653">
        <f t="shared" si="0"/>
        <v>0</v>
      </c>
      <c r="M28" s="653">
        <f t="shared" si="0"/>
        <v>0</v>
      </c>
      <c r="N28" s="653">
        <f t="shared" si="0"/>
        <v>0</v>
      </c>
      <c r="O28" s="727"/>
      <c r="P28" s="81">
        <f t="shared" si="19"/>
        <v>0</v>
      </c>
      <c r="Q28" s="81">
        <f t="shared" si="19"/>
        <v>0</v>
      </c>
      <c r="R28" s="81">
        <f t="shared" si="19"/>
        <v>0</v>
      </c>
      <c r="S28" s="81">
        <f t="shared" si="4"/>
        <v>0</v>
      </c>
      <c r="T28" s="85">
        <f t="shared" si="14"/>
        <v>0</v>
      </c>
      <c r="U28" s="141"/>
      <c r="V28" s="196">
        <f t="shared" si="15"/>
        <v>0</v>
      </c>
    </row>
    <row r="29" spans="1:22" ht="24" x14ac:dyDescent="0.25">
      <c r="A29" s="150" t="s">
        <v>396</v>
      </c>
      <c r="B29" s="146" t="s">
        <v>418</v>
      </c>
      <c r="C29" s="142">
        <v>30000000</v>
      </c>
      <c r="D29" s="142">
        <v>30000000</v>
      </c>
      <c r="E29" s="142">
        <v>30000000</v>
      </c>
      <c r="F29" s="141"/>
      <c r="G29" s="141"/>
      <c r="H29" s="141">
        <v>13969413</v>
      </c>
      <c r="I29" s="141">
        <v>23019418</v>
      </c>
      <c r="J29" s="141"/>
      <c r="K29" s="141"/>
      <c r="L29" s="653">
        <f t="shared" ref="L29:N35" si="20">IF(H29&gt;0,H29/C29,0)</f>
        <v>0.46564709999999998</v>
      </c>
      <c r="M29" s="653">
        <f t="shared" si="20"/>
        <v>0.76731393333333331</v>
      </c>
      <c r="N29" s="653">
        <f t="shared" si="20"/>
        <v>0</v>
      </c>
      <c r="O29" s="727"/>
      <c r="P29" s="81">
        <f t="shared" si="19"/>
        <v>0</v>
      </c>
      <c r="Q29" s="81">
        <f t="shared" si="19"/>
        <v>0</v>
      </c>
      <c r="R29" s="81">
        <f t="shared" si="19"/>
        <v>0</v>
      </c>
      <c r="S29" s="81">
        <f t="shared" si="4"/>
        <v>0</v>
      </c>
      <c r="T29" s="85">
        <f t="shared" si="14"/>
        <v>0</v>
      </c>
      <c r="U29" s="141"/>
      <c r="V29" s="196">
        <f t="shared" si="15"/>
        <v>0</v>
      </c>
    </row>
    <row r="30" spans="1:22" ht="34.5" customHeight="1" x14ac:dyDescent="0.25">
      <c r="A30" s="4" t="s">
        <v>262</v>
      </c>
      <c r="B30" s="3" t="s">
        <v>263</v>
      </c>
      <c r="C30" s="66">
        <f>SUM(C31:C35)</f>
        <v>285600000</v>
      </c>
      <c r="D30" s="66">
        <f>SUM(D31:D35)</f>
        <v>285600000</v>
      </c>
      <c r="E30" s="66">
        <f>SUM(E31:E35)</f>
        <v>285600000</v>
      </c>
      <c r="F30" s="66">
        <f>SUM(F31:F35)</f>
        <v>0</v>
      </c>
      <c r="G30" s="66"/>
      <c r="H30" s="66">
        <f>SUM(H31:H35)</f>
        <v>52664113</v>
      </c>
      <c r="I30" s="66">
        <f>SUM(I31:I35)</f>
        <v>50464113</v>
      </c>
      <c r="J30" s="66">
        <f>SUM(J31:J35)</f>
        <v>0</v>
      </c>
      <c r="K30" s="66"/>
      <c r="L30" s="691">
        <f t="shared" si="20"/>
        <v>0.18439815476190477</v>
      </c>
      <c r="M30" s="691">
        <f t="shared" si="20"/>
        <v>0.17669507352941177</v>
      </c>
      <c r="N30" s="691">
        <f t="shared" si="20"/>
        <v>0</v>
      </c>
      <c r="O30" s="767"/>
      <c r="P30" s="66">
        <f t="shared" ref="P30:R30" si="21">SUM(P31:P35)</f>
        <v>0</v>
      </c>
      <c r="Q30" s="66">
        <f t="shared" si="21"/>
        <v>0</v>
      </c>
      <c r="R30" s="66">
        <f t="shared" si="21"/>
        <v>0</v>
      </c>
      <c r="S30" s="66">
        <f t="shared" si="4"/>
        <v>0</v>
      </c>
      <c r="T30" s="85">
        <f t="shared" si="14"/>
        <v>0</v>
      </c>
      <c r="U30" s="66"/>
      <c r="V30" s="196">
        <f t="shared" si="15"/>
        <v>0</v>
      </c>
    </row>
    <row r="31" spans="1:22" s="42" customFormat="1" ht="26.4" x14ac:dyDescent="0.25">
      <c r="A31" s="38" t="s">
        <v>264</v>
      </c>
      <c r="B31" s="39" t="s">
        <v>473</v>
      </c>
      <c r="C31" s="140"/>
      <c r="D31" s="95"/>
      <c r="E31" s="95"/>
      <c r="F31" s="95"/>
      <c r="G31" s="95"/>
      <c r="H31" s="95"/>
      <c r="I31" s="95"/>
      <c r="J31" s="95"/>
      <c r="K31" s="95"/>
      <c r="L31" s="654">
        <f t="shared" si="20"/>
        <v>0</v>
      </c>
      <c r="M31" s="654">
        <f t="shared" si="20"/>
        <v>0</v>
      </c>
      <c r="N31" s="654">
        <f t="shared" si="20"/>
        <v>0</v>
      </c>
      <c r="O31" s="726"/>
      <c r="P31" s="95">
        <f t="shared" ref="P31:R38" si="22">+(D31-C31)*P$8</f>
        <v>0</v>
      </c>
      <c r="Q31" s="95">
        <f t="shared" si="22"/>
        <v>0</v>
      </c>
      <c r="R31" s="95">
        <f t="shared" si="22"/>
        <v>0</v>
      </c>
      <c r="S31" s="95">
        <f t="shared" si="4"/>
        <v>0</v>
      </c>
      <c r="T31" s="85">
        <f t="shared" si="14"/>
        <v>0</v>
      </c>
      <c r="U31" s="95"/>
      <c r="V31" s="196">
        <f t="shared" si="15"/>
        <v>0</v>
      </c>
    </row>
    <row r="32" spans="1:22" s="42" customFormat="1" ht="51" hidden="1" customHeight="1" x14ac:dyDescent="0.25">
      <c r="A32" s="38" t="s">
        <v>265</v>
      </c>
      <c r="B32" s="560" t="s">
        <v>474</v>
      </c>
      <c r="C32" s="140"/>
      <c r="D32" s="95"/>
      <c r="E32" s="140"/>
      <c r="F32" s="140"/>
      <c r="G32" s="140"/>
      <c r="H32" s="140"/>
      <c r="I32" s="140"/>
      <c r="J32" s="140"/>
      <c r="K32" s="140"/>
      <c r="L32" s="655">
        <f t="shared" si="20"/>
        <v>0</v>
      </c>
      <c r="M32" s="655">
        <f t="shared" si="20"/>
        <v>0</v>
      </c>
      <c r="N32" s="655">
        <f t="shared" si="20"/>
        <v>0</v>
      </c>
      <c r="O32" s="134"/>
      <c r="P32" s="81">
        <f t="shared" si="22"/>
        <v>0</v>
      </c>
      <c r="Q32" s="81">
        <f t="shared" si="22"/>
        <v>0</v>
      </c>
      <c r="R32" s="81">
        <f t="shared" si="22"/>
        <v>0</v>
      </c>
      <c r="S32" s="81">
        <f t="shared" si="4"/>
        <v>0</v>
      </c>
      <c r="T32" s="85">
        <f t="shared" si="14"/>
        <v>0</v>
      </c>
      <c r="U32" s="140"/>
      <c r="V32" s="196">
        <f t="shared" si="15"/>
        <v>0</v>
      </c>
    </row>
    <row r="33" spans="1:22" s="42" customFormat="1" ht="39.6" x14ac:dyDescent="0.25">
      <c r="A33" s="38" t="s">
        <v>266</v>
      </c>
      <c r="B33" s="560" t="s">
        <v>267</v>
      </c>
      <c r="C33" s="140"/>
      <c r="D33" s="95"/>
      <c r="E33" s="140"/>
      <c r="F33" s="140"/>
      <c r="G33" s="140"/>
      <c r="H33" s="140"/>
      <c r="I33" s="140"/>
      <c r="J33" s="140"/>
      <c r="K33" s="140"/>
      <c r="L33" s="655">
        <f t="shared" si="20"/>
        <v>0</v>
      </c>
      <c r="M33" s="655">
        <f t="shared" si="20"/>
        <v>0</v>
      </c>
      <c r="N33" s="655">
        <f t="shared" si="20"/>
        <v>0</v>
      </c>
      <c r="O33" s="134"/>
      <c r="P33" s="81">
        <f t="shared" si="22"/>
        <v>0</v>
      </c>
      <c r="Q33" s="81">
        <f t="shared" si="22"/>
        <v>0</v>
      </c>
      <c r="R33" s="81">
        <f t="shared" si="22"/>
        <v>0</v>
      </c>
      <c r="S33" s="81">
        <f t="shared" si="4"/>
        <v>0</v>
      </c>
      <c r="T33" s="85">
        <f t="shared" si="14"/>
        <v>0</v>
      </c>
      <c r="U33" s="140"/>
      <c r="V33" s="196">
        <f t="shared" si="15"/>
        <v>0</v>
      </c>
    </row>
    <row r="34" spans="1:22" s="42" customFormat="1" ht="40.35" customHeight="1" x14ac:dyDescent="0.25">
      <c r="A34" s="38" t="s">
        <v>268</v>
      </c>
      <c r="B34" s="644" t="s">
        <v>419</v>
      </c>
      <c r="C34" s="140"/>
      <c r="D34" s="95"/>
      <c r="E34" s="140"/>
      <c r="F34" s="140"/>
      <c r="G34" s="140"/>
      <c r="H34" s="140"/>
      <c r="I34" s="140"/>
      <c r="J34" s="140"/>
      <c r="K34" s="140"/>
      <c r="L34" s="655">
        <f t="shared" si="20"/>
        <v>0</v>
      </c>
      <c r="M34" s="655">
        <f t="shared" si="20"/>
        <v>0</v>
      </c>
      <c r="N34" s="655">
        <f t="shared" si="20"/>
        <v>0</v>
      </c>
      <c r="O34" s="134"/>
      <c r="P34" s="81">
        <f t="shared" si="22"/>
        <v>0</v>
      </c>
      <c r="Q34" s="81">
        <f t="shared" si="22"/>
        <v>0</v>
      </c>
      <c r="R34" s="81">
        <f t="shared" si="22"/>
        <v>0</v>
      </c>
      <c r="S34" s="81">
        <f t="shared" si="4"/>
        <v>0</v>
      </c>
      <c r="T34" s="85">
        <f t="shared" si="14"/>
        <v>0</v>
      </c>
      <c r="U34" s="140"/>
      <c r="V34" s="196">
        <f t="shared" si="15"/>
        <v>0</v>
      </c>
    </row>
    <row r="35" spans="1:22" s="42" customFormat="1" ht="26.4" x14ac:dyDescent="0.25">
      <c r="A35" s="38" t="s">
        <v>269</v>
      </c>
      <c r="B35" s="39" t="s">
        <v>549</v>
      </c>
      <c r="C35" s="140">
        <f>+C36+C37+C38</f>
        <v>285600000</v>
      </c>
      <c r="D35" s="140">
        <f>+D36+D37+D38</f>
        <v>285600000</v>
      </c>
      <c r="E35" s="140">
        <f>+E36+E37+E38</f>
        <v>285600000</v>
      </c>
      <c r="F35" s="95">
        <f>SUM(F36:F38)</f>
        <v>0</v>
      </c>
      <c r="G35" s="95"/>
      <c r="H35" s="140">
        <f>+H36+H37+H38</f>
        <v>52664113</v>
      </c>
      <c r="I35" s="140">
        <f>+I36+I37+I38</f>
        <v>50464113</v>
      </c>
      <c r="J35" s="95">
        <f>SUM(J36:J38)</f>
        <v>0</v>
      </c>
      <c r="K35" s="95"/>
      <c r="L35" s="654">
        <f t="shared" si="20"/>
        <v>0.18439815476190477</v>
      </c>
      <c r="M35" s="654">
        <f t="shared" si="20"/>
        <v>0.17669507352941177</v>
      </c>
      <c r="N35" s="654">
        <f t="shared" si="20"/>
        <v>0</v>
      </c>
      <c r="O35" s="726"/>
      <c r="P35" s="95">
        <f t="shared" si="22"/>
        <v>0</v>
      </c>
      <c r="Q35" s="95">
        <f t="shared" si="22"/>
        <v>0</v>
      </c>
      <c r="R35" s="95">
        <f t="shared" si="22"/>
        <v>0</v>
      </c>
      <c r="S35" s="95">
        <f t="shared" si="4"/>
        <v>0</v>
      </c>
      <c r="T35" s="85">
        <f t="shared" si="14"/>
        <v>0</v>
      </c>
      <c r="U35" s="95"/>
      <c r="V35" s="196">
        <f t="shared" si="15"/>
        <v>0</v>
      </c>
    </row>
    <row r="36" spans="1:22" x14ac:dyDescent="0.25">
      <c r="A36" s="14"/>
      <c r="B36" s="146" t="s">
        <v>566</v>
      </c>
      <c r="C36" s="71">
        <v>70000000</v>
      </c>
      <c r="D36" s="71">
        <v>70000000</v>
      </c>
      <c r="E36" s="71">
        <v>70000000</v>
      </c>
      <c r="F36" s="68"/>
      <c r="G36" s="68"/>
      <c r="H36" s="143">
        <v>52664113</v>
      </c>
      <c r="I36" s="68">
        <v>0</v>
      </c>
      <c r="J36" s="68"/>
      <c r="K36" s="68"/>
      <c r="L36" s="653"/>
      <c r="M36" s="653"/>
      <c r="N36" s="653"/>
      <c r="O36" s="93"/>
      <c r="P36" s="81">
        <f t="shared" si="22"/>
        <v>0</v>
      </c>
      <c r="Q36" s="81">
        <f t="shared" si="22"/>
        <v>0</v>
      </c>
      <c r="R36" s="81">
        <f t="shared" si="22"/>
        <v>0</v>
      </c>
      <c r="S36" s="81">
        <f t="shared" si="4"/>
        <v>0</v>
      </c>
      <c r="T36" s="85">
        <f t="shared" si="14"/>
        <v>0</v>
      </c>
      <c r="U36" s="68"/>
      <c r="V36" s="196">
        <f t="shared" si="15"/>
        <v>0</v>
      </c>
    </row>
    <row r="37" spans="1:22" ht="26.4" x14ac:dyDescent="0.25">
      <c r="A37" s="14"/>
      <c r="B37" s="146" t="s">
        <v>589</v>
      </c>
      <c r="C37" s="71">
        <f>50000000+67000000</f>
        <v>117000000</v>
      </c>
      <c r="D37" s="71">
        <f>50000000+67000000</f>
        <v>117000000</v>
      </c>
      <c r="E37" s="71">
        <f>50000000+67000000</f>
        <v>117000000</v>
      </c>
      <c r="F37" s="68"/>
      <c r="G37" s="68"/>
      <c r="H37" s="68"/>
      <c r="I37" s="68">
        <v>50464113</v>
      </c>
      <c r="J37" s="68"/>
      <c r="K37" s="68"/>
      <c r="L37" s="653"/>
      <c r="M37" s="653"/>
      <c r="N37" s="653"/>
      <c r="O37" s="93"/>
      <c r="P37" s="81">
        <f t="shared" si="22"/>
        <v>0</v>
      </c>
      <c r="Q37" s="81">
        <f t="shared" si="22"/>
        <v>0</v>
      </c>
      <c r="R37" s="81">
        <f t="shared" si="22"/>
        <v>0</v>
      </c>
      <c r="S37" s="81">
        <f t="shared" si="4"/>
        <v>0</v>
      </c>
      <c r="T37" s="85">
        <f t="shared" si="14"/>
        <v>0</v>
      </c>
      <c r="U37" s="68"/>
      <c r="V37" s="196">
        <f t="shared" si="15"/>
        <v>0</v>
      </c>
    </row>
    <row r="38" spans="1:22" x14ac:dyDescent="0.25">
      <c r="A38" s="14"/>
      <c r="B38" s="146" t="s">
        <v>567</v>
      </c>
      <c r="C38" s="71">
        <v>98600000</v>
      </c>
      <c r="D38" s="71">
        <v>98600000</v>
      </c>
      <c r="E38" s="71">
        <v>98600000</v>
      </c>
      <c r="F38" s="68"/>
      <c r="G38" s="68"/>
      <c r="H38" s="68"/>
      <c r="I38" s="68">
        <v>0</v>
      </c>
      <c r="J38" s="68"/>
      <c r="K38" s="68"/>
      <c r="L38" s="653"/>
      <c r="M38" s="653"/>
      <c r="N38" s="653"/>
      <c r="O38" s="93"/>
      <c r="P38" s="81">
        <f t="shared" si="22"/>
        <v>0</v>
      </c>
      <c r="Q38" s="81">
        <f t="shared" si="22"/>
        <v>0</v>
      </c>
      <c r="R38" s="81">
        <f t="shared" si="22"/>
        <v>0</v>
      </c>
      <c r="S38" s="81">
        <f t="shared" si="4"/>
        <v>0</v>
      </c>
      <c r="T38" s="85">
        <f t="shared" si="14"/>
        <v>0</v>
      </c>
      <c r="U38" s="68"/>
      <c r="V38" s="196">
        <f t="shared" si="15"/>
        <v>0</v>
      </c>
    </row>
    <row r="39" spans="1:22" x14ac:dyDescent="0.25">
      <c r="A39" s="4" t="s">
        <v>270</v>
      </c>
      <c r="B39" s="3" t="s">
        <v>271</v>
      </c>
      <c r="C39" s="66">
        <f>+C40+C42+C47</f>
        <v>238500000</v>
      </c>
      <c r="D39" s="66">
        <f>+D40+D42+D47</f>
        <v>238500000</v>
      </c>
      <c r="E39" s="66">
        <f>+E40+E42+E47</f>
        <v>238500000</v>
      </c>
      <c r="F39" s="66">
        <f>+F40+F42+F47</f>
        <v>0</v>
      </c>
      <c r="G39" s="66"/>
      <c r="H39" s="66">
        <f>+H40+H42+H47</f>
        <v>126487519</v>
      </c>
      <c r="I39" s="66">
        <f>+I40+I42+I47</f>
        <v>188691308</v>
      </c>
      <c r="J39" s="66">
        <f>+J40+J42+J47</f>
        <v>0</v>
      </c>
      <c r="K39" s="66"/>
      <c r="L39" s="691">
        <f t="shared" ref="L39:N54" si="23">IF(H39&gt;0,H39/C39,0)</f>
        <v>0.53034599161425577</v>
      </c>
      <c r="M39" s="691">
        <f t="shared" si="23"/>
        <v>0.79115852410901466</v>
      </c>
      <c r="N39" s="650">
        <f t="shared" si="23"/>
        <v>0</v>
      </c>
      <c r="O39" s="699"/>
      <c r="P39" s="66">
        <f t="shared" ref="P39:R39" si="24">+P40+P42+P47</f>
        <v>0</v>
      </c>
      <c r="Q39" s="66">
        <f t="shared" si="24"/>
        <v>0</v>
      </c>
      <c r="R39" s="66">
        <f t="shared" si="24"/>
        <v>0</v>
      </c>
      <c r="S39" s="66">
        <f t="shared" si="4"/>
        <v>0</v>
      </c>
      <c r="T39" s="85">
        <f t="shared" si="14"/>
        <v>0</v>
      </c>
      <c r="U39" s="66"/>
      <c r="V39" s="196">
        <f t="shared" si="15"/>
        <v>0</v>
      </c>
    </row>
    <row r="40" spans="1:22" x14ac:dyDescent="0.25">
      <c r="A40" s="38" t="s">
        <v>272</v>
      </c>
      <c r="B40" s="39" t="s">
        <v>273</v>
      </c>
      <c r="C40" s="140">
        <f>SUM(C41)</f>
        <v>18000000</v>
      </c>
      <c r="D40" s="140">
        <f t="shared" ref="D40:H40" si="25">SUM(D41)</f>
        <v>18000000</v>
      </c>
      <c r="E40" s="140">
        <f t="shared" si="25"/>
        <v>18000000</v>
      </c>
      <c r="F40" s="140">
        <f t="shared" si="25"/>
        <v>0</v>
      </c>
      <c r="G40" s="95"/>
      <c r="H40" s="140">
        <f t="shared" si="25"/>
        <v>13495253</v>
      </c>
      <c r="I40" s="140">
        <f t="shared" ref="I40" si="26">SUM(I41)</f>
        <v>16959898</v>
      </c>
      <c r="J40" s="140">
        <f t="shared" ref="J40" si="27">SUM(J41)</f>
        <v>0</v>
      </c>
      <c r="K40" s="95"/>
      <c r="L40" s="653">
        <f t="shared" si="23"/>
        <v>0.74973627777777774</v>
      </c>
      <c r="M40" s="653">
        <f t="shared" si="23"/>
        <v>0.9422165555555555</v>
      </c>
      <c r="N40" s="653">
        <f t="shared" si="23"/>
        <v>0</v>
      </c>
      <c r="O40" s="726"/>
      <c r="P40" s="95">
        <f t="shared" ref="P40:R40" si="28">SUM(P41)</f>
        <v>0</v>
      </c>
      <c r="Q40" s="95">
        <f t="shared" si="28"/>
        <v>0</v>
      </c>
      <c r="R40" s="95">
        <f t="shared" si="28"/>
        <v>0</v>
      </c>
      <c r="S40" s="95">
        <f t="shared" si="4"/>
        <v>0</v>
      </c>
      <c r="T40" s="85">
        <f t="shared" si="14"/>
        <v>0</v>
      </c>
      <c r="U40" s="95"/>
      <c r="V40" s="196">
        <f t="shared" si="15"/>
        <v>0</v>
      </c>
    </row>
    <row r="41" spans="1:22" x14ac:dyDescent="0.25">
      <c r="A41" s="38"/>
      <c r="B41" s="146" t="s">
        <v>274</v>
      </c>
      <c r="C41" s="142">
        <v>18000000</v>
      </c>
      <c r="D41" s="142">
        <v>18000000</v>
      </c>
      <c r="E41" s="142">
        <v>18000000</v>
      </c>
      <c r="F41" s="143"/>
      <c r="G41" s="143"/>
      <c r="H41" s="143">
        <f>12485099+1010154</f>
        <v>13495253</v>
      </c>
      <c r="I41" s="143">
        <v>16959898</v>
      </c>
      <c r="J41" s="143"/>
      <c r="K41" s="143"/>
      <c r="L41" s="654">
        <f t="shared" si="23"/>
        <v>0.74973627777777774</v>
      </c>
      <c r="M41" s="654">
        <f t="shared" si="23"/>
        <v>0.9422165555555555</v>
      </c>
      <c r="N41" s="654">
        <f t="shared" si="23"/>
        <v>0</v>
      </c>
      <c r="O41" s="728"/>
      <c r="P41" s="81">
        <f>+(D41-C41)*P$8</f>
        <v>0</v>
      </c>
      <c r="Q41" s="81">
        <f>+(E41-D41)*Q$8</f>
        <v>0</v>
      </c>
      <c r="R41" s="81">
        <f>+(F41-E41)*R$8</f>
        <v>0</v>
      </c>
      <c r="S41" s="81">
        <f t="shared" si="4"/>
        <v>0</v>
      </c>
      <c r="T41" s="85">
        <f t="shared" si="14"/>
        <v>0</v>
      </c>
      <c r="U41" s="143"/>
      <c r="V41" s="196">
        <f t="shared" si="15"/>
        <v>0</v>
      </c>
    </row>
    <row r="42" spans="1:22" x14ac:dyDescent="0.25">
      <c r="A42" s="38" t="s">
        <v>275</v>
      </c>
      <c r="B42" s="39" t="s">
        <v>276</v>
      </c>
      <c r="C42" s="95">
        <f t="shared" ref="C42" si="29">SUM(C43+C46)</f>
        <v>218000000</v>
      </c>
      <c r="D42" s="95">
        <f>SUM(D43+D46)</f>
        <v>218000000</v>
      </c>
      <c r="E42" s="95">
        <f>SUM(E43+E46)</f>
        <v>218000000</v>
      </c>
      <c r="F42" s="95">
        <f>SUM(F43+F46)</f>
        <v>0</v>
      </c>
      <c r="G42" s="95"/>
      <c r="H42" s="95">
        <f>SUM(H43+H46)</f>
        <v>110692505</v>
      </c>
      <c r="I42" s="95">
        <f>SUM(I43+I46)</f>
        <v>168807145</v>
      </c>
      <c r="J42" s="95">
        <f>SUM(J43+J46)</f>
        <v>0</v>
      </c>
      <c r="K42" s="95"/>
      <c r="L42" s="653">
        <f t="shared" si="23"/>
        <v>0.50776378440366976</v>
      </c>
      <c r="M42" s="653">
        <f t="shared" si="23"/>
        <v>0.77434470183486237</v>
      </c>
      <c r="N42" s="653">
        <f t="shared" si="23"/>
        <v>0</v>
      </c>
      <c r="O42" s="726"/>
      <c r="P42" s="95">
        <f t="shared" ref="P42:R42" si="30">SUM(P43+P46)</f>
        <v>0</v>
      </c>
      <c r="Q42" s="95">
        <f t="shared" si="30"/>
        <v>0</v>
      </c>
      <c r="R42" s="95">
        <f t="shared" si="30"/>
        <v>0</v>
      </c>
      <c r="S42" s="95">
        <f t="shared" si="4"/>
        <v>0</v>
      </c>
      <c r="T42" s="85">
        <f t="shared" si="14"/>
        <v>0</v>
      </c>
      <c r="U42" s="95"/>
      <c r="V42" s="196">
        <f t="shared" si="15"/>
        <v>0</v>
      </c>
    </row>
    <row r="43" spans="1:22" x14ac:dyDescent="0.25">
      <c r="A43" s="14" t="s">
        <v>277</v>
      </c>
      <c r="B43" s="485" t="s">
        <v>278</v>
      </c>
      <c r="C43" s="71">
        <f t="shared" ref="C43" si="31">SUM(C44:C45)</f>
        <v>190000000</v>
      </c>
      <c r="D43" s="71">
        <f t="shared" ref="D43" si="32">SUM(D44:D45)</f>
        <v>190000000</v>
      </c>
      <c r="E43" s="71">
        <f t="shared" ref="E43" si="33">SUM(E44:E45)</f>
        <v>190000000</v>
      </c>
      <c r="F43" s="71">
        <f>SUM(F44:F45)</f>
        <v>0</v>
      </c>
      <c r="G43" s="71"/>
      <c r="H43" s="71">
        <f t="shared" ref="H43:I43" si="34">SUM(H44:H45)</f>
        <v>97046572</v>
      </c>
      <c r="I43" s="71">
        <f t="shared" si="34"/>
        <v>144209000</v>
      </c>
      <c r="J43" s="71">
        <f>SUM(J44:J45)</f>
        <v>0</v>
      </c>
      <c r="K43" s="71"/>
      <c r="L43" s="653">
        <f t="shared" si="23"/>
        <v>0.51077143157894733</v>
      </c>
      <c r="M43" s="653">
        <f t="shared" si="23"/>
        <v>0.75899473684210528</v>
      </c>
      <c r="N43" s="649">
        <f t="shared" si="23"/>
        <v>0</v>
      </c>
      <c r="O43" s="91"/>
      <c r="P43" s="81">
        <f t="shared" ref="P43:R46" si="35">+(D43-C43)*P$8</f>
        <v>0</v>
      </c>
      <c r="Q43" s="81">
        <f t="shared" si="35"/>
        <v>0</v>
      </c>
      <c r="R43" s="81">
        <f t="shared" si="35"/>
        <v>0</v>
      </c>
      <c r="S43" s="81">
        <f t="shared" si="4"/>
        <v>0</v>
      </c>
      <c r="T43" s="85">
        <f t="shared" si="14"/>
        <v>0</v>
      </c>
      <c r="U43" s="71"/>
      <c r="V43" s="196">
        <f t="shared" si="15"/>
        <v>0</v>
      </c>
    </row>
    <row r="44" spans="1:22" x14ac:dyDescent="0.25">
      <c r="A44" s="14"/>
      <c r="B44" s="147" t="s">
        <v>279</v>
      </c>
      <c r="C44" s="71">
        <v>0</v>
      </c>
      <c r="D44" s="71">
        <v>0</v>
      </c>
      <c r="E44" s="71">
        <v>0</v>
      </c>
      <c r="F44" s="68"/>
      <c r="G44" s="68"/>
      <c r="H44" s="68"/>
      <c r="I44" s="68"/>
      <c r="J44" s="68"/>
      <c r="K44" s="68"/>
      <c r="L44" s="653">
        <f t="shared" si="23"/>
        <v>0</v>
      </c>
      <c r="M44" s="653">
        <f t="shared" si="23"/>
        <v>0</v>
      </c>
      <c r="N44" s="649">
        <f t="shared" si="23"/>
        <v>0</v>
      </c>
      <c r="O44" s="93"/>
      <c r="P44" s="81">
        <f t="shared" si="35"/>
        <v>0</v>
      </c>
      <c r="Q44" s="81">
        <f t="shared" si="35"/>
        <v>0</v>
      </c>
      <c r="R44" s="81">
        <f t="shared" si="35"/>
        <v>0</v>
      </c>
      <c r="S44" s="81">
        <f t="shared" si="4"/>
        <v>0</v>
      </c>
      <c r="T44" s="85">
        <f t="shared" si="14"/>
        <v>0</v>
      </c>
      <c r="U44" s="68"/>
      <c r="V44" s="196">
        <f t="shared" si="15"/>
        <v>0</v>
      </c>
    </row>
    <row r="45" spans="1:22" x14ac:dyDescent="0.25">
      <c r="A45" s="14"/>
      <c r="B45" s="148" t="s">
        <v>402</v>
      </c>
      <c r="C45" s="71">
        <v>190000000</v>
      </c>
      <c r="D45" s="71">
        <v>190000000</v>
      </c>
      <c r="E45" s="71">
        <v>190000000</v>
      </c>
      <c r="F45" s="68"/>
      <c r="G45" s="68"/>
      <c r="H45" s="68">
        <v>97046572</v>
      </c>
      <c r="I45" s="68">
        <v>144209000</v>
      </c>
      <c r="J45" s="68"/>
      <c r="K45" s="68"/>
      <c r="L45" s="653">
        <f t="shared" si="23"/>
        <v>0.51077143157894733</v>
      </c>
      <c r="M45" s="653">
        <f t="shared" si="23"/>
        <v>0.75899473684210528</v>
      </c>
      <c r="N45" s="653">
        <f t="shared" si="23"/>
        <v>0</v>
      </c>
      <c r="O45" s="93"/>
      <c r="P45" s="81">
        <f t="shared" si="35"/>
        <v>0</v>
      </c>
      <c r="Q45" s="81">
        <f t="shared" si="35"/>
        <v>0</v>
      </c>
      <c r="R45" s="81">
        <f t="shared" si="35"/>
        <v>0</v>
      </c>
      <c r="S45" s="81">
        <f t="shared" si="4"/>
        <v>0</v>
      </c>
      <c r="T45" s="85">
        <f t="shared" si="14"/>
        <v>0</v>
      </c>
      <c r="U45" s="68"/>
      <c r="V45" s="196">
        <f t="shared" si="15"/>
        <v>0</v>
      </c>
    </row>
    <row r="46" spans="1:22" x14ac:dyDescent="0.25">
      <c r="A46" s="14" t="s">
        <v>280</v>
      </c>
      <c r="B46" s="44" t="s">
        <v>403</v>
      </c>
      <c r="C46" s="71">
        <v>28000000</v>
      </c>
      <c r="D46" s="71">
        <v>28000000</v>
      </c>
      <c r="E46" s="71">
        <v>28000000</v>
      </c>
      <c r="F46" s="68"/>
      <c r="G46" s="68"/>
      <c r="H46" s="68">
        <v>13645933</v>
      </c>
      <c r="I46" s="68">
        <v>24598145</v>
      </c>
      <c r="J46" s="68"/>
      <c r="K46" s="68"/>
      <c r="L46" s="653">
        <f t="shared" si="23"/>
        <v>0.48735475</v>
      </c>
      <c r="M46" s="653">
        <f t="shared" si="23"/>
        <v>0.87850517857142862</v>
      </c>
      <c r="N46" s="653">
        <f t="shared" si="23"/>
        <v>0</v>
      </c>
      <c r="O46" s="93"/>
      <c r="P46" s="81">
        <f t="shared" si="35"/>
        <v>0</v>
      </c>
      <c r="Q46" s="81">
        <f t="shared" si="35"/>
        <v>0</v>
      </c>
      <c r="R46" s="81">
        <f t="shared" si="35"/>
        <v>0</v>
      </c>
      <c r="S46" s="81">
        <f t="shared" si="4"/>
        <v>0</v>
      </c>
      <c r="T46" s="85">
        <f t="shared" si="14"/>
        <v>0</v>
      </c>
      <c r="U46" s="68"/>
      <c r="V46" s="196">
        <f t="shared" si="15"/>
        <v>0</v>
      </c>
    </row>
    <row r="47" spans="1:22" x14ac:dyDescent="0.25">
      <c r="A47" s="38" t="s">
        <v>281</v>
      </c>
      <c r="B47" s="39" t="s">
        <v>282</v>
      </c>
      <c r="C47" s="95">
        <f t="shared" ref="C47" si="36">SUM(C48:C49)</f>
        <v>2500000</v>
      </c>
      <c r="D47" s="95">
        <f>SUM(D48:D49)</f>
        <v>2500000</v>
      </c>
      <c r="E47" s="95">
        <f>SUM(E48:E49)</f>
        <v>2500000</v>
      </c>
      <c r="F47" s="95">
        <f>SUM(F48:F49)</f>
        <v>0</v>
      </c>
      <c r="G47" s="95"/>
      <c r="H47" s="95">
        <f>SUM(H48:H49)</f>
        <v>2299761</v>
      </c>
      <c r="I47" s="95">
        <f>SUM(I48:I49)</f>
        <v>2924265</v>
      </c>
      <c r="J47" s="95">
        <f>SUM(J48:J49)</f>
        <v>0</v>
      </c>
      <c r="K47" s="95"/>
      <c r="L47" s="653">
        <f t="shared" si="23"/>
        <v>0.91990439999999996</v>
      </c>
      <c r="M47" s="653">
        <f t="shared" si="23"/>
        <v>1.1697059999999999</v>
      </c>
      <c r="N47" s="653">
        <f t="shared" si="23"/>
        <v>0</v>
      </c>
      <c r="O47" s="726"/>
      <c r="P47" s="95">
        <f t="shared" ref="P47:R47" si="37">SUM(P48:P49)</f>
        <v>0</v>
      </c>
      <c r="Q47" s="95">
        <f t="shared" si="37"/>
        <v>0</v>
      </c>
      <c r="R47" s="95">
        <f t="shared" si="37"/>
        <v>0</v>
      </c>
      <c r="S47" s="95">
        <f t="shared" si="4"/>
        <v>0</v>
      </c>
      <c r="T47" s="85">
        <f t="shared" si="14"/>
        <v>0</v>
      </c>
      <c r="U47" s="95"/>
      <c r="V47" s="196">
        <f t="shared" si="15"/>
        <v>0</v>
      </c>
    </row>
    <row r="48" spans="1:22" ht="63.6" customHeight="1" x14ac:dyDescent="0.25">
      <c r="A48" s="14"/>
      <c r="B48" s="643" t="s">
        <v>609</v>
      </c>
      <c r="C48" s="71">
        <v>2500000</v>
      </c>
      <c r="D48" s="71">
        <v>2500000</v>
      </c>
      <c r="E48" s="71">
        <v>2500000</v>
      </c>
      <c r="F48" s="68"/>
      <c r="G48" s="68"/>
      <c r="H48" s="68">
        <v>2299761</v>
      </c>
      <c r="I48" s="68">
        <v>2924265</v>
      </c>
      <c r="J48" s="68"/>
      <c r="K48" s="68"/>
      <c r="L48" s="653">
        <f t="shared" si="23"/>
        <v>0.91990439999999996</v>
      </c>
      <c r="M48" s="653">
        <f t="shared" si="23"/>
        <v>1.1697059999999999</v>
      </c>
      <c r="N48" s="653">
        <f t="shared" si="23"/>
        <v>0</v>
      </c>
      <c r="O48" s="93"/>
      <c r="P48" s="81">
        <f t="shared" ref="P48:R49" si="38">+(D48-C48)*P$8</f>
        <v>0</v>
      </c>
      <c r="Q48" s="81">
        <f t="shared" si="38"/>
        <v>0</v>
      </c>
      <c r="R48" s="81">
        <f t="shared" si="38"/>
        <v>0</v>
      </c>
      <c r="S48" s="81">
        <f t="shared" si="4"/>
        <v>0</v>
      </c>
      <c r="T48" s="85">
        <f t="shared" si="14"/>
        <v>0</v>
      </c>
      <c r="U48" s="68"/>
      <c r="V48" s="196">
        <f t="shared" si="15"/>
        <v>0</v>
      </c>
    </row>
    <row r="49" spans="1:22" ht="35.1" hidden="1" customHeight="1" x14ac:dyDescent="0.25">
      <c r="A49" s="14"/>
      <c r="B49" s="147" t="s">
        <v>283</v>
      </c>
      <c r="C49" s="71">
        <v>0</v>
      </c>
      <c r="D49" s="68">
        <f>+C49</f>
        <v>0</v>
      </c>
      <c r="E49" s="68"/>
      <c r="F49" s="68"/>
      <c r="G49" s="68"/>
      <c r="H49" s="68">
        <v>0</v>
      </c>
      <c r="I49" s="68">
        <v>0</v>
      </c>
      <c r="J49" s="68"/>
      <c r="K49" s="68"/>
      <c r="L49" s="653">
        <f t="shared" si="23"/>
        <v>0</v>
      </c>
      <c r="M49" s="653">
        <f t="shared" si="23"/>
        <v>0</v>
      </c>
      <c r="N49" s="653">
        <f t="shared" si="23"/>
        <v>0</v>
      </c>
      <c r="O49" s="93"/>
      <c r="P49" s="81">
        <f t="shared" si="38"/>
        <v>0</v>
      </c>
      <c r="Q49" s="81">
        <f t="shared" si="38"/>
        <v>0</v>
      </c>
      <c r="R49" s="81">
        <f t="shared" si="38"/>
        <v>0</v>
      </c>
      <c r="S49" s="81">
        <f t="shared" si="4"/>
        <v>0</v>
      </c>
      <c r="T49" s="85">
        <f t="shared" si="14"/>
        <v>0</v>
      </c>
      <c r="U49" s="68"/>
      <c r="V49" s="196">
        <f t="shared" si="15"/>
        <v>0</v>
      </c>
    </row>
    <row r="50" spans="1:22" x14ac:dyDescent="0.25">
      <c r="A50" s="4" t="s">
        <v>284</v>
      </c>
      <c r="B50" s="3" t="s">
        <v>285</v>
      </c>
      <c r="C50" s="67">
        <f t="shared" ref="C50" si="39">SUM(C51:C66)</f>
        <v>228427649</v>
      </c>
      <c r="D50" s="67">
        <f>SUM(D51:D66)</f>
        <v>288427649</v>
      </c>
      <c r="E50" s="67">
        <f>SUM(E51:E66)</f>
        <v>327733560</v>
      </c>
      <c r="F50" s="67">
        <f>SUM(F51:F66)</f>
        <v>0</v>
      </c>
      <c r="G50" s="67"/>
      <c r="H50" s="67">
        <f>SUM(H51:H66)</f>
        <v>237582694</v>
      </c>
      <c r="I50" s="292">
        <f>SUM(I51:I66)</f>
        <v>304508752</v>
      </c>
      <c r="J50" s="292">
        <f>SUM(J51:J66)</f>
        <v>0</v>
      </c>
      <c r="K50" s="292"/>
      <c r="L50" s="723">
        <f t="shared" si="23"/>
        <v>1.0400785326998661</v>
      </c>
      <c r="M50" s="723">
        <f t="shared" si="23"/>
        <v>1.0557543739504669</v>
      </c>
      <c r="N50" s="662">
        <f t="shared" si="23"/>
        <v>0</v>
      </c>
      <c r="O50" s="729"/>
      <c r="P50" s="292">
        <f t="shared" ref="P50:R50" si="40">SUM(P51:P66)</f>
        <v>60000000</v>
      </c>
      <c r="Q50" s="67">
        <f t="shared" si="40"/>
        <v>39305911</v>
      </c>
      <c r="R50" s="67">
        <f t="shared" si="40"/>
        <v>0</v>
      </c>
      <c r="S50" s="67">
        <f t="shared" si="4"/>
        <v>99305911</v>
      </c>
      <c r="T50" s="85">
        <f t="shared" si="14"/>
        <v>0.43473682557578658</v>
      </c>
      <c r="U50" s="67"/>
      <c r="V50" s="196">
        <f t="shared" si="15"/>
        <v>0</v>
      </c>
    </row>
    <row r="51" spans="1:22" x14ac:dyDescent="0.25">
      <c r="A51" s="14" t="s">
        <v>286</v>
      </c>
      <c r="B51" s="485" t="s">
        <v>531</v>
      </c>
      <c r="C51" s="71">
        <v>168757649</v>
      </c>
      <c r="D51" s="71">
        <v>168757649</v>
      </c>
      <c r="E51" s="71">
        <v>197333635</v>
      </c>
      <c r="F51" s="71"/>
      <c r="G51" s="71"/>
      <c r="H51" s="71">
        <v>197333635</v>
      </c>
      <c r="I51" s="71">
        <v>197333635</v>
      </c>
      <c r="J51" s="71"/>
      <c r="K51" s="71"/>
      <c r="L51" s="653">
        <f t="shared" si="23"/>
        <v>1.1693315009383665</v>
      </c>
      <c r="M51" s="653">
        <f t="shared" si="23"/>
        <v>1.1693315009383665</v>
      </c>
      <c r="N51" s="649">
        <f t="shared" si="23"/>
        <v>0</v>
      </c>
      <c r="O51" s="91"/>
      <c r="P51" s="71"/>
      <c r="Q51" s="81">
        <f t="shared" ref="Q51:Q66" si="41">+(E51-D51)*Q$8</f>
        <v>28575986</v>
      </c>
      <c r="R51" s="71"/>
      <c r="S51" s="81">
        <f t="shared" si="4"/>
        <v>28575986</v>
      </c>
      <c r="U51" s="71"/>
      <c r="V51" s="198"/>
    </row>
    <row r="52" spans="1:22" x14ac:dyDescent="0.25">
      <c r="A52" s="14" t="s">
        <v>287</v>
      </c>
      <c r="B52" s="20" t="s">
        <v>288</v>
      </c>
      <c r="C52" s="71">
        <v>33000000</v>
      </c>
      <c r="D52" s="71">
        <v>33000000</v>
      </c>
      <c r="E52" s="71">
        <v>33000000</v>
      </c>
      <c r="F52" s="68"/>
      <c r="G52" s="68"/>
      <c r="H52" s="68">
        <v>15108935</v>
      </c>
      <c r="I52" s="68">
        <v>26146455</v>
      </c>
      <c r="J52" s="68"/>
      <c r="K52" s="68"/>
      <c r="L52" s="653">
        <f t="shared" si="23"/>
        <v>0.45784651515151514</v>
      </c>
      <c r="M52" s="653">
        <f t="shared" si="23"/>
        <v>0.79231681818181821</v>
      </c>
      <c r="N52" s="653">
        <f t="shared" si="23"/>
        <v>0</v>
      </c>
      <c r="O52" s="93"/>
      <c r="P52" s="81">
        <f t="shared" ref="P52:P66" si="42">+(D52-C52)*P$8</f>
        <v>0</v>
      </c>
      <c r="Q52" s="81">
        <f t="shared" si="41"/>
        <v>0</v>
      </c>
      <c r="R52" s="81">
        <f t="shared" ref="R52:R66" si="43">+(F52-E52)*R$8</f>
        <v>0</v>
      </c>
      <c r="S52" s="81">
        <f t="shared" si="4"/>
        <v>0</v>
      </c>
      <c r="T52" s="85">
        <f t="shared" ref="T52:T96" si="44">IF(C52=0,0,+S52/C52)</f>
        <v>0</v>
      </c>
      <c r="U52" s="68"/>
      <c r="V52" s="196">
        <f t="shared" ref="V52:V96" si="45">+S52-E52+C52</f>
        <v>0</v>
      </c>
    </row>
    <row r="53" spans="1:22" x14ac:dyDescent="0.25">
      <c r="A53" s="14" t="s">
        <v>289</v>
      </c>
      <c r="B53" s="20" t="s">
        <v>290</v>
      </c>
      <c r="C53" s="71">
        <v>21000000</v>
      </c>
      <c r="D53" s="71">
        <v>21000000</v>
      </c>
      <c r="E53" s="71">
        <v>21000000</v>
      </c>
      <c r="F53" s="68"/>
      <c r="G53" s="68"/>
      <c r="H53" s="68">
        <v>4626682</v>
      </c>
      <c r="I53" s="68">
        <v>5484213</v>
      </c>
      <c r="J53" s="68"/>
      <c r="K53" s="68"/>
      <c r="L53" s="653">
        <f t="shared" si="23"/>
        <v>0.22031819047619047</v>
      </c>
      <c r="M53" s="653">
        <f t="shared" si="23"/>
        <v>0.26115300000000002</v>
      </c>
      <c r="N53" s="653">
        <f t="shared" si="23"/>
        <v>0</v>
      </c>
      <c r="O53" s="93"/>
      <c r="P53" s="81">
        <f t="shared" si="42"/>
        <v>0</v>
      </c>
      <c r="Q53" s="81">
        <f t="shared" si="41"/>
        <v>0</v>
      </c>
      <c r="R53" s="81">
        <f t="shared" si="43"/>
        <v>0</v>
      </c>
      <c r="S53" s="81">
        <f t="shared" si="4"/>
        <v>0</v>
      </c>
      <c r="T53" s="85">
        <f t="shared" si="44"/>
        <v>0</v>
      </c>
      <c r="U53" s="68"/>
      <c r="V53" s="196">
        <f t="shared" si="45"/>
        <v>0</v>
      </c>
    </row>
    <row r="54" spans="1:22" x14ac:dyDescent="0.25">
      <c r="A54" s="14"/>
      <c r="B54" s="20" t="s">
        <v>291</v>
      </c>
      <c r="C54" s="71"/>
      <c r="D54" s="71"/>
      <c r="E54" s="71"/>
      <c r="F54" s="68"/>
      <c r="G54" s="68"/>
      <c r="H54" s="68"/>
      <c r="I54" s="68"/>
      <c r="J54" s="68"/>
      <c r="K54" s="68"/>
      <c r="L54" s="653">
        <f t="shared" si="23"/>
        <v>0</v>
      </c>
      <c r="M54" s="653">
        <f t="shared" si="23"/>
        <v>0</v>
      </c>
      <c r="N54" s="649">
        <f t="shared" si="23"/>
        <v>0</v>
      </c>
      <c r="O54" s="93"/>
      <c r="P54" s="81">
        <f t="shared" si="42"/>
        <v>0</v>
      </c>
      <c r="Q54" s="81">
        <f t="shared" si="41"/>
        <v>0</v>
      </c>
      <c r="R54" s="81">
        <f t="shared" si="43"/>
        <v>0</v>
      </c>
      <c r="S54" s="81">
        <f t="shared" si="4"/>
        <v>0</v>
      </c>
      <c r="T54" s="85">
        <f t="shared" si="44"/>
        <v>0</v>
      </c>
      <c r="U54" s="68"/>
      <c r="V54" s="196">
        <f t="shared" si="45"/>
        <v>0</v>
      </c>
    </row>
    <row r="55" spans="1:22" x14ac:dyDescent="0.25">
      <c r="A55" s="14" t="s">
        <v>292</v>
      </c>
      <c r="B55" s="20" t="s">
        <v>293</v>
      </c>
      <c r="C55" s="71">
        <v>0</v>
      </c>
      <c r="D55" s="71">
        <v>0</v>
      </c>
      <c r="E55" s="71">
        <v>0</v>
      </c>
      <c r="F55" s="68"/>
      <c r="G55" s="68"/>
      <c r="H55" s="68">
        <v>0</v>
      </c>
      <c r="I55" s="68">
        <v>0</v>
      </c>
      <c r="J55" s="68"/>
      <c r="K55" s="68"/>
      <c r="L55" s="653">
        <f t="shared" ref="L55:N72" si="46">IF(H55&gt;0,H55/C55,0)</f>
        <v>0</v>
      </c>
      <c r="M55" s="653">
        <f t="shared" si="46"/>
        <v>0</v>
      </c>
      <c r="N55" s="649">
        <f t="shared" si="46"/>
        <v>0</v>
      </c>
      <c r="O55" s="93"/>
      <c r="P55" s="81">
        <f t="shared" si="42"/>
        <v>0</v>
      </c>
      <c r="Q55" s="81">
        <f t="shared" si="41"/>
        <v>0</v>
      </c>
      <c r="R55" s="81">
        <f t="shared" si="43"/>
        <v>0</v>
      </c>
      <c r="S55" s="81">
        <f t="shared" si="4"/>
        <v>0</v>
      </c>
      <c r="T55" s="85">
        <f t="shared" si="44"/>
        <v>0</v>
      </c>
      <c r="U55" s="68"/>
      <c r="V55" s="196">
        <f t="shared" si="45"/>
        <v>0</v>
      </c>
    </row>
    <row r="56" spans="1:22" ht="39.6" hidden="1" customHeight="1" x14ac:dyDescent="0.25">
      <c r="A56" s="14"/>
      <c r="B56" s="20" t="s">
        <v>294</v>
      </c>
      <c r="C56" s="71"/>
      <c r="D56" s="71"/>
      <c r="E56" s="71"/>
      <c r="F56" s="68"/>
      <c r="G56" s="68"/>
      <c r="H56" s="68"/>
      <c r="I56" s="68"/>
      <c r="J56" s="68"/>
      <c r="K56" s="68"/>
      <c r="L56" s="653">
        <f t="shared" si="46"/>
        <v>0</v>
      </c>
      <c r="M56" s="653">
        <f t="shared" si="46"/>
        <v>0</v>
      </c>
      <c r="N56" s="649">
        <f t="shared" si="46"/>
        <v>0</v>
      </c>
      <c r="O56" s="93"/>
      <c r="P56" s="81">
        <f t="shared" si="42"/>
        <v>0</v>
      </c>
      <c r="Q56" s="81">
        <f t="shared" si="41"/>
        <v>0</v>
      </c>
      <c r="R56" s="81">
        <f t="shared" si="43"/>
        <v>0</v>
      </c>
      <c r="S56" s="81">
        <f t="shared" si="4"/>
        <v>0</v>
      </c>
      <c r="T56" s="85">
        <f t="shared" si="44"/>
        <v>0</v>
      </c>
      <c r="U56" s="68"/>
      <c r="V56" s="196">
        <f t="shared" si="45"/>
        <v>0</v>
      </c>
    </row>
    <row r="57" spans="1:22" x14ac:dyDescent="0.25">
      <c r="A57" s="14" t="s">
        <v>295</v>
      </c>
      <c r="B57" s="20" t="s">
        <v>296</v>
      </c>
      <c r="C57" s="71"/>
      <c r="D57" s="71"/>
      <c r="E57" s="71"/>
      <c r="F57" s="68"/>
      <c r="G57" s="68"/>
      <c r="H57" s="68">
        <v>0</v>
      </c>
      <c r="I57" s="68">
        <v>0</v>
      </c>
      <c r="J57" s="68"/>
      <c r="K57" s="68"/>
      <c r="L57" s="653">
        <f t="shared" si="46"/>
        <v>0</v>
      </c>
      <c r="M57" s="653">
        <f t="shared" si="46"/>
        <v>0</v>
      </c>
      <c r="N57" s="649">
        <f t="shared" si="46"/>
        <v>0</v>
      </c>
      <c r="O57" s="93"/>
      <c r="P57" s="81">
        <f t="shared" si="42"/>
        <v>0</v>
      </c>
      <c r="Q57" s="81">
        <f t="shared" si="41"/>
        <v>0</v>
      </c>
      <c r="R57" s="81">
        <f t="shared" si="43"/>
        <v>0</v>
      </c>
      <c r="S57" s="81">
        <f t="shared" si="4"/>
        <v>0</v>
      </c>
      <c r="T57" s="85">
        <f t="shared" si="44"/>
        <v>0</v>
      </c>
      <c r="U57" s="68"/>
      <c r="V57" s="196">
        <f t="shared" si="45"/>
        <v>0</v>
      </c>
    </row>
    <row r="58" spans="1:22" ht="70.2" hidden="1" customHeight="1" x14ac:dyDescent="0.25">
      <c r="A58" s="14"/>
      <c r="B58" s="20" t="s">
        <v>297</v>
      </c>
      <c r="C58" s="71"/>
      <c r="D58" s="71"/>
      <c r="E58" s="71"/>
      <c r="F58" s="68"/>
      <c r="G58" s="68"/>
      <c r="H58" s="68"/>
      <c r="I58" s="68"/>
      <c r="J58" s="68"/>
      <c r="K58" s="68"/>
      <c r="L58" s="653">
        <f t="shared" si="46"/>
        <v>0</v>
      </c>
      <c r="M58" s="653">
        <f t="shared" si="46"/>
        <v>0</v>
      </c>
      <c r="N58" s="649">
        <f t="shared" si="46"/>
        <v>0</v>
      </c>
      <c r="O58" s="93"/>
      <c r="P58" s="81">
        <f t="shared" si="42"/>
        <v>0</v>
      </c>
      <c r="Q58" s="81">
        <f t="shared" si="41"/>
        <v>0</v>
      </c>
      <c r="R58" s="81">
        <f t="shared" si="43"/>
        <v>0</v>
      </c>
      <c r="S58" s="81">
        <f t="shared" si="4"/>
        <v>0</v>
      </c>
      <c r="T58" s="85">
        <f t="shared" si="44"/>
        <v>0</v>
      </c>
      <c r="U58" s="68"/>
      <c r="V58" s="196">
        <f t="shared" si="45"/>
        <v>0</v>
      </c>
    </row>
    <row r="59" spans="1:22" x14ac:dyDescent="0.25">
      <c r="A59" s="14" t="s">
        <v>298</v>
      </c>
      <c r="B59" s="20" t="s">
        <v>299</v>
      </c>
      <c r="C59" s="71">
        <f>+C53*0.27</f>
        <v>5670000</v>
      </c>
      <c r="D59" s="71">
        <f>+D53*0.27</f>
        <v>5670000</v>
      </c>
      <c r="E59" s="71">
        <v>8670000</v>
      </c>
      <c r="F59" s="68"/>
      <c r="G59" s="68"/>
      <c r="H59" s="68">
        <v>6983675</v>
      </c>
      <c r="I59" s="68">
        <v>7848037</v>
      </c>
      <c r="J59" s="68"/>
      <c r="K59" s="68"/>
      <c r="L59" s="653">
        <f t="shared" si="46"/>
        <v>1.2316887125220459</v>
      </c>
      <c r="M59" s="653">
        <f t="shared" si="46"/>
        <v>1.3841335097001763</v>
      </c>
      <c r="N59" s="653">
        <f t="shared" si="46"/>
        <v>0</v>
      </c>
      <c r="O59" s="93"/>
      <c r="P59" s="81">
        <f t="shared" si="42"/>
        <v>0</v>
      </c>
      <c r="Q59" s="81">
        <f t="shared" si="41"/>
        <v>3000000</v>
      </c>
      <c r="R59" s="81">
        <f t="shared" si="43"/>
        <v>0</v>
      </c>
      <c r="S59" s="81">
        <f t="shared" si="4"/>
        <v>3000000</v>
      </c>
      <c r="T59" s="85">
        <f t="shared" si="44"/>
        <v>0.52910052910052907</v>
      </c>
      <c r="U59" s="68"/>
      <c r="V59" s="196">
        <f t="shared" si="45"/>
        <v>0</v>
      </c>
    </row>
    <row r="60" spans="1:22" x14ac:dyDescent="0.25">
      <c r="A60" s="14" t="s">
        <v>300</v>
      </c>
      <c r="B60" s="20" t="s">
        <v>301</v>
      </c>
      <c r="C60" s="71"/>
      <c r="D60" s="68">
        <v>0</v>
      </c>
      <c r="E60" s="68">
        <v>0</v>
      </c>
      <c r="F60" s="68"/>
      <c r="G60" s="68"/>
      <c r="H60" s="68"/>
      <c r="I60" s="68"/>
      <c r="J60" s="68"/>
      <c r="K60" s="68"/>
      <c r="L60" s="653">
        <f t="shared" si="46"/>
        <v>0</v>
      </c>
      <c r="M60" s="653">
        <f t="shared" si="46"/>
        <v>0</v>
      </c>
      <c r="N60" s="649">
        <f t="shared" si="46"/>
        <v>0</v>
      </c>
      <c r="O60" s="93"/>
      <c r="P60" s="81">
        <f t="shared" si="42"/>
        <v>0</v>
      </c>
      <c r="Q60" s="81">
        <f t="shared" si="41"/>
        <v>0</v>
      </c>
      <c r="R60" s="81">
        <f t="shared" si="43"/>
        <v>0</v>
      </c>
      <c r="S60" s="81">
        <f t="shared" si="4"/>
        <v>0</v>
      </c>
      <c r="T60" s="85">
        <f t="shared" si="44"/>
        <v>0</v>
      </c>
      <c r="U60" s="68"/>
      <c r="V60" s="196">
        <f t="shared" si="45"/>
        <v>0</v>
      </c>
    </row>
    <row r="61" spans="1:22" x14ac:dyDescent="0.25">
      <c r="A61" s="14"/>
      <c r="B61" s="20" t="s">
        <v>302</v>
      </c>
      <c r="C61" s="71"/>
      <c r="D61" s="68"/>
      <c r="E61" s="68"/>
      <c r="F61" s="68"/>
      <c r="G61" s="68"/>
      <c r="H61" s="68"/>
      <c r="I61" s="68"/>
      <c r="J61" s="68"/>
      <c r="K61" s="68"/>
      <c r="L61" s="653">
        <f t="shared" si="46"/>
        <v>0</v>
      </c>
      <c r="M61" s="653">
        <f t="shared" si="46"/>
        <v>0</v>
      </c>
      <c r="N61" s="649">
        <f t="shared" si="46"/>
        <v>0</v>
      </c>
      <c r="O61" s="93"/>
      <c r="P61" s="81">
        <f t="shared" si="42"/>
        <v>0</v>
      </c>
      <c r="Q61" s="81">
        <f t="shared" si="41"/>
        <v>0</v>
      </c>
      <c r="R61" s="81">
        <f t="shared" si="43"/>
        <v>0</v>
      </c>
      <c r="S61" s="81">
        <f t="shared" si="4"/>
        <v>0</v>
      </c>
      <c r="T61" s="85">
        <f t="shared" si="44"/>
        <v>0</v>
      </c>
      <c r="U61" s="68"/>
      <c r="V61" s="196">
        <f t="shared" si="45"/>
        <v>0</v>
      </c>
    </row>
    <row r="62" spans="1:22" x14ac:dyDescent="0.25">
      <c r="A62" s="14" t="s">
        <v>303</v>
      </c>
      <c r="B62" s="20" t="s">
        <v>304</v>
      </c>
      <c r="C62" s="71">
        <v>0</v>
      </c>
      <c r="D62" s="68">
        <v>0</v>
      </c>
      <c r="E62" s="68">
        <v>3483310</v>
      </c>
      <c r="F62" s="68"/>
      <c r="G62" s="68"/>
      <c r="H62" s="68">
        <v>8915</v>
      </c>
      <c r="I62" s="68">
        <v>3483310</v>
      </c>
      <c r="J62" s="68"/>
      <c r="K62" s="68"/>
      <c r="L62" s="653" t="e">
        <f t="shared" si="46"/>
        <v>#DIV/0!</v>
      </c>
      <c r="M62" s="653" t="e">
        <f t="shared" si="46"/>
        <v>#DIV/0!</v>
      </c>
      <c r="N62" s="653">
        <f t="shared" si="46"/>
        <v>0</v>
      </c>
      <c r="O62" s="93"/>
      <c r="P62" s="81">
        <f t="shared" si="42"/>
        <v>0</v>
      </c>
      <c r="Q62" s="81">
        <f t="shared" si="41"/>
        <v>3483310</v>
      </c>
      <c r="R62" s="81">
        <f t="shared" si="43"/>
        <v>0</v>
      </c>
      <c r="S62" s="81">
        <f t="shared" si="4"/>
        <v>3483310</v>
      </c>
      <c r="T62" s="85">
        <f t="shared" si="44"/>
        <v>0</v>
      </c>
      <c r="U62" s="68"/>
      <c r="V62" s="196">
        <f t="shared" si="45"/>
        <v>0</v>
      </c>
    </row>
    <row r="63" spans="1:22" x14ac:dyDescent="0.25">
      <c r="A63" s="14" t="s">
        <v>305</v>
      </c>
      <c r="B63" s="20" t="s">
        <v>306</v>
      </c>
      <c r="C63" s="71">
        <v>0</v>
      </c>
      <c r="D63" s="68">
        <v>0</v>
      </c>
      <c r="E63" s="68">
        <v>4054875</v>
      </c>
      <c r="F63" s="68"/>
      <c r="G63" s="68"/>
      <c r="H63" s="68">
        <v>4054875</v>
      </c>
      <c r="I63" s="68">
        <v>4054875</v>
      </c>
      <c r="J63" s="68"/>
      <c r="K63" s="68"/>
      <c r="L63" s="653" t="e">
        <f t="shared" si="46"/>
        <v>#DIV/0!</v>
      </c>
      <c r="M63" s="653" t="e">
        <f t="shared" si="46"/>
        <v>#DIV/0!</v>
      </c>
      <c r="N63" s="653">
        <f t="shared" si="46"/>
        <v>0</v>
      </c>
      <c r="O63" s="93"/>
      <c r="P63" s="81">
        <f t="shared" si="42"/>
        <v>0</v>
      </c>
      <c r="Q63" s="81">
        <f t="shared" si="41"/>
        <v>4054875</v>
      </c>
      <c r="R63" s="81">
        <f t="shared" si="43"/>
        <v>0</v>
      </c>
      <c r="S63" s="81">
        <f t="shared" si="4"/>
        <v>4054875</v>
      </c>
      <c r="T63" s="85">
        <f t="shared" si="44"/>
        <v>0</v>
      </c>
      <c r="U63" s="68"/>
      <c r="V63" s="196">
        <f t="shared" si="45"/>
        <v>0</v>
      </c>
    </row>
    <row r="64" spans="1:22" ht="52.5" hidden="1" customHeight="1" x14ac:dyDescent="0.25">
      <c r="A64" s="14"/>
      <c r="B64" s="20" t="s">
        <v>307</v>
      </c>
      <c r="C64" s="71"/>
      <c r="D64" s="68"/>
      <c r="E64" s="68"/>
      <c r="F64" s="68"/>
      <c r="G64" s="68"/>
      <c r="H64" s="68"/>
      <c r="I64" s="68"/>
      <c r="J64" s="68"/>
      <c r="K64" s="68"/>
      <c r="L64" s="653">
        <f t="shared" si="46"/>
        <v>0</v>
      </c>
      <c r="M64" s="653">
        <f t="shared" si="46"/>
        <v>0</v>
      </c>
      <c r="N64" s="653">
        <f t="shared" si="46"/>
        <v>0</v>
      </c>
      <c r="O64" s="93"/>
      <c r="P64" s="81">
        <f t="shared" si="42"/>
        <v>0</v>
      </c>
      <c r="Q64" s="81">
        <f t="shared" si="41"/>
        <v>0</v>
      </c>
      <c r="R64" s="81">
        <f t="shared" si="43"/>
        <v>0</v>
      </c>
      <c r="S64" s="81">
        <f t="shared" si="4"/>
        <v>0</v>
      </c>
      <c r="T64" s="85">
        <f t="shared" si="44"/>
        <v>0</v>
      </c>
      <c r="U64" s="68"/>
      <c r="V64" s="196">
        <f t="shared" si="45"/>
        <v>0</v>
      </c>
    </row>
    <row r="65" spans="1:22" x14ac:dyDescent="0.25">
      <c r="A65" s="532" t="s">
        <v>388</v>
      </c>
      <c r="B65" s="20" t="s">
        <v>308</v>
      </c>
      <c r="C65" s="71">
        <v>0</v>
      </c>
      <c r="D65" s="68">
        <v>60000000</v>
      </c>
      <c r="E65" s="68">
        <f>60100000+91740</f>
        <v>60191740</v>
      </c>
      <c r="F65" s="68"/>
      <c r="G65" s="68"/>
      <c r="H65" s="68">
        <f>91740+9374237</f>
        <v>9465977</v>
      </c>
      <c r="I65" s="68">
        <f>60066487+91740</f>
        <v>60158227</v>
      </c>
      <c r="J65" s="68"/>
      <c r="K65" s="68"/>
      <c r="L65" s="653" t="e">
        <f t="shared" si="46"/>
        <v>#DIV/0!</v>
      </c>
      <c r="M65" s="653">
        <f t="shared" si="46"/>
        <v>1.0026371166666668</v>
      </c>
      <c r="N65" s="653">
        <f t="shared" si="46"/>
        <v>0</v>
      </c>
      <c r="O65" s="93"/>
      <c r="P65" s="81">
        <f t="shared" si="42"/>
        <v>60000000</v>
      </c>
      <c r="Q65" s="81">
        <f t="shared" si="41"/>
        <v>191740</v>
      </c>
      <c r="R65" s="81">
        <f t="shared" si="43"/>
        <v>0</v>
      </c>
      <c r="S65" s="81">
        <f t="shared" si="4"/>
        <v>60191740</v>
      </c>
      <c r="T65" s="85">
        <f t="shared" si="44"/>
        <v>0</v>
      </c>
      <c r="U65" s="68"/>
      <c r="V65" s="196">
        <f t="shared" si="45"/>
        <v>0</v>
      </c>
    </row>
    <row r="66" spans="1:22" ht="39" hidden="1" customHeight="1" x14ac:dyDescent="0.25">
      <c r="A66" s="14"/>
      <c r="B66" s="20" t="s">
        <v>309</v>
      </c>
      <c r="C66" s="144"/>
      <c r="D66" s="145">
        <v>0</v>
      </c>
      <c r="E66" s="145"/>
      <c r="F66" s="145"/>
      <c r="G66" s="145"/>
      <c r="H66" s="145">
        <v>0</v>
      </c>
      <c r="I66" s="145"/>
      <c r="J66" s="145"/>
      <c r="K66" s="145"/>
      <c r="L66" s="653">
        <f t="shared" si="46"/>
        <v>0</v>
      </c>
      <c r="M66" s="653">
        <f t="shared" si="46"/>
        <v>0</v>
      </c>
      <c r="N66" s="653">
        <f t="shared" si="46"/>
        <v>0</v>
      </c>
      <c r="O66" s="730"/>
      <c r="P66" s="81">
        <f t="shared" si="42"/>
        <v>0</v>
      </c>
      <c r="Q66" s="81">
        <f t="shared" si="41"/>
        <v>0</v>
      </c>
      <c r="R66" s="81">
        <f t="shared" si="43"/>
        <v>0</v>
      </c>
      <c r="S66" s="81">
        <f t="shared" si="4"/>
        <v>0</v>
      </c>
      <c r="T66" s="85">
        <f t="shared" si="44"/>
        <v>0</v>
      </c>
      <c r="U66" s="145"/>
      <c r="V66" s="196">
        <f t="shared" si="45"/>
        <v>0</v>
      </c>
    </row>
    <row r="67" spans="1:22" x14ac:dyDescent="0.25">
      <c r="A67" s="4" t="s">
        <v>310</v>
      </c>
      <c r="B67" s="3" t="s">
        <v>311</v>
      </c>
      <c r="C67" s="66">
        <f>SUM(C68:C71)</f>
        <v>99395520</v>
      </c>
      <c r="D67" s="67">
        <f>SUM(D68:D71)</f>
        <v>99395520</v>
      </c>
      <c r="E67" s="67">
        <f>SUM(E68:E71)</f>
        <v>60089609</v>
      </c>
      <c r="F67" s="67">
        <f>SUM(F68:F71)</f>
        <v>0</v>
      </c>
      <c r="G67" s="67"/>
      <c r="H67" s="67">
        <f t="shared" ref="H67" si="47">SUM(H68:H71)</f>
        <v>24370866</v>
      </c>
      <c r="I67" s="67">
        <f>SUM(I68:I71)</f>
        <v>27956388</v>
      </c>
      <c r="J67" s="67">
        <f>SUM(J68:J71)</f>
        <v>0</v>
      </c>
      <c r="K67" s="67"/>
      <c r="L67" s="723">
        <f t="shared" si="46"/>
        <v>0.24519078928305824</v>
      </c>
      <c r="M67" s="723">
        <f t="shared" si="46"/>
        <v>0.28126406502023432</v>
      </c>
      <c r="N67" s="653">
        <f t="shared" si="46"/>
        <v>0</v>
      </c>
      <c r="O67" s="698"/>
      <c r="P67" s="67">
        <f t="shared" ref="P67:R67" si="48">SUM(P68:P71)</f>
        <v>0</v>
      </c>
      <c r="Q67" s="67">
        <f t="shared" si="48"/>
        <v>-39305911</v>
      </c>
      <c r="R67" s="67">
        <f t="shared" si="48"/>
        <v>0</v>
      </c>
      <c r="S67" s="67">
        <f t="shared" si="4"/>
        <v>-39305911</v>
      </c>
      <c r="T67" s="85">
        <f t="shared" si="44"/>
        <v>-0.39544952327831273</v>
      </c>
      <c r="U67" s="67"/>
      <c r="V67" s="196">
        <f t="shared" si="45"/>
        <v>0</v>
      </c>
    </row>
    <row r="68" spans="1:22" x14ac:dyDescent="0.25">
      <c r="A68" s="14" t="s">
        <v>312</v>
      </c>
      <c r="B68" s="20" t="s">
        <v>313</v>
      </c>
      <c r="C68" s="71"/>
      <c r="D68" s="68"/>
      <c r="E68" s="71"/>
      <c r="F68" s="71"/>
      <c r="G68" s="71"/>
      <c r="H68" s="71"/>
      <c r="I68" s="71"/>
      <c r="J68" s="71"/>
      <c r="K68" s="71"/>
      <c r="L68" s="653">
        <f t="shared" si="46"/>
        <v>0</v>
      </c>
      <c r="M68" s="653">
        <f t="shared" si="46"/>
        <v>0</v>
      </c>
      <c r="N68" s="653">
        <f t="shared" si="46"/>
        <v>0</v>
      </c>
      <c r="O68" s="91"/>
      <c r="P68" s="81">
        <f t="shared" ref="P68:R71" si="49">+(D68-C68)*P$8</f>
        <v>0</v>
      </c>
      <c r="Q68" s="81">
        <f t="shared" si="49"/>
        <v>0</v>
      </c>
      <c r="R68" s="81">
        <f t="shared" si="49"/>
        <v>0</v>
      </c>
      <c r="S68" s="81">
        <f t="shared" si="4"/>
        <v>0</v>
      </c>
      <c r="T68" s="85">
        <f t="shared" si="44"/>
        <v>0</v>
      </c>
      <c r="U68" s="71"/>
      <c r="V68" s="196">
        <f t="shared" si="45"/>
        <v>0</v>
      </c>
    </row>
    <row r="69" spans="1:22" x14ac:dyDescent="0.25">
      <c r="A69" s="14" t="s">
        <v>314</v>
      </c>
      <c r="B69" s="20" t="s">
        <v>315</v>
      </c>
      <c r="C69" s="71">
        <f>+'ÖNK részletező'!E50</f>
        <v>99395520</v>
      </c>
      <c r="D69" s="68">
        <v>99395520</v>
      </c>
      <c r="E69" s="68">
        <v>60089609</v>
      </c>
      <c r="F69" s="68"/>
      <c r="G69" s="68"/>
      <c r="H69" s="68">
        <v>22898425</v>
      </c>
      <c r="I69" s="68">
        <v>26483947</v>
      </c>
      <c r="J69" s="68"/>
      <c r="K69" s="68"/>
      <c r="L69" s="653">
        <f t="shared" si="46"/>
        <v>0.23037683187330776</v>
      </c>
      <c r="M69" s="653">
        <f t="shared" si="46"/>
        <v>0.26645010761048388</v>
      </c>
      <c r="N69" s="653">
        <f t="shared" si="46"/>
        <v>0</v>
      </c>
      <c r="O69" s="93"/>
      <c r="P69" s="81">
        <f t="shared" si="49"/>
        <v>0</v>
      </c>
      <c r="Q69" s="81">
        <f t="shared" si="49"/>
        <v>-39305911</v>
      </c>
      <c r="R69" s="81">
        <f t="shared" si="49"/>
        <v>0</v>
      </c>
      <c r="S69" s="81">
        <f t="shared" si="4"/>
        <v>-39305911</v>
      </c>
      <c r="T69" s="85">
        <f t="shared" si="44"/>
        <v>-0.39544952327831273</v>
      </c>
      <c r="U69" s="68"/>
      <c r="V69" s="196">
        <f t="shared" si="45"/>
        <v>0</v>
      </c>
    </row>
    <row r="70" spans="1:22" x14ac:dyDescent="0.25">
      <c r="A70" s="14" t="s">
        <v>316</v>
      </c>
      <c r="B70" s="20" t="s">
        <v>317</v>
      </c>
      <c r="C70" s="71">
        <v>0</v>
      </c>
      <c r="D70" s="68">
        <v>0</v>
      </c>
      <c r="E70" s="68">
        <v>0</v>
      </c>
      <c r="F70" s="68"/>
      <c r="G70" s="68"/>
      <c r="H70" s="68">
        <v>1472441</v>
      </c>
      <c r="I70" s="68">
        <v>1472441</v>
      </c>
      <c r="J70" s="68"/>
      <c r="K70" s="68"/>
      <c r="L70" s="653" t="e">
        <f t="shared" si="46"/>
        <v>#DIV/0!</v>
      </c>
      <c r="M70" s="653" t="e">
        <f t="shared" si="46"/>
        <v>#DIV/0!</v>
      </c>
      <c r="N70" s="653">
        <f t="shared" si="46"/>
        <v>0</v>
      </c>
      <c r="O70" s="93"/>
      <c r="P70" s="81">
        <f t="shared" si="49"/>
        <v>0</v>
      </c>
      <c r="Q70" s="81">
        <f t="shared" si="49"/>
        <v>0</v>
      </c>
      <c r="R70" s="81">
        <f t="shared" si="49"/>
        <v>0</v>
      </c>
      <c r="S70" s="81">
        <f t="shared" si="4"/>
        <v>0</v>
      </c>
      <c r="T70" s="85">
        <f t="shared" si="44"/>
        <v>0</v>
      </c>
      <c r="U70" s="68"/>
      <c r="V70" s="196">
        <f t="shared" si="45"/>
        <v>0</v>
      </c>
    </row>
    <row r="71" spans="1:22" x14ac:dyDescent="0.25">
      <c r="A71" s="14" t="s">
        <v>318</v>
      </c>
      <c r="B71" s="20" t="s">
        <v>319</v>
      </c>
      <c r="C71" s="71"/>
      <c r="D71" s="68"/>
      <c r="E71" s="71"/>
      <c r="F71" s="71"/>
      <c r="G71" s="71"/>
      <c r="H71" s="71"/>
      <c r="I71" s="71"/>
      <c r="J71" s="71"/>
      <c r="K71" s="71"/>
      <c r="L71" s="653">
        <f t="shared" si="46"/>
        <v>0</v>
      </c>
      <c r="M71" s="653">
        <f t="shared" si="46"/>
        <v>0</v>
      </c>
      <c r="N71" s="653">
        <f t="shared" si="46"/>
        <v>0</v>
      </c>
      <c r="O71" s="91"/>
      <c r="P71" s="81">
        <f t="shared" si="49"/>
        <v>0</v>
      </c>
      <c r="Q71" s="81">
        <f t="shared" si="49"/>
        <v>0</v>
      </c>
      <c r="R71" s="81">
        <f t="shared" si="49"/>
        <v>0</v>
      </c>
      <c r="S71" s="81">
        <f t="shared" si="4"/>
        <v>0</v>
      </c>
      <c r="T71" s="85">
        <f t="shared" si="44"/>
        <v>0</v>
      </c>
      <c r="U71" s="71"/>
      <c r="V71" s="196">
        <f t="shared" si="45"/>
        <v>0</v>
      </c>
    </row>
    <row r="72" spans="1:22" x14ac:dyDescent="0.25">
      <c r="A72" s="4" t="s">
        <v>320</v>
      </c>
      <c r="B72" s="3" t="s">
        <v>321</v>
      </c>
      <c r="C72" s="66">
        <f t="shared" ref="C72" si="50">SUM(C73:C75)</f>
        <v>0</v>
      </c>
      <c r="D72" s="66">
        <f>SUM(D73:D75)</f>
        <v>0</v>
      </c>
      <c r="E72" s="66">
        <f>SUM(E73:E75)</f>
        <v>10037947</v>
      </c>
      <c r="F72" s="66">
        <f>SUM(F73:F75)</f>
        <v>0</v>
      </c>
      <c r="G72" s="66"/>
      <c r="H72" s="66">
        <f>SUM(H73:H75)</f>
        <v>0</v>
      </c>
      <c r="I72" s="66">
        <f>SUM(I73:I75)</f>
        <v>0</v>
      </c>
      <c r="J72" s="66">
        <f>SUM(J73:J75)</f>
        <v>0</v>
      </c>
      <c r="K72" s="66"/>
      <c r="L72" s="723">
        <f t="shared" si="46"/>
        <v>0</v>
      </c>
      <c r="M72" s="723">
        <f t="shared" si="46"/>
        <v>0</v>
      </c>
      <c r="N72" s="768">
        <f t="shared" si="46"/>
        <v>0</v>
      </c>
      <c r="O72" s="767"/>
      <c r="P72" s="66">
        <f t="shared" ref="P72:R72" si="51">SUM(P73:P75)</f>
        <v>0</v>
      </c>
      <c r="Q72" s="66">
        <f t="shared" si="51"/>
        <v>10037947</v>
      </c>
      <c r="R72" s="66">
        <f t="shared" si="51"/>
        <v>0</v>
      </c>
      <c r="S72" s="66">
        <f t="shared" si="4"/>
        <v>10037947</v>
      </c>
      <c r="T72" s="85">
        <f t="shared" si="44"/>
        <v>0</v>
      </c>
      <c r="U72" s="66"/>
      <c r="V72" s="196">
        <f t="shared" si="45"/>
        <v>0</v>
      </c>
    </row>
    <row r="73" spans="1:22" ht="26.1" customHeight="1" x14ac:dyDescent="0.25">
      <c r="A73" s="14" t="s">
        <v>322</v>
      </c>
      <c r="B73" s="20" t="s">
        <v>323</v>
      </c>
      <c r="C73" s="71"/>
      <c r="D73" s="68"/>
      <c r="E73" s="71"/>
      <c r="F73" s="71"/>
      <c r="G73" s="71"/>
      <c r="H73" s="71"/>
      <c r="I73" s="71"/>
      <c r="J73" s="71"/>
      <c r="K73" s="71"/>
      <c r="L73" s="653">
        <f t="shared" ref="L73:N96" si="52">IF(H73&gt;0,H73/C73,0)</f>
        <v>0</v>
      </c>
      <c r="M73" s="653">
        <f t="shared" si="52"/>
        <v>0</v>
      </c>
      <c r="N73" s="653">
        <f t="shared" si="52"/>
        <v>0</v>
      </c>
      <c r="O73" s="91"/>
      <c r="P73" s="81">
        <f t="shared" ref="P73:R75" si="53">+(D73-C73)*P$8</f>
        <v>0</v>
      </c>
      <c r="Q73" s="81">
        <f t="shared" si="53"/>
        <v>0</v>
      </c>
      <c r="R73" s="81">
        <f t="shared" si="53"/>
        <v>0</v>
      </c>
      <c r="S73" s="81">
        <f t="shared" si="4"/>
        <v>0</v>
      </c>
      <c r="T73" s="85">
        <f t="shared" si="44"/>
        <v>0</v>
      </c>
      <c r="U73" s="71"/>
      <c r="V73" s="196">
        <f t="shared" si="45"/>
        <v>0</v>
      </c>
    </row>
    <row r="74" spans="1:22" ht="26.1" customHeight="1" x14ac:dyDescent="0.25">
      <c r="A74" s="14" t="s">
        <v>324</v>
      </c>
      <c r="B74" s="20" t="s">
        <v>325</v>
      </c>
      <c r="C74" s="71"/>
      <c r="D74" s="68"/>
      <c r="E74" s="71"/>
      <c r="F74" s="71"/>
      <c r="G74" s="71"/>
      <c r="H74" s="71"/>
      <c r="I74" s="71"/>
      <c r="J74" s="71"/>
      <c r="K74" s="71"/>
      <c r="L74" s="653">
        <f t="shared" si="52"/>
        <v>0</v>
      </c>
      <c r="M74" s="653">
        <f t="shared" si="52"/>
        <v>0</v>
      </c>
      <c r="N74" s="653">
        <f t="shared" si="52"/>
        <v>0</v>
      </c>
      <c r="O74" s="91"/>
      <c r="P74" s="81">
        <f t="shared" si="53"/>
        <v>0</v>
      </c>
      <c r="Q74" s="81">
        <f t="shared" si="53"/>
        <v>0</v>
      </c>
      <c r="R74" s="81">
        <f t="shared" si="53"/>
        <v>0</v>
      </c>
      <c r="S74" s="81">
        <f t="shared" si="4"/>
        <v>0</v>
      </c>
      <c r="T74" s="85">
        <f t="shared" si="44"/>
        <v>0</v>
      </c>
      <c r="U74" s="71"/>
      <c r="V74" s="196">
        <f t="shared" si="45"/>
        <v>0</v>
      </c>
    </row>
    <row r="75" spans="1:22" ht="39.6" x14ac:dyDescent="0.25">
      <c r="A75" s="532" t="s">
        <v>465</v>
      </c>
      <c r="B75" s="485" t="s">
        <v>629</v>
      </c>
      <c r="C75" s="71">
        <v>0</v>
      </c>
      <c r="D75" s="68"/>
      <c r="E75" s="68">
        <v>10037947</v>
      </c>
      <c r="F75" s="68"/>
      <c r="G75" s="68"/>
      <c r="H75" s="68"/>
      <c r="I75" s="68">
        <v>0</v>
      </c>
      <c r="J75" s="68"/>
      <c r="K75" s="68"/>
      <c r="L75" s="653">
        <f t="shared" si="52"/>
        <v>0</v>
      </c>
      <c r="M75" s="653">
        <f t="shared" si="52"/>
        <v>0</v>
      </c>
      <c r="N75" s="653">
        <f t="shared" si="52"/>
        <v>0</v>
      </c>
      <c r="O75" s="93"/>
      <c r="P75" s="81">
        <f t="shared" si="53"/>
        <v>0</v>
      </c>
      <c r="Q75" s="81">
        <f t="shared" si="53"/>
        <v>10037947</v>
      </c>
      <c r="R75" s="81">
        <f t="shared" si="53"/>
        <v>0</v>
      </c>
      <c r="S75" s="81">
        <f t="shared" si="4"/>
        <v>10037947</v>
      </c>
      <c r="T75" s="85">
        <f t="shared" si="44"/>
        <v>0</v>
      </c>
      <c r="U75" s="68"/>
      <c r="V75" s="196">
        <f t="shared" si="45"/>
        <v>0</v>
      </c>
    </row>
    <row r="76" spans="1:22" x14ac:dyDescent="0.25">
      <c r="A76" s="4" t="s">
        <v>326</v>
      </c>
      <c r="B76" s="3" t="s">
        <v>327</v>
      </c>
      <c r="C76" s="66">
        <f>SUM(C77:C78)</f>
        <v>60000000</v>
      </c>
      <c r="D76" s="66">
        <f>+D77+D78+D79</f>
        <v>112693</v>
      </c>
      <c r="E76" s="66">
        <f>SUM(E77:E79)</f>
        <v>112693</v>
      </c>
      <c r="F76" s="66">
        <f>SUM(F77:F79)</f>
        <v>0</v>
      </c>
      <c r="G76" s="66"/>
      <c r="H76" s="66">
        <f>+H77+H78+H79</f>
        <v>352000</v>
      </c>
      <c r="I76" s="66">
        <f>SUM(I77:I79)</f>
        <v>718078</v>
      </c>
      <c r="J76" s="66">
        <f>SUM(J77:J79)</f>
        <v>0</v>
      </c>
      <c r="K76" s="66"/>
      <c r="L76" s="723">
        <f t="shared" si="52"/>
        <v>5.8666666666666667E-3</v>
      </c>
      <c r="M76" s="723">
        <f t="shared" si="52"/>
        <v>6.3719840628965416</v>
      </c>
      <c r="N76" s="768">
        <f t="shared" si="52"/>
        <v>0</v>
      </c>
      <c r="O76" s="767"/>
      <c r="P76" s="66">
        <f t="shared" ref="P76:R76" si="54">+P77+P78+P79</f>
        <v>-59887307</v>
      </c>
      <c r="Q76" s="66">
        <f t="shared" si="54"/>
        <v>0</v>
      </c>
      <c r="R76" s="66">
        <f t="shared" si="54"/>
        <v>0</v>
      </c>
      <c r="S76" s="66">
        <f t="shared" si="4"/>
        <v>-59887307</v>
      </c>
      <c r="T76" s="85">
        <f t="shared" si="44"/>
        <v>-0.99812178333333335</v>
      </c>
      <c r="U76" s="66"/>
      <c r="V76" s="196">
        <f t="shared" si="45"/>
        <v>0</v>
      </c>
    </row>
    <row r="77" spans="1:22" ht="40.200000000000003" customHeight="1" x14ac:dyDescent="0.25">
      <c r="A77" s="14" t="s">
        <v>328</v>
      </c>
      <c r="B77" s="20" t="s">
        <v>329</v>
      </c>
      <c r="C77" s="71">
        <f>50000000+10000000</f>
        <v>60000000</v>
      </c>
      <c r="D77" s="68"/>
      <c r="E77" s="71"/>
      <c r="F77" s="71"/>
      <c r="G77" s="71"/>
      <c r="H77" s="71"/>
      <c r="I77" s="71"/>
      <c r="J77" s="71"/>
      <c r="K77" s="71"/>
      <c r="L77" s="653">
        <f t="shared" si="52"/>
        <v>0</v>
      </c>
      <c r="M77" s="653">
        <f t="shared" si="52"/>
        <v>0</v>
      </c>
      <c r="N77" s="653">
        <f t="shared" si="52"/>
        <v>0</v>
      </c>
      <c r="O77" s="91"/>
      <c r="P77" s="81">
        <f t="shared" ref="P77:R79" si="55">+(D77-C77)*P$8</f>
        <v>-60000000</v>
      </c>
      <c r="Q77" s="81">
        <f t="shared" si="55"/>
        <v>0</v>
      </c>
      <c r="R77" s="81">
        <f t="shared" si="55"/>
        <v>0</v>
      </c>
      <c r="S77" s="81">
        <f t="shared" ref="S77:S96" si="56">+P77*P$8+Q77*Q$8+Q77*G$8</f>
        <v>-60000000</v>
      </c>
      <c r="T77" s="85">
        <f t="shared" si="44"/>
        <v>-1</v>
      </c>
      <c r="U77" s="71"/>
      <c r="V77" s="196">
        <f t="shared" si="45"/>
        <v>0</v>
      </c>
    </row>
    <row r="78" spans="1:22" ht="24" customHeight="1" x14ac:dyDescent="0.25">
      <c r="A78" s="14" t="s">
        <v>330</v>
      </c>
      <c r="B78" s="20" t="s">
        <v>331</v>
      </c>
      <c r="C78" s="71"/>
      <c r="D78" s="68">
        <v>112693</v>
      </c>
      <c r="E78" s="68">
        <v>112693</v>
      </c>
      <c r="F78" s="71"/>
      <c r="G78" s="71"/>
      <c r="H78" s="71">
        <v>0</v>
      </c>
      <c r="I78" s="71">
        <v>166078</v>
      </c>
      <c r="J78" s="71"/>
      <c r="K78" s="71"/>
      <c r="L78" s="653">
        <f t="shared" si="52"/>
        <v>0</v>
      </c>
      <c r="M78" s="653">
        <f t="shared" si="52"/>
        <v>1.4737206392588715</v>
      </c>
      <c r="N78" s="653">
        <f t="shared" si="52"/>
        <v>0</v>
      </c>
      <c r="O78" s="91"/>
      <c r="P78" s="81">
        <f t="shared" si="55"/>
        <v>112693</v>
      </c>
      <c r="Q78" s="81">
        <f t="shared" si="55"/>
        <v>0</v>
      </c>
      <c r="R78" s="81">
        <f t="shared" si="55"/>
        <v>0</v>
      </c>
      <c r="S78" s="81">
        <f t="shared" si="56"/>
        <v>112693</v>
      </c>
      <c r="T78" s="85">
        <f t="shared" si="44"/>
        <v>0</v>
      </c>
      <c r="U78" s="71"/>
      <c r="V78" s="196">
        <f t="shared" si="45"/>
        <v>0</v>
      </c>
    </row>
    <row r="79" spans="1:22" x14ac:dyDescent="0.25">
      <c r="A79" s="14" t="s">
        <v>384</v>
      </c>
      <c r="B79" s="14" t="s">
        <v>332</v>
      </c>
      <c r="C79" s="71">
        <v>0</v>
      </c>
      <c r="D79" s="68"/>
      <c r="E79" s="143"/>
      <c r="F79" s="68"/>
      <c r="G79" s="68"/>
      <c r="H79" s="68">
        <v>352000</v>
      </c>
      <c r="I79" s="68">
        <v>552000</v>
      </c>
      <c r="J79" s="68"/>
      <c r="K79" s="68"/>
      <c r="L79" s="653" t="e">
        <f t="shared" si="52"/>
        <v>#DIV/0!</v>
      </c>
      <c r="M79" s="653" t="e">
        <f t="shared" si="52"/>
        <v>#DIV/0!</v>
      </c>
      <c r="N79" s="653">
        <f t="shared" si="52"/>
        <v>0</v>
      </c>
      <c r="O79" s="93"/>
      <c r="P79" s="81">
        <f t="shared" si="55"/>
        <v>0</v>
      </c>
      <c r="Q79" s="81">
        <f t="shared" si="55"/>
        <v>0</v>
      </c>
      <c r="R79" s="81">
        <f t="shared" si="55"/>
        <v>0</v>
      </c>
      <c r="S79" s="81">
        <f t="shared" si="56"/>
        <v>0</v>
      </c>
      <c r="T79" s="85">
        <f t="shared" si="44"/>
        <v>0</v>
      </c>
      <c r="U79" s="68"/>
      <c r="V79" s="196">
        <f t="shared" si="45"/>
        <v>0</v>
      </c>
    </row>
    <row r="80" spans="1:22" x14ac:dyDescent="0.25">
      <c r="A80" s="4" t="s">
        <v>333</v>
      </c>
      <c r="B80" s="3" t="s">
        <v>334</v>
      </c>
      <c r="C80" s="66">
        <f>+C81+C95</f>
        <v>410956549</v>
      </c>
      <c r="D80" s="66">
        <f t="shared" ref="D80:E80" si="57">+D81+D95</f>
        <v>410956549</v>
      </c>
      <c r="E80" s="66">
        <f t="shared" si="57"/>
        <v>410956549</v>
      </c>
      <c r="F80" s="66">
        <f>SUM(F81:F95)</f>
        <v>0</v>
      </c>
      <c r="G80" s="66"/>
      <c r="H80" s="66">
        <f t="shared" ref="H80" si="58">+H81+H95</f>
        <v>410956549</v>
      </c>
      <c r="I80" s="66">
        <f t="shared" ref="I80" si="59">+I81+I95</f>
        <v>410956549</v>
      </c>
      <c r="J80" s="66">
        <f t="shared" ref="J80" si="60">+J81+J95</f>
        <v>0</v>
      </c>
      <c r="K80" s="66"/>
      <c r="L80" s="723">
        <f t="shared" si="52"/>
        <v>1</v>
      </c>
      <c r="M80" s="723">
        <f t="shared" si="52"/>
        <v>1</v>
      </c>
      <c r="N80" s="653">
        <f t="shared" si="52"/>
        <v>0</v>
      </c>
      <c r="O80" s="699"/>
      <c r="P80" s="66">
        <f t="shared" ref="P80:R80" si="61">SUM(P81:P94)</f>
        <v>0</v>
      </c>
      <c r="Q80" s="66">
        <f t="shared" si="61"/>
        <v>0</v>
      </c>
      <c r="R80" s="66">
        <f t="shared" si="61"/>
        <v>0</v>
      </c>
      <c r="S80" s="66">
        <f t="shared" si="56"/>
        <v>0</v>
      </c>
      <c r="T80" s="85">
        <f t="shared" si="44"/>
        <v>0</v>
      </c>
      <c r="U80" s="66"/>
      <c r="V80" s="196">
        <f t="shared" si="45"/>
        <v>0</v>
      </c>
    </row>
    <row r="81" spans="1:22" x14ac:dyDescent="0.25">
      <c r="A81" s="14" t="s">
        <v>335</v>
      </c>
      <c r="B81" s="20" t="s">
        <v>336</v>
      </c>
      <c r="C81" s="71">
        <f>+C82+C87+C90+C91+C92+C94</f>
        <v>410956549</v>
      </c>
      <c r="D81" s="71">
        <f>+D82+D87+D90+D91+D92+D94</f>
        <v>410956549</v>
      </c>
      <c r="E81" s="71">
        <f t="shared" ref="E81" si="62">+E82+E87+E90+E91+E92+E94</f>
        <v>410956549</v>
      </c>
      <c r="F81" s="71"/>
      <c r="G81" s="71"/>
      <c r="H81" s="71">
        <f>+H82+H87+H90+H91+H92+H94</f>
        <v>410956549</v>
      </c>
      <c r="I81" s="71">
        <f t="shared" ref="I81:J81" si="63">+I82+I87+I90+I91+I92+I94</f>
        <v>410956549</v>
      </c>
      <c r="J81" s="71">
        <f t="shared" si="63"/>
        <v>0</v>
      </c>
      <c r="K81" s="71"/>
      <c r="L81" s="653">
        <f t="shared" si="52"/>
        <v>1</v>
      </c>
      <c r="M81" s="653">
        <f t="shared" si="52"/>
        <v>1</v>
      </c>
      <c r="N81" s="653">
        <f t="shared" si="52"/>
        <v>0</v>
      </c>
      <c r="O81" s="91"/>
      <c r="P81" s="81">
        <f t="shared" ref="P81:P95" si="64">+(D81-C81)*P$8</f>
        <v>0</v>
      </c>
      <c r="Q81" s="81">
        <f t="shared" ref="Q81:Q95" si="65">+(E81-D81)*Q$8</f>
        <v>0</v>
      </c>
      <c r="R81" s="81">
        <f t="shared" ref="R81:R95" si="66">+(F81-E81)*R$8</f>
        <v>0</v>
      </c>
      <c r="S81" s="81">
        <f t="shared" si="56"/>
        <v>0</v>
      </c>
      <c r="T81" s="85">
        <f t="shared" si="44"/>
        <v>0</v>
      </c>
      <c r="U81" s="71"/>
      <c r="V81" s="196">
        <f t="shared" si="45"/>
        <v>0</v>
      </c>
    </row>
    <row r="82" spans="1:22" ht="26.4" x14ac:dyDescent="0.25">
      <c r="A82" s="14" t="s">
        <v>337</v>
      </c>
      <c r="B82" s="20" t="s">
        <v>338</v>
      </c>
      <c r="C82" s="71"/>
      <c r="D82" s="71"/>
      <c r="E82" s="71"/>
      <c r="F82" s="71"/>
      <c r="G82" s="71"/>
      <c r="H82" s="71"/>
      <c r="I82" s="71"/>
      <c r="J82" s="71"/>
      <c r="K82" s="71"/>
      <c r="L82" s="653">
        <f t="shared" si="52"/>
        <v>0</v>
      </c>
      <c r="M82" s="653">
        <f t="shared" si="52"/>
        <v>0</v>
      </c>
      <c r="N82" s="653">
        <f t="shared" si="52"/>
        <v>0</v>
      </c>
      <c r="O82" s="91"/>
      <c r="P82" s="81">
        <f t="shared" si="64"/>
        <v>0</v>
      </c>
      <c r="Q82" s="81">
        <f t="shared" si="65"/>
        <v>0</v>
      </c>
      <c r="R82" s="81">
        <f t="shared" si="66"/>
        <v>0</v>
      </c>
      <c r="S82" s="81">
        <f t="shared" si="56"/>
        <v>0</v>
      </c>
      <c r="T82" s="85">
        <f t="shared" si="44"/>
        <v>0</v>
      </c>
      <c r="U82" s="71"/>
      <c r="V82" s="196">
        <f t="shared" si="45"/>
        <v>0</v>
      </c>
    </row>
    <row r="83" spans="1:22" hidden="1" x14ac:dyDescent="0.25">
      <c r="A83" s="149" t="s">
        <v>339</v>
      </c>
      <c r="B83" s="147" t="s">
        <v>340</v>
      </c>
      <c r="C83" s="71"/>
      <c r="D83" s="71"/>
      <c r="E83" s="71"/>
      <c r="F83" s="71"/>
      <c r="G83" s="71"/>
      <c r="H83" s="71"/>
      <c r="I83" s="71"/>
      <c r="J83" s="71"/>
      <c r="K83" s="71"/>
      <c r="L83" s="653">
        <f t="shared" si="52"/>
        <v>0</v>
      </c>
      <c r="M83" s="653">
        <f t="shared" si="52"/>
        <v>0</v>
      </c>
      <c r="N83" s="653">
        <f t="shared" si="52"/>
        <v>0</v>
      </c>
      <c r="O83" s="91"/>
      <c r="P83" s="81">
        <f t="shared" si="64"/>
        <v>0</v>
      </c>
      <c r="Q83" s="81">
        <f t="shared" si="65"/>
        <v>0</v>
      </c>
      <c r="R83" s="81">
        <f t="shared" si="66"/>
        <v>0</v>
      </c>
      <c r="S83" s="81">
        <f t="shared" si="56"/>
        <v>0</v>
      </c>
      <c r="T83" s="85">
        <f t="shared" si="44"/>
        <v>0</v>
      </c>
      <c r="U83" s="71"/>
      <c r="V83" s="196">
        <f t="shared" si="45"/>
        <v>0</v>
      </c>
    </row>
    <row r="84" spans="1:22" ht="14.25" hidden="1" customHeight="1" x14ac:dyDescent="0.25">
      <c r="A84" s="149" t="s">
        <v>341</v>
      </c>
      <c r="B84" s="147" t="s">
        <v>342</v>
      </c>
      <c r="C84" s="71"/>
      <c r="D84" s="71"/>
      <c r="E84" s="71"/>
      <c r="F84" s="71"/>
      <c r="G84" s="71"/>
      <c r="H84" s="71"/>
      <c r="I84" s="71"/>
      <c r="J84" s="71"/>
      <c r="K84" s="71"/>
      <c r="L84" s="653">
        <f t="shared" si="52"/>
        <v>0</v>
      </c>
      <c r="M84" s="653">
        <f t="shared" si="52"/>
        <v>0</v>
      </c>
      <c r="N84" s="653">
        <f t="shared" si="52"/>
        <v>0</v>
      </c>
      <c r="O84" s="91"/>
      <c r="P84" s="81">
        <f t="shared" si="64"/>
        <v>0</v>
      </c>
      <c r="Q84" s="81">
        <f t="shared" si="65"/>
        <v>0</v>
      </c>
      <c r="R84" s="81">
        <f t="shared" si="66"/>
        <v>0</v>
      </c>
      <c r="S84" s="81">
        <f t="shared" si="56"/>
        <v>0</v>
      </c>
      <c r="T84" s="85">
        <f t="shared" si="44"/>
        <v>0</v>
      </c>
      <c r="U84" s="71"/>
      <c r="V84" s="196">
        <f t="shared" si="45"/>
        <v>0</v>
      </c>
    </row>
    <row r="85" spans="1:22" hidden="1" x14ac:dyDescent="0.25">
      <c r="A85" s="149" t="s">
        <v>343</v>
      </c>
      <c r="B85" s="147" t="s">
        <v>344</v>
      </c>
      <c r="C85" s="71"/>
      <c r="D85" s="71"/>
      <c r="E85" s="71"/>
      <c r="F85" s="71"/>
      <c r="G85" s="71"/>
      <c r="H85" s="71"/>
      <c r="I85" s="71"/>
      <c r="J85" s="71"/>
      <c r="K85" s="71"/>
      <c r="L85" s="653">
        <f t="shared" si="52"/>
        <v>0</v>
      </c>
      <c r="M85" s="653">
        <f t="shared" si="52"/>
        <v>0</v>
      </c>
      <c r="N85" s="653">
        <f t="shared" si="52"/>
        <v>0</v>
      </c>
      <c r="O85" s="91"/>
      <c r="P85" s="81">
        <f t="shared" si="64"/>
        <v>0</v>
      </c>
      <c r="Q85" s="81">
        <f t="shared" si="65"/>
        <v>0</v>
      </c>
      <c r="R85" s="81">
        <f t="shared" si="66"/>
        <v>0</v>
      </c>
      <c r="S85" s="81">
        <f t="shared" si="56"/>
        <v>0</v>
      </c>
      <c r="T85" s="85">
        <f t="shared" si="44"/>
        <v>0</v>
      </c>
      <c r="U85" s="71"/>
      <c r="V85" s="196">
        <f t="shared" si="45"/>
        <v>0</v>
      </c>
    </row>
    <row r="86" spans="1:22" hidden="1" x14ac:dyDescent="0.25">
      <c r="A86" s="14" t="s">
        <v>345</v>
      </c>
      <c r="B86" s="20" t="s">
        <v>346</v>
      </c>
      <c r="C86" s="71"/>
      <c r="D86" s="71"/>
      <c r="E86" s="71"/>
      <c r="F86" s="71"/>
      <c r="G86" s="71"/>
      <c r="H86" s="71"/>
      <c r="I86" s="71"/>
      <c r="J86" s="71"/>
      <c r="K86" s="71"/>
      <c r="L86" s="653">
        <f t="shared" si="52"/>
        <v>0</v>
      </c>
      <c r="M86" s="653">
        <f t="shared" si="52"/>
        <v>0</v>
      </c>
      <c r="N86" s="653">
        <f t="shared" si="52"/>
        <v>0</v>
      </c>
      <c r="O86" s="91"/>
      <c r="P86" s="81">
        <f t="shared" si="64"/>
        <v>0</v>
      </c>
      <c r="Q86" s="81">
        <f t="shared" si="65"/>
        <v>0</v>
      </c>
      <c r="R86" s="81">
        <f t="shared" si="66"/>
        <v>0</v>
      </c>
      <c r="S86" s="81">
        <f t="shared" si="56"/>
        <v>0</v>
      </c>
      <c r="T86" s="85">
        <f t="shared" si="44"/>
        <v>0</v>
      </c>
      <c r="U86" s="71"/>
      <c r="V86" s="196">
        <f t="shared" si="45"/>
        <v>0</v>
      </c>
    </row>
    <row r="87" spans="1:22" x14ac:dyDescent="0.25">
      <c r="A87" s="14" t="s">
        <v>347</v>
      </c>
      <c r="B87" s="579" t="s">
        <v>348</v>
      </c>
      <c r="C87" s="71">
        <f>+C88+C89</f>
        <v>410956549</v>
      </c>
      <c r="D87" s="71">
        <f>+D88+D89</f>
        <v>410956549</v>
      </c>
      <c r="E87" s="71">
        <f>+E88+E89</f>
        <v>410956549</v>
      </c>
      <c r="F87" s="68"/>
      <c r="G87" s="68"/>
      <c r="H87" s="71">
        <f>+H88+H89</f>
        <v>410956549</v>
      </c>
      <c r="I87" s="71">
        <f>+I88+I89</f>
        <v>410956549</v>
      </c>
      <c r="J87" s="71">
        <f t="shared" ref="J87" si="67">+J88+J89</f>
        <v>0</v>
      </c>
      <c r="K87" s="68"/>
      <c r="L87" s="653">
        <f t="shared" si="52"/>
        <v>1</v>
      </c>
      <c r="M87" s="653">
        <f t="shared" si="52"/>
        <v>1</v>
      </c>
      <c r="N87" s="653">
        <f t="shared" si="52"/>
        <v>0</v>
      </c>
      <c r="O87" s="93"/>
      <c r="P87" s="81">
        <f t="shared" si="64"/>
        <v>0</v>
      </c>
      <c r="Q87" s="388">
        <f t="shared" si="65"/>
        <v>0</v>
      </c>
      <c r="R87" s="81">
        <f t="shared" si="66"/>
        <v>0</v>
      </c>
      <c r="S87" s="81">
        <f t="shared" si="56"/>
        <v>0</v>
      </c>
      <c r="T87" s="85">
        <f t="shared" si="44"/>
        <v>0</v>
      </c>
      <c r="U87" s="68"/>
      <c r="V87" s="196">
        <f t="shared" si="45"/>
        <v>0</v>
      </c>
    </row>
    <row r="88" spans="1:22" ht="24" x14ac:dyDescent="0.3">
      <c r="A88" s="149" t="s">
        <v>349</v>
      </c>
      <c r="B88" s="783" t="s">
        <v>350</v>
      </c>
      <c r="C88" s="782">
        <v>410956549</v>
      </c>
      <c r="D88" s="812">
        <v>410956549</v>
      </c>
      <c r="E88" s="812">
        <v>410956549</v>
      </c>
      <c r="F88" s="71"/>
      <c r="G88" s="71"/>
      <c r="H88" s="812">
        <v>410956549</v>
      </c>
      <c r="I88" s="812">
        <v>410956549</v>
      </c>
      <c r="J88" s="71"/>
      <c r="K88" s="71"/>
      <c r="L88" s="653">
        <f t="shared" si="52"/>
        <v>1</v>
      </c>
      <c r="M88" s="653">
        <f t="shared" si="52"/>
        <v>1</v>
      </c>
      <c r="N88" s="653">
        <f t="shared" si="52"/>
        <v>0</v>
      </c>
      <c r="O88" s="91"/>
      <c r="P88" s="81">
        <f t="shared" si="64"/>
        <v>0</v>
      </c>
      <c r="Q88" s="81">
        <f t="shared" si="65"/>
        <v>0</v>
      </c>
      <c r="R88" s="81">
        <f t="shared" si="66"/>
        <v>0</v>
      </c>
      <c r="S88" s="81">
        <f t="shared" si="56"/>
        <v>0</v>
      </c>
      <c r="T88" s="85">
        <f t="shared" si="44"/>
        <v>0</v>
      </c>
      <c r="U88" s="71"/>
      <c r="V88" s="196">
        <f t="shared" si="45"/>
        <v>0</v>
      </c>
    </row>
    <row r="89" spans="1:22" ht="23.4" x14ac:dyDescent="0.25">
      <c r="A89" s="149" t="s">
        <v>351</v>
      </c>
      <c r="B89" s="643" t="s">
        <v>352</v>
      </c>
      <c r="C89" s="71"/>
      <c r="D89" s="68"/>
      <c r="E89" s="71"/>
      <c r="F89" s="71"/>
      <c r="G89" s="71"/>
      <c r="H89" s="71"/>
      <c r="I89" s="71"/>
      <c r="J89" s="71"/>
      <c r="K89" s="71"/>
      <c r="L89" s="653">
        <f t="shared" si="52"/>
        <v>0</v>
      </c>
      <c r="M89" s="653">
        <f t="shared" si="52"/>
        <v>0</v>
      </c>
      <c r="N89" s="653">
        <f t="shared" si="52"/>
        <v>0</v>
      </c>
      <c r="O89" s="91"/>
      <c r="P89" s="81">
        <f t="shared" si="64"/>
        <v>0</v>
      </c>
      <c r="Q89" s="81">
        <f t="shared" si="65"/>
        <v>0</v>
      </c>
      <c r="R89" s="81">
        <f t="shared" si="66"/>
        <v>0</v>
      </c>
      <c r="S89" s="81">
        <f t="shared" si="56"/>
        <v>0</v>
      </c>
      <c r="T89" s="85">
        <f t="shared" si="44"/>
        <v>0</v>
      </c>
      <c r="U89" s="71"/>
      <c r="V89" s="196">
        <f t="shared" si="45"/>
        <v>0</v>
      </c>
    </row>
    <row r="90" spans="1:22" x14ac:dyDescent="0.25">
      <c r="A90" s="14" t="s">
        <v>353</v>
      </c>
      <c r="B90" s="20" t="s">
        <v>354</v>
      </c>
      <c r="C90" s="144">
        <v>0</v>
      </c>
      <c r="D90" s="68"/>
      <c r="E90" s="71"/>
      <c r="F90" s="71"/>
      <c r="G90" s="71"/>
      <c r="H90" s="71"/>
      <c r="I90" s="71"/>
      <c r="J90" s="71"/>
      <c r="K90" s="71"/>
      <c r="L90" s="653">
        <f t="shared" si="52"/>
        <v>0</v>
      </c>
      <c r="M90" s="653">
        <f t="shared" si="52"/>
        <v>0</v>
      </c>
      <c r="N90" s="653">
        <f t="shared" si="52"/>
        <v>0</v>
      </c>
      <c r="O90" s="91"/>
      <c r="P90" s="81">
        <f t="shared" si="64"/>
        <v>0</v>
      </c>
      <c r="Q90" s="81">
        <f t="shared" si="65"/>
        <v>0</v>
      </c>
      <c r="R90" s="81">
        <f t="shared" si="66"/>
        <v>0</v>
      </c>
      <c r="S90" s="81">
        <f t="shared" si="56"/>
        <v>0</v>
      </c>
      <c r="T90" s="85">
        <f t="shared" si="44"/>
        <v>0</v>
      </c>
      <c r="U90" s="71"/>
      <c r="V90" s="196">
        <f t="shared" si="45"/>
        <v>0</v>
      </c>
    </row>
    <row r="91" spans="1:22" ht="26.4" x14ac:dyDescent="0.25">
      <c r="A91" s="14" t="s">
        <v>355</v>
      </c>
      <c r="B91" s="20" t="s">
        <v>356</v>
      </c>
      <c r="C91" s="71"/>
      <c r="D91" s="68"/>
      <c r="E91" s="71"/>
      <c r="F91" s="71"/>
      <c r="G91" s="71"/>
      <c r="H91" s="71"/>
      <c r="I91" s="71"/>
      <c r="J91" s="71"/>
      <c r="K91" s="71"/>
      <c r="L91" s="653">
        <f t="shared" si="52"/>
        <v>0</v>
      </c>
      <c r="M91" s="653">
        <f t="shared" si="52"/>
        <v>0</v>
      </c>
      <c r="N91" s="653">
        <f t="shared" si="52"/>
        <v>0</v>
      </c>
      <c r="O91" s="91"/>
      <c r="P91" s="81">
        <f t="shared" si="64"/>
        <v>0</v>
      </c>
      <c r="Q91" s="81">
        <f t="shared" si="65"/>
        <v>0</v>
      </c>
      <c r="R91" s="81">
        <f t="shared" si="66"/>
        <v>0</v>
      </c>
      <c r="S91" s="81">
        <f t="shared" si="56"/>
        <v>0</v>
      </c>
      <c r="T91" s="85">
        <f t="shared" si="44"/>
        <v>0</v>
      </c>
      <c r="U91" s="71"/>
      <c r="V91" s="196">
        <f t="shared" si="45"/>
        <v>0</v>
      </c>
    </row>
    <row r="92" spans="1:22" x14ac:dyDescent="0.25">
      <c r="A92" s="14" t="s">
        <v>359</v>
      </c>
      <c r="B92" s="20" t="s">
        <v>357</v>
      </c>
      <c r="C92" s="71"/>
      <c r="D92" s="68"/>
      <c r="E92" s="71"/>
      <c r="F92" s="71"/>
      <c r="G92" s="71"/>
      <c r="H92" s="71"/>
      <c r="I92" s="71"/>
      <c r="J92" s="71"/>
      <c r="K92" s="71"/>
      <c r="L92" s="653">
        <f t="shared" si="52"/>
        <v>0</v>
      </c>
      <c r="M92" s="653">
        <f t="shared" si="52"/>
        <v>0</v>
      </c>
      <c r="N92" s="653">
        <f t="shared" si="52"/>
        <v>0</v>
      </c>
      <c r="O92" s="91"/>
      <c r="P92" s="81">
        <f t="shared" si="64"/>
        <v>0</v>
      </c>
      <c r="Q92" s="81">
        <f t="shared" si="65"/>
        <v>0</v>
      </c>
      <c r="R92" s="81">
        <f t="shared" si="66"/>
        <v>0</v>
      </c>
      <c r="S92" s="81">
        <f t="shared" si="56"/>
        <v>0</v>
      </c>
      <c r="T92" s="85">
        <f t="shared" si="44"/>
        <v>0</v>
      </c>
      <c r="U92" s="71"/>
      <c r="V92" s="196">
        <f t="shared" si="45"/>
        <v>0</v>
      </c>
    </row>
    <row r="93" spans="1:22" ht="26.4" hidden="1" x14ac:dyDescent="0.25">
      <c r="A93" s="14"/>
      <c r="B93" s="20" t="s">
        <v>358</v>
      </c>
      <c r="C93" s="71"/>
      <c r="D93" s="68"/>
      <c r="E93" s="71"/>
      <c r="F93" s="71"/>
      <c r="G93" s="71"/>
      <c r="H93" s="71"/>
      <c r="I93" s="71"/>
      <c r="J93" s="71"/>
      <c r="K93" s="71"/>
      <c r="L93" s="653">
        <f t="shared" si="52"/>
        <v>0</v>
      </c>
      <c r="M93" s="653">
        <f t="shared" si="52"/>
        <v>0</v>
      </c>
      <c r="N93" s="653">
        <f t="shared" si="52"/>
        <v>0</v>
      </c>
      <c r="O93" s="91"/>
      <c r="P93" s="81">
        <f t="shared" si="64"/>
        <v>0</v>
      </c>
      <c r="Q93" s="81">
        <f t="shared" si="65"/>
        <v>0</v>
      </c>
      <c r="R93" s="81">
        <f t="shared" si="66"/>
        <v>0</v>
      </c>
      <c r="S93" s="81">
        <f t="shared" si="56"/>
        <v>0</v>
      </c>
      <c r="T93" s="85">
        <f t="shared" si="44"/>
        <v>0</v>
      </c>
      <c r="U93" s="71"/>
      <c r="V93" s="196">
        <f t="shared" si="45"/>
        <v>0</v>
      </c>
    </row>
    <row r="94" spans="1:22" x14ac:dyDescent="0.25">
      <c r="A94" s="14" t="s">
        <v>360</v>
      </c>
      <c r="B94" s="20" t="s">
        <v>361</v>
      </c>
      <c r="C94" s="71">
        <v>0</v>
      </c>
      <c r="D94" s="68">
        <v>0</v>
      </c>
      <c r="E94" s="71"/>
      <c r="F94" s="71"/>
      <c r="G94" s="71"/>
      <c r="H94" s="71"/>
      <c r="I94" s="71"/>
      <c r="J94" s="71"/>
      <c r="K94" s="71"/>
      <c r="L94" s="653">
        <f t="shared" si="52"/>
        <v>0</v>
      </c>
      <c r="M94" s="653">
        <f t="shared" si="52"/>
        <v>0</v>
      </c>
      <c r="N94" s="653">
        <f t="shared" si="52"/>
        <v>0</v>
      </c>
      <c r="O94" s="91"/>
      <c r="P94" s="81">
        <f t="shared" si="64"/>
        <v>0</v>
      </c>
      <c r="Q94" s="81">
        <f t="shared" si="65"/>
        <v>0</v>
      </c>
      <c r="R94" s="81">
        <f t="shared" si="66"/>
        <v>0</v>
      </c>
      <c r="S94" s="81">
        <f t="shared" si="56"/>
        <v>0</v>
      </c>
      <c r="T94" s="85">
        <f t="shared" si="44"/>
        <v>0</v>
      </c>
      <c r="U94" s="71"/>
      <c r="V94" s="196">
        <f t="shared" si="45"/>
        <v>0</v>
      </c>
    </row>
    <row r="95" spans="1:22" hidden="1" x14ac:dyDescent="0.25">
      <c r="A95" s="14"/>
      <c r="B95" s="14"/>
      <c r="C95" s="71"/>
      <c r="D95" s="68"/>
      <c r="E95" s="71"/>
      <c r="F95" s="71"/>
      <c r="G95" s="71"/>
      <c r="H95" s="71"/>
      <c r="I95" s="71"/>
      <c r="J95" s="71"/>
      <c r="K95" s="71"/>
      <c r="L95" s="653">
        <f t="shared" si="52"/>
        <v>0</v>
      </c>
      <c r="M95" s="653">
        <f t="shared" si="52"/>
        <v>0</v>
      </c>
      <c r="N95" s="653">
        <f t="shared" si="52"/>
        <v>0</v>
      </c>
      <c r="O95" s="91"/>
      <c r="P95" s="81">
        <f t="shared" si="64"/>
        <v>0</v>
      </c>
      <c r="Q95" s="81">
        <f t="shared" si="65"/>
        <v>0</v>
      </c>
      <c r="R95" s="81">
        <f t="shared" si="66"/>
        <v>0</v>
      </c>
      <c r="S95" s="81">
        <f t="shared" si="56"/>
        <v>0</v>
      </c>
      <c r="T95" s="85">
        <f t="shared" si="44"/>
        <v>0</v>
      </c>
      <c r="U95" s="71"/>
      <c r="V95" s="196">
        <f t="shared" si="45"/>
        <v>0</v>
      </c>
    </row>
    <row r="96" spans="1:22" x14ac:dyDescent="0.25">
      <c r="A96" s="14"/>
      <c r="B96" s="3" t="s">
        <v>371</v>
      </c>
      <c r="C96" s="66">
        <f>C13+C30+C39+C50+C67+C72+C76+C80</f>
        <v>1895220607</v>
      </c>
      <c r="D96" s="66">
        <f>D13+D30+D39+D50+D67+D72+D76+D80</f>
        <v>1904849300</v>
      </c>
      <c r="E96" s="66">
        <f>E13+E30+E39+E50+E67+E72+E76+E80</f>
        <v>1914887247</v>
      </c>
      <c r="F96" s="66">
        <f>F13+F30+F39+F50+F67+F72+F76+F80</f>
        <v>0</v>
      </c>
      <c r="G96" s="66"/>
      <c r="H96" s="66">
        <f>H13+H30+H39+H50+H67+H72+H76+H80</f>
        <v>1155612367</v>
      </c>
      <c r="I96" s="66">
        <f>I13+I30+I39+I50+I67+I72+I76+I80</f>
        <v>1445691287</v>
      </c>
      <c r="J96" s="66">
        <f>J13+J30+J39+J50+J67+J72+J76+J80</f>
        <v>0</v>
      </c>
      <c r="K96" s="66"/>
      <c r="L96" s="650">
        <f t="shared" si="52"/>
        <v>0.60975084522178791</v>
      </c>
      <c r="M96" s="650">
        <f t="shared" si="52"/>
        <v>0.75895310300925123</v>
      </c>
      <c r="N96" s="650">
        <f t="shared" si="52"/>
        <v>0</v>
      </c>
      <c r="O96" s="699"/>
      <c r="P96" s="66">
        <f t="shared" ref="P96:R96" si="68">P13+P30+P39+P50+P67+P72+P76+P80</f>
        <v>9628693</v>
      </c>
      <c r="Q96" s="66">
        <f t="shared" si="68"/>
        <v>10037947</v>
      </c>
      <c r="R96" s="66">
        <f t="shared" si="68"/>
        <v>0</v>
      </c>
      <c r="S96" s="66">
        <f t="shared" si="56"/>
        <v>19666640</v>
      </c>
      <c r="T96" s="85">
        <f t="shared" si="44"/>
        <v>1.0376966104822435E-2</v>
      </c>
      <c r="U96" s="66"/>
      <c r="V96" s="197">
        <f t="shared" si="45"/>
        <v>0</v>
      </c>
    </row>
    <row r="97" spans="3:15" x14ac:dyDescent="0.25">
      <c r="L97" s="667"/>
      <c r="M97" s="667"/>
      <c r="N97" s="664"/>
      <c r="O97" s="694"/>
    </row>
    <row r="98" spans="3:15" x14ac:dyDescent="0.25">
      <c r="C98" s="19"/>
      <c r="L98" s="664"/>
      <c r="M98" s="664"/>
      <c r="N98" s="664"/>
      <c r="O98" s="694"/>
    </row>
    <row r="99" spans="3:15" x14ac:dyDescent="0.25">
      <c r="I99" s="634"/>
      <c r="L99" s="664"/>
      <c r="M99" s="664"/>
      <c r="N99" s="664"/>
      <c r="O99" s="694"/>
    </row>
    <row r="100" spans="3:15" x14ac:dyDescent="0.25">
      <c r="I100" s="634"/>
      <c r="L100" s="731"/>
      <c r="M100" s="731"/>
      <c r="N100" s="731"/>
      <c r="O100" s="694"/>
    </row>
    <row r="101" spans="3:15" x14ac:dyDescent="0.25">
      <c r="C101" s="19"/>
      <c r="L101" s="694"/>
      <c r="M101" s="694"/>
      <c r="N101" s="694"/>
      <c r="O101" s="694"/>
    </row>
    <row r="102" spans="3:15" x14ac:dyDescent="0.25">
      <c r="C102" s="19"/>
      <c r="L102" s="694"/>
      <c r="M102" s="694"/>
      <c r="N102" s="694"/>
      <c r="O102" s="694"/>
    </row>
    <row r="104" spans="3:15" x14ac:dyDescent="0.25">
      <c r="C104" s="19"/>
    </row>
    <row r="105" spans="3:15" x14ac:dyDescent="0.25">
      <c r="C105" s="19"/>
    </row>
    <row r="107" spans="3:15" x14ac:dyDescent="0.25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15748031496062992" bottom="0.15748031496062992" header="0.31496062992125984" footer="0.31496062992125984"/>
  <pageSetup paperSize="8" scale="64" fitToHeight="0" orientation="portrait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31"/>
  <sheetViews>
    <sheetView zoomScale="75" zoomScaleNormal="75" workbookViewId="0">
      <pane ySplit="11" topLeftCell="A12" activePane="bottomLeft" state="frozen"/>
      <selection pane="bottomLeft" activeCell="N11" sqref="N11"/>
    </sheetView>
  </sheetViews>
  <sheetFormatPr defaultRowHeight="13.2" x14ac:dyDescent="0.25"/>
  <cols>
    <col min="1" max="1" width="6.44140625" style="14" bestFit="1" customWidth="1"/>
    <col min="2" max="2" width="53.5546875" style="14" customWidth="1"/>
    <col min="3" max="3" width="15.5546875" style="14" customWidth="1"/>
    <col min="4" max="4" width="15.5546875" style="16" customWidth="1"/>
    <col min="5" max="5" width="15.5546875" style="23" customWidth="1"/>
    <col min="6" max="6" width="12.44140625" style="23" customWidth="1"/>
    <col min="7" max="7" width="0.6640625" style="23" customWidth="1"/>
    <col min="8" max="8" width="15.5546875" style="14" customWidth="1"/>
    <col min="9" max="10" width="15.5546875" style="23" customWidth="1"/>
    <col min="11" max="11" width="0.6640625" style="23" customWidth="1"/>
    <col min="12" max="12" width="14" style="14" customWidth="1"/>
    <col min="13" max="13" width="15.88671875" style="13" customWidth="1"/>
    <col min="14" max="14" width="14.88671875" style="13" hidden="1" customWidth="1"/>
    <col min="15" max="15" width="0.6640625" style="23" customWidth="1"/>
    <col min="16" max="17" width="14.5546875" style="14" customWidth="1"/>
    <col min="18" max="18" width="14.5546875" style="14" hidden="1" customWidth="1"/>
    <col min="19" max="19" width="15.5546875" style="14" customWidth="1"/>
    <col min="20" max="20" width="10.5546875" style="13" customWidth="1"/>
    <col min="21" max="21" width="0.6640625" style="23" customWidth="1"/>
    <col min="22" max="22" width="6.33203125" customWidth="1"/>
  </cols>
  <sheetData>
    <row r="1" spans="1:27" ht="24.6" x14ac:dyDescent="0.4">
      <c r="A1" s="230" t="s">
        <v>493</v>
      </c>
      <c r="B1" s="229"/>
      <c r="C1" s="229"/>
      <c r="D1" s="229"/>
      <c r="E1" s="633"/>
      <c r="F1" s="81"/>
      <c r="G1" s="228"/>
      <c r="H1" s="227"/>
      <c r="I1" s="227"/>
      <c r="J1" s="225" t="s">
        <v>569</v>
      </c>
      <c r="K1" s="231" t="s">
        <v>425</v>
      </c>
      <c r="L1" s="231" t="s">
        <v>426</v>
      </c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46"/>
      <c r="Z1" s="46"/>
      <c r="AA1" s="46"/>
    </row>
    <row r="2" spans="1:27" ht="21" hidden="1" x14ac:dyDescent="0.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27"/>
    </row>
    <row r="3" spans="1:27" ht="21" hidden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27"/>
    </row>
    <row r="4" spans="1:27" x14ac:dyDescent="0.25">
      <c r="A4"/>
      <c r="B4"/>
      <c r="C4" s="61"/>
      <c r="D4" s="61"/>
      <c r="E4" s="632"/>
      <c r="F4" s="61"/>
      <c r="G4" s="61"/>
      <c r="H4" s="61"/>
      <c r="I4" s="61"/>
      <c r="J4" s="61"/>
      <c r="K4" s="65"/>
      <c r="L4" s="61"/>
      <c r="M4" s="61"/>
      <c r="N4" s="61"/>
      <c r="O4" s="61"/>
      <c r="P4" s="61"/>
      <c r="Q4" s="61"/>
      <c r="R4" s="61"/>
      <c r="S4" s="61"/>
      <c r="T4"/>
      <c r="U4"/>
    </row>
    <row r="5" spans="1:27" ht="14.1" hidden="1" customHeight="1" x14ac:dyDescent="0.25">
      <c r="A5"/>
      <c r="B5"/>
      <c r="C5" s="99"/>
      <c r="D5" s="100"/>
      <c r="E5" s="100"/>
      <c r="F5" s="101"/>
      <c r="G5" s="102"/>
      <c r="H5" s="103"/>
      <c r="I5" s="105"/>
      <c r="J5" s="105"/>
      <c r="K5" s="102"/>
      <c r="L5" s="104"/>
      <c r="M5" s="106"/>
      <c r="N5" s="107"/>
      <c r="O5" s="102"/>
      <c r="P5" s="103"/>
      <c r="Q5" s="105"/>
      <c r="R5" s="105"/>
      <c r="S5" s="105"/>
      <c r="T5" s="204"/>
      <c r="U5" s="269"/>
    </row>
    <row r="6" spans="1:27" ht="14.1" hidden="1" customHeight="1" x14ac:dyDescent="0.25">
      <c r="A6"/>
      <c r="B6"/>
      <c r="C6" s="108"/>
      <c r="D6" s="109"/>
      <c r="E6" s="109"/>
      <c r="F6" s="110"/>
      <c r="G6" s="111"/>
      <c r="H6" s="112"/>
      <c r="I6" s="114"/>
      <c r="J6" s="114"/>
      <c r="K6" s="111"/>
      <c r="L6" s="113"/>
      <c r="M6" s="115"/>
      <c r="N6" s="116"/>
      <c r="O6" s="111"/>
      <c r="P6" s="112"/>
      <c r="Q6" s="114"/>
      <c r="R6" s="114"/>
      <c r="S6" s="114"/>
      <c r="T6" s="116"/>
      <c r="U6" s="269"/>
    </row>
    <row r="7" spans="1:27" ht="15.6" x14ac:dyDescent="0.3">
      <c r="A7"/>
      <c r="B7"/>
      <c r="C7" s="912" t="s">
        <v>410</v>
      </c>
      <c r="D7" s="915"/>
      <c r="E7" s="915"/>
      <c r="F7" s="916"/>
      <c r="G7" s="154"/>
      <c r="H7" s="912" t="s">
        <v>409</v>
      </c>
      <c r="I7" s="913"/>
      <c r="J7" s="913"/>
      <c r="K7" s="913"/>
      <c r="L7" s="913"/>
      <c r="M7" s="913"/>
      <c r="N7" s="914"/>
      <c r="O7" s="154"/>
      <c r="P7" s="912" t="s">
        <v>406</v>
      </c>
      <c r="Q7" s="915"/>
      <c r="R7" s="915"/>
      <c r="S7" s="915"/>
      <c r="T7" s="916"/>
      <c r="U7"/>
    </row>
    <row r="8" spans="1:27" ht="13.8" x14ac:dyDescent="0.25">
      <c r="A8"/>
      <c r="B8"/>
      <c r="C8" s="124"/>
      <c r="D8" s="125"/>
      <c r="E8" s="125"/>
      <c r="F8" s="126"/>
      <c r="G8" s="79"/>
      <c r="H8" s="909" t="s">
        <v>422</v>
      </c>
      <c r="I8" s="910"/>
      <c r="J8" s="911"/>
      <c r="K8" s="134"/>
      <c r="L8" s="917" t="s">
        <v>421</v>
      </c>
      <c r="M8" s="918"/>
      <c r="N8" s="919"/>
      <c r="O8" s="704"/>
      <c r="P8" s="128">
        <f>+'1. Sülysáp összesen'!P8</f>
        <v>1</v>
      </c>
      <c r="Q8" s="128">
        <f>+' 2. Önk. Bevételek'!Q8</f>
        <v>1</v>
      </c>
      <c r="R8" s="128">
        <f>+'1. Sülysáp összesen'!R8</f>
        <v>0</v>
      </c>
      <c r="S8" s="125"/>
      <c r="T8" s="126"/>
      <c r="U8"/>
    </row>
    <row r="9" spans="1:27" ht="20.100000000000001" customHeight="1" x14ac:dyDescent="0.25">
      <c r="A9" s="76"/>
      <c r="B9" s="246" t="s">
        <v>377</v>
      </c>
      <c r="C9" s="641">
        <f>+C168</f>
        <v>1895220607.03</v>
      </c>
      <c r="D9" s="641">
        <f>+D168</f>
        <v>1904849300</v>
      </c>
      <c r="E9" s="641">
        <f>+E168</f>
        <v>1914887247</v>
      </c>
      <c r="F9" s="641">
        <f>+F168</f>
        <v>0</v>
      </c>
      <c r="G9" s="641"/>
      <c r="H9" s="641">
        <f>+H168</f>
        <v>572539112</v>
      </c>
      <c r="I9" s="641">
        <f>+I168</f>
        <v>958008396</v>
      </c>
      <c r="J9" s="247">
        <f>+J168</f>
        <v>0</v>
      </c>
      <c r="K9" s="233"/>
      <c r="L9" s="702">
        <f>H9/C9</f>
        <v>0.30209628888387086</v>
      </c>
      <c r="M9" s="696">
        <f>I9/D9</f>
        <v>0.50293133215315244</v>
      </c>
      <c r="N9" s="696">
        <f>+J9/E9</f>
        <v>0</v>
      </c>
      <c r="O9" s="703"/>
      <c r="P9" s="641">
        <f>IF(D9&gt;0,+D9-C9,0)</f>
        <v>9628692.9700000286</v>
      </c>
      <c r="Q9" s="641">
        <f>IF(E9&gt;0,+E9-D9,0)</f>
        <v>10037947</v>
      </c>
      <c r="R9" s="641">
        <f>IF(F9&gt;0,+F9-E9,0)</f>
        <v>0</v>
      </c>
      <c r="S9" s="641">
        <f>SUM(P9:R9)</f>
        <v>19666639.970000029</v>
      </c>
      <c r="T9" s="248">
        <f>+S9/C9</f>
        <v>1.0376966088828899E-2</v>
      </c>
      <c r="U9" s="250"/>
      <c r="V9" s="234">
        <f>+S9-E9+C9</f>
        <v>0</v>
      </c>
    </row>
    <row r="10" spans="1:27" ht="13.8" x14ac:dyDescent="0.25">
      <c r="A10" s="77"/>
      <c r="B10" s="240"/>
      <c r="C10" s="79"/>
      <c r="D10" s="79"/>
      <c r="E10" s="79"/>
      <c r="F10" s="79"/>
      <c r="G10" s="79"/>
      <c r="H10" s="79"/>
      <c r="I10" s="79"/>
      <c r="J10" s="79"/>
      <c r="K10" s="79"/>
      <c r="L10" s="690"/>
      <c r="M10" s="697"/>
      <c r="N10" s="697"/>
      <c r="O10" s="704"/>
      <c r="P10" s="79"/>
      <c r="Q10" s="79"/>
      <c r="R10" s="79"/>
      <c r="S10" s="79"/>
      <c r="T10" s="241"/>
      <c r="U10" s="242"/>
      <c r="V10" s="243"/>
    </row>
    <row r="11" spans="1:27" s="1" customFormat="1" ht="64.5" customHeight="1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575</v>
      </c>
      <c r="G11" s="361"/>
      <c r="H11" s="497" t="s">
        <v>553</v>
      </c>
      <c r="I11" s="362" t="s">
        <v>554</v>
      </c>
      <c r="J11" s="362" t="s">
        <v>574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</row>
    <row r="12" spans="1:27" x14ac:dyDescent="0.25">
      <c r="A12" s="43"/>
      <c r="B12" s="20"/>
      <c r="C12" s="68"/>
      <c r="D12" s="69"/>
      <c r="E12" s="69"/>
      <c r="F12" s="69"/>
      <c r="G12" s="69"/>
      <c r="H12" s="81"/>
      <c r="I12" s="81"/>
      <c r="J12" s="81"/>
      <c r="K12" s="69"/>
      <c r="L12" s="690"/>
      <c r="M12" s="690"/>
      <c r="N12" s="690"/>
      <c r="O12" s="705"/>
      <c r="P12" s="81"/>
      <c r="Q12" s="81"/>
      <c r="R12" s="81"/>
      <c r="S12" s="81"/>
      <c r="T12" s="152"/>
      <c r="U12" s="192"/>
      <c r="V12" s="196"/>
    </row>
    <row r="13" spans="1:27" x14ac:dyDescent="0.25">
      <c r="A13" s="4" t="s">
        <v>0</v>
      </c>
      <c r="B13" s="3" t="s">
        <v>3</v>
      </c>
      <c r="C13" s="67">
        <f t="shared" ref="C13" si="0">SUM(C14:C28)</f>
        <v>66622000</v>
      </c>
      <c r="D13" s="67">
        <f>SUM(D14:D28)</f>
        <v>68241000</v>
      </c>
      <c r="E13" s="67">
        <f>SUM(E14:E28)</f>
        <v>68524797</v>
      </c>
      <c r="F13" s="67">
        <f>SUM(F14:F28)</f>
        <v>0</v>
      </c>
      <c r="G13" s="67"/>
      <c r="H13" s="80">
        <f t="shared" ref="H13" si="1">SUM(H14:H28)</f>
        <v>33091181</v>
      </c>
      <c r="I13" s="80">
        <f>SUM(I14:I28)</f>
        <v>52878824</v>
      </c>
      <c r="J13" s="80">
        <f>SUM(J14:J28)</f>
        <v>0</v>
      </c>
      <c r="K13" s="67"/>
      <c r="L13" s="691">
        <f t="shared" ref="L13" si="2">IF(H13&gt;0,H13/C13,0)</f>
        <v>0.49670050433790641</v>
      </c>
      <c r="M13" s="691">
        <f t="shared" ref="M13" si="3">IF(I13&gt;0,I13/D13,0)</f>
        <v>0.77488348646707994</v>
      </c>
      <c r="N13" s="691">
        <f t="shared" ref="N13" si="4">IF(J13&gt;0,J13/E13,0)</f>
        <v>0</v>
      </c>
      <c r="O13" s="701"/>
      <c r="P13" s="80">
        <f>IF(D13&gt;0,+D13-C13,0)</f>
        <v>1619000</v>
      </c>
      <c r="Q13" s="80">
        <f>IF(E13&gt;0,+E13-D13,0)</f>
        <v>283797</v>
      </c>
      <c r="R13" s="80">
        <f>IF(F13&gt;0,+F13-E13,0)</f>
        <v>0</v>
      </c>
      <c r="S13" s="80">
        <f t="shared" ref="S13:S14" si="5">+P13*P$8+Q13*Q$8+Q13*G$8</f>
        <v>1902797</v>
      </c>
      <c r="T13" s="85">
        <f>IF(C13=0,0,+S13/C13)</f>
        <v>2.8561090930923717E-2</v>
      </c>
      <c r="U13" s="191"/>
      <c r="V13" s="196">
        <f t="shared" ref="V13:V44" si="6">+S13-E13+C13</f>
        <v>0</v>
      </c>
    </row>
    <row r="14" spans="1:27" x14ac:dyDescent="0.25">
      <c r="A14" s="43" t="s">
        <v>1</v>
      </c>
      <c r="B14" s="20"/>
      <c r="C14" s="68"/>
      <c r="D14" s="69"/>
      <c r="E14" s="69"/>
      <c r="F14" s="69"/>
      <c r="G14" s="69"/>
      <c r="H14" s="81"/>
      <c r="I14" s="81"/>
      <c r="J14" s="81"/>
      <c r="K14" s="69"/>
      <c r="L14" s="690"/>
      <c r="M14" s="690"/>
      <c r="N14" s="690"/>
      <c r="O14" s="705"/>
      <c r="P14" s="81"/>
      <c r="Q14" s="81"/>
      <c r="R14" s="81"/>
      <c r="S14" s="81">
        <f t="shared" si="5"/>
        <v>0</v>
      </c>
      <c r="T14" s="85"/>
      <c r="U14" s="192"/>
      <c r="V14" s="196">
        <f t="shared" si="6"/>
        <v>0</v>
      </c>
    </row>
    <row r="15" spans="1:27" x14ac:dyDescent="0.25">
      <c r="A15" s="43" t="s">
        <v>2</v>
      </c>
      <c r="B15" s="20" t="s">
        <v>362</v>
      </c>
      <c r="C15" s="68">
        <f>46789000-1000000</f>
        <v>45789000</v>
      </c>
      <c r="D15" s="68">
        <v>45789000</v>
      </c>
      <c r="E15" s="68">
        <v>45789000</v>
      </c>
      <c r="F15" s="69"/>
      <c r="G15" s="69"/>
      <c r="H15" s="68">
        <v>20939016</v>
      </c>
      <c r="I15" s="81">
        <v>35110277</v>
      </c>
      <c r="J15" s="81"/>
      <c r="K15" s="69"/>
      <c r="L15" s="690">
        <f t="shared" ref="L15:N15" si="7">IF(H15&gt;0,H15/C15,0)</f>
        <v>0.45729358579571511</v>
      </c>
      <c r="M15" s="690">
        <f t="shared" si="7"/>
        <v>0.76678409661709146</v>
      </c>
      <c r="N15" s="690">
        <f t="shared" si="7"/>
        <v>0</v>
      </c>
      <c r="O15" s="705"/>
      <c r="P15" s="81">
        <f t="shared" ref="P15:P23" si="8">+(D15-C15)*P$8</f>
        <v>0</v>
      </c>
      <c r="Q15" s="81">
        <f t="shared" ref="Q15:Q23" si="9">+(E15-D15)*Q$8</f>
        <v>0</v>
      </c>
      <c r="R15" s="81">
        <f t="shared" ref="R15:R23" si="10">+(F15-E15)*R$8</f>
        <v>0</v>
      </c>
      <c r="S15" s="81">
        <f>+P15*P$8+Q15*Q$8+Q15*G$8</f>
        <v>0</v>
      </c>
      <c r="T15" s="85">
        <f t="shared" ref="T15:T23" si="11">IF(C15=0,0,+S15/C15)</f>
        <v>0</v>
      </c>
      <c r="U15" s="192"/>
      <c r="V15" s="196">
        <f t="shared" si="6"/>
        <v>0</v>
      </c>
    </row>
    <row r="16" spans="1:27" x14ac:dyDescent="0.25">
      <c r="A16" s="43" t="s">
        <v>12</v>
      </c>
      <c r="B16" s="20" t="s">
        <v>4</v>
      </c>
      <c r="C16" s="68">
        <v>0</v>
      </c>
      <c r="D16" s="68">
        <v>0</v>
      </c>
      <c r="E16" s="68">
        <v>0</v>
      </c>
      <c r="F16" s="69"/>
      <c r="G16" s="69"/>
      <c r="H16" s="68">
        <v>0</v>
      </c>
      <c r="I16" s="81"/>
      <c r="J16" s="81"/>
      <c r="K16" s="69"/>
      <c r="L16" s="690">
        <f t="shared" ref="L16:L27" si="12">IF(H16&gt;0,H16/C16,0)</f>
        <v>0</v>
      </c>
      <c r="M16" s="690">
        <f t="shared" ref="M16:M27" si="13">IF(I16&gt;0,I16/D16,0)</f>
        <v>0</v>
      </c>
      <c r="N16" s="690">
        <f t="shared" ref="N16:N27" si="14">IF(J16&gt;0,J16/E16,0)</f>
        <v>0</v>
      </c>
      <c r="O16" s="705"/>
      <c r="P16" s="81">
        <f t="shared" si="8"/>
        <v>0</v>
      </c>
      <c r="Q16" s="81">
        <f t="shared" si="9"/>
        <v>0</v>
      </c>
      <c r="R16" s="81">
        <f t="shared" si="10"/>
        <v>0</v>
      </c>
      <c r="S16" s="81">
        <f t="shared" ref="S16:S27" si="15">+P16*P$8+Q16*Q$8+Q16*G$8</f>
        <v>0</v>
      </c>
      <c r="T16" s="85">
        <f t="shared" si="11"/>
        <v>0</v>
      </c>
      <c r="U16" s="192"/>
      <c r="V16" s="196">
        <f t="shared" si="6"/>
        <v>0</v>
      </c>
    </row>
    <row r="17" spans="1:22" x14ac:dyDescent="0.25">
      <c r="A17" s="43" t="s">
        <v>13</v>
      </c>
      <c r="B17" s="20" t="s">
        <v>5</v>
      </c>
      <c r="C17" s="68">
        <v>0</v>
      </c>
      <c r="D17" s="68">
        <v>0</v>
      </c>
      <c r="E17" s="68">
        <v>0</v>
      </c>
      <c r="F17" s="69"/>
      <c r="G17" s="69"/>
      <c r="H17" s="68">
        <v>0</v>
      </c>
      <c r="I17" s="81"/>
      <c r="J17" s="81"/>
      <c r="K17" s="69"/>
      <c r="L17" s="690">
        <f t="shared" si="12"/>
        <v>0</v>
      </c>
      <c r="M17" s="690">
        <f t="shared" si="13"/>
        <v>0</v>
      </c>
      <c r="N17" s="690">
        <f t="shared" si="14"/>
        <v>0</v>
      </c>
      <c r="O17" s="705"/>
      <c r="P17" s="81">
        <f t="shared" si="8"/>
        <v>0</v>
      </c>
      <c r="Q17" s="81">
        <f t="shared" si="9"/>
        <v>0</v>
      </c>
      <c r="R17" s="81">
        <f t="shared" si="10"/>
        <v>0</v>
      </c>
      <c r="S17" s="81">
        <f t="shared" si="15"/>
        <v>0</v>
      </c>
      <c r="T17" s="85">
        <f t="shared" si="11"/>
        <v>0</v>
      </c>
      <c r="U17" s="192"/>
      <c r="V17" s="196">
        <f t="shared" si="6"/>
        <v>0</v>
      </c>
    </row>
    <row r="18" spans="1:22" x14ac:dyDescent="0.25">
      <c r="A18" s="532" t="s">
        <v>385</v>
      </c>
      <c r="B18" s="20" t="s">
        <v>6</v>
      </c>
      <c r="C18" s="68">
        <v>0</v>
      </c>
      <c r="D18" s="68">
        <v>0</v>
      </c>
      <c r="E18" s="68">
        <v>0</v>
      </c>
      <c r="F18" s="69"/>
      <c r="G18" s="69"/>
      <c r="H18" s="68">
        <v>0</v>
      </c>
      <c r="I18" s="81"/>
      <c r="J18" s="81"/>
      <c r="K18" s="69"/>
      <c r="L18" s="690">
        <f t="shared" si="12"/>
        <v>0</v>
      </c>
      <c r="M18" s="690">
        <f t="shared" si="13"/>
        <v>0</v>
      </c>
      <c r="N18" s="690">
        <f t="shared" si="14"/>
        <v>0</v>
      </c>
      <c r="O18" s="705"/>
      <c r="P18" s="81">
        <f t="shared" si="8"/>
        <v>0</v>
      </c>
      <c r="Q18" s="81">
        <f t="shared" si="9"/>
        <v>0</v>
      </c>
      <c r="R18" s="81">
        <f t="shared" si="10"/>
        <v>0</v>
      </c>
      <c r="S18" s="81">
        <f t="shared" si="15"/>
        <v>0</v>
      </c>
      <c r="T18" s="85">
        <f t="shared" si="11"/>
        <v>0</v>
      </c>
      <c r="U18" s="192"/>
      <c r="V18" s="196">
        <f t="shared" si="6"/>
        <v>0</v>
      </c>
    </row>
    <row r="19" spans="1:22" x14ac:dyDescent="0.25">
      <c r="A19" s="43" t="s">
        <v>14</v>
      </c>
      <c r="B19" s="20" t="s">
        <v>7</v>
      </c>
      <c r="C19" s="68">
        <v>880000</v>
      </c>
      <c r="D19" s="68">
        <v>880000</v>
      </c>
      <c r="E19" s="68">
        <f>857825+305972</f>
        <v>1163797</v>
      </c>
      <c r="F19" s="69"/>
      <c r="G19" s="69"/>
      <c r="H19" s="68">
        <v>0</v>
      </c>
      <c r="I19" s="81">
        <v>305972</v>
      </c>
      <c r="J19" s="81"/>
      <c r="K19" s="69"/>
      <c r="L19" s="690">
        <f t="shared" si="12"/>
        <v>0</v>
      </c>
      <c r="M19" s="690">
        <f t="shared" si="13"/>
        <v>0.34769545454545453</v>
      </c>
      <c r="N19" s="690">
        <f t="shared" si="14"/>
        <v>0</v>
      </c>
      <c r="O19" s="705"/>
      <c r="P19" s="81">
        <f t="shared" si="8"/>
        <v>0</v>
      </c>
      <c r="Q19" s="81">
        <f t="shared" si="9"/>
        <v>283797</v>
      </c>
      <c r="R19" s="81">
        <f t="shared" si="10"/>
        <v>0</v>
      </c>
      <c r="S19" s="81">
        <f t="shared" si="15"/>
        <v>283797</v>
      </c>
      <c r="T19" s="85">
        <f t="shared" si="11"/>
        <v>0.32249659090909089</v>
      </c>
      <c r="U19" s="192"/>
      <c r="V19" s="196">
        <f t="shared" si="6"/>
        <v>0</v>
      </c>
    </row>
    <row r="20" spans="1:22" x14ac:dyDescent="0.25">
      <c r="A20" s="43" t="s">
        <v>15</v>
      </c>
      <c r="B20" s="20" t="s">
        <v>8</v>
      </c>
      <c r="C20" s="68">
        <f>2*40000+2*40000</f>
        <v>160000</v>
      </c>
      <c r="D20" s="68">
        <f>2*40000+2*40000</f>
        <v>160000</v>
      </c>
      <c r="E20" s="68">
        <f>2*40000+2*40000</f>
        <v>160000</v>
      </c>
      <c r="F20" s="69"/>
      <c r="G20" s="69"/>
      <c r="H20" s="68">
        <v>0</v>
      </c>
      <c r="I20" s="81"/>
      <c r="J20" s="81"/>
      <c r="K20" s="69"/>
      <c r="L20" s="690">
        <f t="shared" si="12"/>
        <v>0</v>
      </c>
      <c r="M20" s="690">
        <f t="shared" si="13"/>
        <v>0</v>
      </c>
      <c r="N20" s="690">
        <f t="shared" si="14"/>
        <v>0</v>
      </c>
      <c r="O20" s="705"/>
      <c r="P20" s="81">
        <f t="shared" si="8"/>
        <v>0</v>
      </c>
      <c r="Q20" s="81">
        <f t="shared" si="9"/>
        <v>0</v>
      </c>
      <c r="R20" s="81">
        <f t="shared" si="10"/>
        <v>0</v>
      </c>
      <c r="S20" s="81">
        <f t="shared" si="15"/>
        <v>0</v>
      </c>
      <c r="T20" s="85">
        <f t="shared" si="11"/>
        <v>0</v>
      </c>
      <c r="U20" s="192"/>
      <c r="V20" s="196">
        <f t="shared" si="6"/>
        <v>0</v>
      </c>
    </row>
    <row r="21" spans="1:22" hidden="1" x14ac:dyDescent="0.25">
      <c r="A21" s="43" t="s">
        <v>16</v>
      </c>
      <c r="B21" s="20" t="s">
        <v>9</v>
      </c>
      <c r="C21" s="68">
        <v>0</v>
      </c>
      <c r="D21" s="68">
        <v>0</v>
      </c>
      <c r="E21" s="68">
        <v>0</v>
      </c>
      <c r="F21" s="69"/>
      <c r="G21" s="69"/>
      <c r="H21" s="68"/>
      <c r="I21" s="81"/>
      <c r="J21" s="81"/>
      <c r="K21" s="69"/>
      <c r="L21" s="690">
        <f t="shared" si="12"/>
        <v>0</v>
      </c>
      <c r="M21" s="690">
        <f t="shared" si="13"/>
        <v>0</v>
      </c>
      <c r="N21" s="690">
        <f t="shared" si="14"/>
        <v>0</v>
      </c>
      <c r="O21" s="705"/>
      <c r="P21" s="81">
        <f t="shared" si="8"/>
        <v>0</v>
      </c>
      <c r="Q21" s="81">
        <f t="shared" si="9"/>
        <v>0</v>
      </c>
      <c r="R21" s="81">
        <f t="shared" si="10"/>
        <v>0</v>
      </c>
      <c r="S21" s="81">
        <f t="shared" si="15"/>
        <v>0</v>
      </c>
      <c r="T21" s="85">
        <f t="shared" si="11"/>
        <v>0</v>
      </c>
      <c r="U21" s="192"/>
      <c r="V21" s="196">
        <f t="shared" si="6"/>
        <v>0</v>
      </c>
    </row>
    <row r="22" spans="1:22" x14ac:dyDescent="0.25">
      <c r="A22" s="43" t="s">
        <v>17</v>
      </c>
      <c r="B22" s="20" t="s">
        <v>10</v>
      </c>
      <c r="C22" s="68">
        <v>0</v>
      </c>
      <c r="D22" s="68">
        <v>0</v>
      </c>
      <c r="E22" s="68">
        <v>0</v>
      </c>
      <c r="F22" s="69"/>
      <c r="G22" s="69"/>
      <c r="H22" s="68">
        <v>0</v>
      </c>
      <c r="I22" s="81"/>
      <c r="J22" s="81"/>
      <c r="K22" s="69"/>
      <c r="L22" s="690">
        <f t="shared" si="12"/>
        <v>0</v>
      </c>
      <c r="M22" s="690">
        <f t="shared" si="13"/>
        <v>0</v>
      </c>
      <c r="N22" s="690">
        <f t="shared" si="14"/>
        <v>0</v>
      </c>
      <c r="O22" s="705"/>
      <c r="P22" s="81">
        <f t="shared" si="8"/>
        <v>0</v>
      </c>
      <c r="Q22" s="81">
        <f t="shared" si="9"/>
        <v>0</v>
      </c>
      <c r="R22" s="81">
        <f t="shared" si="10"/>
        <v>0</v>
      </c>
      <c r="S22" s="81">
        <f t="shared" si="15"/>
        <v>0</v>
      </c>
      <c r="T22" s="85">
        <f t="shared" si="11"/>
        <v>0</v>
      </c>
      <c r="U22" s="192"/>
      <c r="V22" s="196">
        <f t="shared" si="6"/>
        <v>0</v>
      </c>
    </row>
    <row r="23" spans="1:22" x14ac:dyDescent="0.25">
      <c r="A23" s="43" t="s">
        <v>18</v>
      </c>
      <c r="B23" s="20" t="s">
        <v>11</v>
      </c>
      <c r="C23" s="68">
        <v>1000000</v>
      </c>
      <c r="D23" s="68">
        <v>1000000</v>
      </c>
      <c r="E23" s="68">
        <v>1000000</v>
      </c>
      <c r="F23" s="69"/>
      <c r="G23" s="69"/>
      <c r="H23" s="68">
        <v>538476</v>
      </c>
      <c r="I23" s="81">
        <v>694571</v>
      </c>
      <c r="J23" s="81"/>
      <c r="K23" s="69"/>
      <c r="L23" s="690">
        <f>IF(H23&gt;0,H23/C23,0)</f>
        <v>0.53847599999999995</v>
      </c>
      <c r="M23" s="690">
        <f t="shared" si="13"/>
        <v>0.69457100000000005</v>
      </c>
      <c r="N23" s="690">
        <f t="shared" si="14"/>
        <v>0</v>
      </c>
      <c r="O23" s="705"/>
      <c r="P23" s="81">
        <f t="shared" si="8"/>
        <v>0</v>
      </c>
      <c r="Q23" s="81">
        <f t="shared" si="9"/>
        <v>0</v>
      </c>
      <c r="R23" s="81">
        <f t="shared" si="10"/>
        <v>0</v>
      </c>
      <c r="S23" s="81">
        <f t="shared" si="15"/>
        <v>0</v>
      </c>
      <c r="T23" s="85">
        <f t="shared" si="11"/>
        <v>0</v>
      </c>
      <c r="U23" s="192"/>
      <c r="V23" s="196">
        <f t="shared" si="6"/>
        <v>0</v>
      </c>
    </row>
    <row r="24" spans="1:22" x14ac:dyDescent="0.25">
      <c r="A24" s="43" t="s">
        <v>19</v>
      </c>
      <c r="B24" s="20"/>
      <c r="C24" s="68"/>
      <c r="D24" s="68"/>
      <c r="E24" s="68"/>
      <c r="F24" s="69"/>
      <c r="G24" s="69"/>
      <c r="H24" s="68"/>
      <c r="I24" s="81"/>
      <c r="J24" s="81"/>
      <c r="K24" s="69"/>
      <c r="L24" s="690">
        <f t="shared" si="12"/>
        <v>0</v>
      </c>
      <c r="M24" s="690">
        <f t="shared" si="13"/>
        <v>0</v>
      </c>
      <c r="N24" s="690">
        <f t="shared" si="14"/>
        <v>0</v>
      </c>
      <c r="O24" s="705"/>
      <c r="P24" s="81"/>
      <c r="Q24" s="81"/>
      <c r="R24" s="81"/>
      <c r="S24" s="81">
        <f t="shared" si="15"/>
        <v>0</v>
      </c>
      <c r="T24" s="85"/>
      <c r="U24" s="192"/>
      <c r="V24" s="196">
        <f t="shared" si="6"/>
        <v>0</v>
      </c>
    </row>
    <row r="25" spans="1:22" x14ac:dyDescent="0.25">
      <c r="A25" s="14" t="s">
        <v>20</v>
      </c>
      <c r="B25" s="20" t="s">
        <v>21</v>
      </c>
      <c r="C25" s="68">
        <v>18793000</v>
      </c>
      <c r="D25" s="68">
        <v>17793000</v>
      </c>
      <c r="E25" s="68">
        <v>17793000</v>
      </c>
      <c r="F25" s="69"/>
      <c r="G25" s="69"/>
      <c r="H25" s="68">
        <v>10359641</v>
      </c>
      <c r="I25" s="81">
        <v>14847842</v>
      </c>
      <c r="J25" s="81"/>
      <c r="K25" s="69"/>
      <c r="L25" s="690">
        <f t="shared" si="12"/>
        <v>0.55124998669717451</v>
      </c>
      <c r="M25" s="690">
        <f t="shared" si="13"/>
        <v>0.83447659191817003</v>
      </c>
      <c r="N25" s="690">
        <f t="shared" si="14"/>
        <v>0</v>
      </c>
      <c r="O25" s="705"/>
      <c r="P25" s="81">
        <f t="shared" ref="P25:R27" si="16">+(D25-C25)*P$8</f>
        <v>-1000000</v>
      </c>
      <c r="Q25" s="81">
        <f t="shared" si="16"/>
        <v>0</v>
      </c>
      <c r="R25" s="81">
        <f t="shared" si="16"/>
        <v>0</v>
      </c>
      <c r="S25" s="81">
        <f t="shared" si="15"/>
        <v>-1000000</v>
      </c>
      <c r="T25" s="85">
        <f>IF(C25=0,0,+S25/C25)</f>
        <v>-5.3211302080561913E-2</v>
      </c>
      <c r="U25" s="192"/>
      <c r="V25" s="196">
        <f t="shared" si="6"/>
        <v>0</v>
      </c>
    </row>
    <row r="26" spans="1:22" x14ac:dyDescent="0.25">
      <c r="A26" s="14" t="s">
        <v>22</v>
      </c>
      <c r="B26" s="20" t="s">
        <v>23</v>
      </c>
      <c r="C26" s="68">
        <v>0</v>
      </c>
      <c r="D26" s="68">
        <v>0</v>
      </c>
      <c r="E26" s="68">
        <v>0</v>
      </c>
      <c r="F26" s="69"/>
      <c r="G26" s="69"/>
      <c r="H26" s="68">
        <v>0</v>
      </c>
      <c r="I26" s="81"/>
      <c r="J26" s="81"/>
      <c r="K26" s="69"/>
      <c r="L26" s="690">
        <f t="shared" si="12"/>
        <v>0</v>
      </c>
      <c r="M26" s="690">
        <f t="shared" si="13"/>
        <v>0</v>
      </c>
      <c r="N26" s="690">
        <f t="shared" si="14"/>
        <v>0</v>
      </c>
      <c r="O26" s="705"/>
      <c r="P26" s="81">
        <f t="shared" si="16"/>
        <v>0</v>
      </c>
      <c r="Q26" s="81">
        <f t="shared" si="16"/>
        <v>0</v>
      </c>
      <c r="R26" s="81">
        <f t="shared" si="16"/>
        <v>0</v>
      </c>
      <c r="S26" s="81">
        <f t="shared" si="15"/>
        <v>0</v>
      </c>
      <c r="T26" s="85">
        <f>IF(C26=0,0,+S26/C26)</f>
        <v>0</v>
      </c>
      <c r="U26" s="192"/>
      <c r="V26" s="196">
        <f t="shared" si="6"/>
        <v>0</v>
      </c>
    </row>
    <row r="27" spans="1:22" x14ac:dyDescent="0.25">
      <c r="A27" s="14" t="s">
        <v>24</v>
      </c>
      <c r="B27" s="20" t="s">
        <v>25</v>
      </c>
      <c r="C27" s="68">
        <v>0</v>
      </c>
      <c r="D27" s="68">
        <v>2619000</v>
      </c>
      <c r="E27" s="68">
        <v>2619000</v>
      </c>
      <c r="F27" s="69"/>
      <c r="G27" s="69"/>
      <c r="H27" s="68">
        <v>1254048</v>
      </c>
      <c r="I27" s="81">
        <v>1920162</v>
      </c>
      <c r="J27" s="81"/>
      <c r="K27" s="69"/>
      <c r="L27" s="690" t="e">
        <f t="shared" si="12"/>
        <v>#DIV/0!</v>
      </c>
      <c r="M27" s="690">
        <f t="shared" si="13"/>
        <v>0.73316609392898058</v>
      </c>
      <c r="N27" s="690">
        <f t="shared" si="14"/>
        <v>0</v>
      </c>
      <c r="O27" s="705"/>
      <c r="P27" s="81">
        <f t="shared" si="16"/>
        <v>2619000</v>
      </c>
      <c r="Q27" s="81">
        <f t="shared" si="16"/>
        <v>0</v>
      </c>
      <c r="R27" s="81">
        <f t="shared" si="16"/>
        <v>0</v>
      </c>
      <c r="S27" s="81">
        <f t="shared" si="15"/>
        <v>2619000</v>
      </c>
      <c r="T27" s="85">
        <f>IF(C27=0,0,+S27/C27)</f>
        <v>0</v>
      </c>
      <c r="U27" s="192"/>
      <c r="V27" s="196">
        <f t="shared" si="6"/>
        <v>0</v>
      </c>
    </row>
    <row r="28" spans="1:22" x14ac:dyDescent="0.25">
      <c r="C28" s="68"/>
      <c r="D28" s="69"/>
      <c r="E28" s="69"/>
      <c r="F28" s="69"/>
      <c r="G28" s="69"/>
      <c r="H28" s="81"/>
      <c r="I28" s="81"/>
      <c r="J28" s="81"/>
      <c r="K28" s="69"/>
      <c r="L28" s="690"/>
      <c r="M28" s="690"/>
      <c r="N28" s="690"/>
      <c r="O28" s="705"/>
      <c r="P28" s="81"/>
      <c r="Q28" s="81"/>
      <c r="R28" s="81"/>
      <c r="S28" s="81"/>
      <c r="T28" s="85"/>
      <c r="U28" s="192"/>
      <c r="V28" s="196">
        <f t="shared" si="6"/>
        <v>0</v>
      </c>
    </row>
    <row r="29" spans="1:22" x14ac:dyDescent="0.25">
      <c r="A29" s="4" t="s">
        <v>26</v>
      </c>
      <c r="B29" s="3" t="s">
        <v>27</v>
      </c>
      <c r="C29" s="70">
        <f t="shared" ref="C29" si="17">SUM(C30:C31)</f>
        <v>11000000</v>
      </c>
      <c r="D29" s="70">
        <f>SUM(D30:D31)</f>
        <v>11000000</v>
      </c>
      <c r="E29" s="70">
        <f>SUM(E30:E31)</f>
        <v>11000000</v>
      </c>
      <c r="F29" s="70">
        <f>SUM(F30:F31)</f>
        <v>0</v>
      </c>
      <c r="G29" s="70"/>
      <c r="H29" s="82">
        <f t="shared" ref="H29" si="18">SUM(H30:H31)</f>
        <v>5790855</v>
      </c>
      <c r="I29" s="82">
        <f>SUM(I30:I31)</f>
        <v>8980382</v>
      </c>
      <c r="J29" s="82">
        <f t="shared" ref="J29" si="19">SUM(J30:J31)</f>
        <v>0</v>
      </c>
      <c r="K29" s="70"/>
      <c r="L29" s="691">
        <f>H29/C29</f>
        <v>0.52644136363636362</v>
      </c>
      <c r="M29" s="691">
        <f>I29/D29</f>
        <v>0.81639836363636364</v>
      </c>
      <c r="N29" s="691">
        <f>+J29/E29</f>
        <v>0</v>
      </c>
      <c r="O29" s="701"/>
      <c r="P29" s="82">
        <f>IF(D29&gt;0,+D29-C29,0)</f>
        <v>0</v>
      </c>
      <c r="Q29" s="82">
        <f>IF(E29&gt;0,+E29-D29,0)</f>
        <v>0</v>
      </c>
      <c r="R29" s="82">
        <f>IF(F29&gt;0,+F29-E29,0)</f>
        <v>0</v>
      </c>
      <c r="S29" s="82">
        <f t="shared" ref="S29:S30" si="20">+P29*P$8+Q29*Q$8+Q29*G$8</f>
        <v>0</v>
      </c>
      <c r="T29" s="85">
        <f>IF(C29=0,0,+S29/C29)</f>
        <v>0</v>
      </c>
      <c r="U29" s="193"/>
      <c r="V29" s="196">
        <f t="shared" si="6"/>
        <v>0</v>
      </c>
    </row>
    <row r="30" spans="1:22" x14ac:dyDescent="0.25">
      <c r="B30" s="20" t="s">
        <v>28</v>
      </c>
      <c r="C30" s="71">
        <v>11000000</v>
      </c>
      <c r="D30" s="71">
        <v>11000000</v>
      </c>
      <c r="E30" s="71">
        <v>11000000</v>
      </c>
      <c r="F30" s="69"/>
      <c r="G30" s="69"/>
      <c r="H30" s="81">
        <v>5790855</v>
      </c>
      <c r="I30" s="81">
        <v>8980382</v>
      </c>
      <c r="J30" s="81"/>
      <c r="K30" s="69"/>
      <c r="L30" s="690">
        <f>H30/C30</f>
        <v>0.52644136363636362</v>
      </c>
      <c r="M30" s="690">
        <f>I30/D30</f>
        <v>0.81639836363636364</v>
      </c>
      <c r="N30" s="690">
        <f>+J30/E30</f>
        <v>0</v>
      </c>
      <c r="O30" s="705"/>
      <c r="P30" s="81">
        <f>+(D30-C30)*P$8</f>
        <v>0</v>
      </c>
      <c r="Q30" s="81">
        <f>+(E30-D30)*Q$8</f>
        <v>0</v>
      </c>
      <c r="R30" s="81">
        <f>+(F30-E30)*R$8</f>
        <v>0</v>
      </c>
      <c r="S30" s="81">
        <f t="shared" si="20"/>
        <v>0</v>
      </c>
      <c r="T30" s="85">
        <f>IF(C30=0,0,+S30/C30)</f>
        <v>0</v>
      </c>
      <c r="U30" s="192"/>
      <c r="V30" s="196">
        <f t="shared" si="6"/>
        <v>0</v>
      </c>
    </row>
    <row r="31" spans="1:22" x14ac:dyDescent="0.25">
      <c r="C31" s="71"/>
      <c r="D31" s="69"/>
      <c r="E31" s="69"/>
      <c r="F31" s="69"/>
      <c r="G31" s="69"/>
      <c r="H31" s="81"/>
      <c r="I31" s="81"/>
      <c r="J31" s="81"/>
      <c r="K31" s="69"/>
      <c r="L31" s="690"/>
      <c r="M31" s="690"/>
      <c r="N31" s="690"/>
      <c r="O31" s="705"/>
      <c r="P31" s="81"/>
      <c r="Q31" s="81"/>
      <c r="R31" s="81"/>
      <c r="S31" s="81"/>
      <c r="T31" s="85"/>
      <c r="U31" s="192"/>
      <c r="V31" s="196">
        <f t="shared" si="6"/>
        <v>0</v>
      </c>
    </row>
    <row r="32" spans="1:22" x14ac:dyDescent="0.25">
      <c r="A32" s="4" t="s">
        <v>29</v>
      </c>
      <c r="B32" s="3" t="s">
        <v>30</v>
      </c>
      <c r="C32" s="66">
        <f t="shared" ref="C32" si="21">SUM(C33:C80)</f>
        <v>162428000</v>
      </c>
      <c r="D32" s="66">
        <f>SUM(D33:D80)</f>
        <v>150452970</v>
      </c>
      <c r="E32" s="66">
        <f>SUM(E33:E80)</f>
        <v>201226541</v>
      </c>
      <c r="F32" s="66">
        <f>SUM(F33:F80)</f>
        <v>0</v>
      </c>
      <c r="G32" s="66"/>
      <c r="H32" s="83">
        <f t="shared" ref="H32" si="22">SUM(H33:H80)</f>
        <v>67263471</v>
      </c>
      <c r="I32" s="83">
        <f>SUM(I33:I80)</f>
        <v>127937757</v>
      </c>
      <c r="J32" s="83">
        <f>SUM(J33:J80)</f>
        <v>0</v>
      </c>
      <c r="K32" s="66"/>
      <c r="L32" s="691">
        <f t="shared" ref="L32:L34" si="23">IF(H32&gt;0,H32/C32,0)</f>
        <v>0.41411253601595782</v>
      </c>
      <c r="M32" s="691">
        <f t="shared" ref="M32:M34" si="24">IF(I32&gt;0,I32/D32,0)</f>
        <v>0.85035049158551013</v>
      </c>
      <c r="N32" s="691">
        <f t="shared" ref="N32:N34" si="25">IF(J32&gt;0,J32/E32,0)</f>
        <v>0</v>
      </c>
      <c r="O32" s="706"/>
      <c r="P32" s="83">
        <f>IF(D32&gt;0,+D32-C32,0)</f>
        <v>-11975030</v>
      </c>
      <c r="Q32" s="83">
        <f>IF(E32&gt;0,+E32-D32,0)</f>
        <v>50773571</v>
      </c>
      <c r="R32" s="83">
        <f>IF(F32&gt;0,+F32-E32,0)</f>
        <v>0</v>
      </c>
      <c r="S32" s="83">
        <f t="shared" ref="S32:S79" si="26">+P32*P$8+Q32*Q$8+Q32*G$8</f>
        <v>38798541</v>
      </c>
      <c r="T32" s="85">
        <f t="shared" ref="T32:T79" si="27">IF(C32=0,0,+S32/C32)</f>
        <v>0.23886608835914991</v>
      </c>
      <c r="U32" s="194"/>
      <c r="V32" s="196">
        <f t="shared" si="6"/>
        <v>0</v>
      </c>
    </row>
    <row r="33" spans="1:22" x14ac:dyDescent="0.25">
      <c r="A33" s="14" t="s">
        <v>31</v>
      </c>
      <c r="B33" s="20" t="s">
        <v>32</v>
      </c>
      <c r="C33" s="71"/>
      <c r="D33" s="69"/>
      <c r="E33" s="69">
        <v>0</v>
      </c>
      <c r="F33" s="69"/>
      <c r="G33" s="69"/>
      <c r="H33" s="81"/>
      <c r="I33" s="81"/>
      <c r="J33" s="81"/>
      <c r="K33" s="69"/>
      <c r="L33" s="690">
        <f t="shared" si="23"/>
        <v>0</v>
      </c>
      <c r="M33" s="690">
        <f t="shared" si="24"/>
        <v>0</v>
      </c>
      <c r="N33" s="690">
        <f t="shared" si="25"/>
        <v>0</v>
      </c>
      <c r="O33" s="705"/>
      <c r="P33" s="81">
        <f t="shared" ref="P33:P79" si="28">+(D33-C33)*P$8</f>
        <v>0</v>
      </c>
      <c r="Q33" s="81">
        <f t="shared" ref="Q33:Q79" si="29">+(E33-D33)*Q$8</f>
        <v>0</v>
      </c>
      <c r="R33" s="81">
        <f t="shared" ref="R33:R79" si="30">+(F33-E33)*R$8</f>
        <v>0</v>
      </c>
      <c r="S33" s="81">
        <f t="shared" si="26"/>
        <v>0</v>
      </c>
      <c r="T33" s="85">
        <f t="shared" si="27"/>
        <v>0</v>
      </c>
      <c r="U33" s="192"/>
      <c r="V33" s="196">
        <f t="shared" si="6"/>
        <v>0</v>
      </c>
    </row>
    <row r="34" spans="1:22" x14ac:dyDescent="0.25">
      <c r="A34" s="14" t="s">
        <v>33</v>
      </c>
      <c r="B34" s="20" t="s">
        <v>35</v>
      </c>
      <c r="C34" s="71">
        <v>1625000</v>
      </c>
      <c r="D34" s="71">
        <v>1625000</v>
      </c>
      <c r="E34" s="69">
        <v>910000</v>
      </c>
      <c r="F34" s="69"/>
      <c r="G34" s="69"/>
      <c r="H34" s="81">
        <v>634156</v>
      </c>
      <c r="I34" s="81">
        <v>652616</v>
      </c>
      <c r="J34" s="81"/>
      <c r="K34" s="69"/>
      <c r="L34" s="690">
        <f t="shared" si="23"/>
        <v>0.39024984615384617</v>
      </c>
      <c r="M34" s="690">
        <f t="shared" si="24"/>
        <v>0.40160984615384615</v>
      </c>
      <c r="N34" s="690">
        <f t="shared" si="25"/>
        <v>0</v>
      </c>
      <c r="O34" s="705"/>
      <c r="P34" s="81">
        <f t="shared" si="28"/>
        <v>0</v>
      </c>
      <c r="Q34" s="81">
        <f t="shared" si="29"/>
        <v>-715000</v>
      </c>
      <c r="R34" s="81">
        <f t="shared" si="30"/>
        <v>0</v>
      </c>
      <c r="S34" s="81">
        <f t="shared" si="26"/>
        <v>-715000</v>
      </c>
      <c r="T34" s="85">
        <f t="shared" si="27"/>
        <v>-0.44</v>
      </c>
      <c r="U34" s="192"/>
      <c r="V34" s="196">
        <f t="shared" si="6"/>
        <v>0</v>
      </c>
    </row>
    <row r="35" spans="1:22" x14ac:dyDescent="0.25">
      <c r="B35" s="20" t="s">
        <v>364</v>
      </c>
      <c r="C35" s="71"/>
      <c r="D35" s="71"/>
      <c r="E35" s="69"/>
      <c r="F35" s="69"/>
      <c r="G35" s="69"/>
      <c r="H35" s="81"/>
      <c r="I35" s="81"/>
      <c r="J35" s="81"/>
      <c r="K35" s="69"/>
      <c r="L35" s="690"/>
      <c r="M35" s="690"/>
      <c r="N35" s="690"/>
      <c r="O35" s="705"/>
      <c r="P35" s="81">
        <f t="shared" si="28"/>
        <v>0</v>
      </c>
      <c r="Q35" s="81">
        <f t="shared" si="29"/>
        <v>0</v>
      </c>
      <c r="R35" s="81">
        <f t="shared" si="30"/>
        <v>0</v>
      </c>
      <c r="S35" s="81">
        <f t="shared" si="26"/>
        <v>0</v>
      </c>
      <c r="T35" s="85">
        <f t="shared" si="27"/>
        <v>0</v>
      </c>
      <c r="U35" s="192"/>
      <c r="V35" s="196">
        <f t="shared" si="6"/>
        <v>0</v>
      </c>
    </row>
    <row r="36" spans="1:22" x14ac:dyDescent="0.25">
      <c r="A36" s="14" t="s">
        <v>34</v>
      </c>
      <c r="B36" s="20" t="s">
        <v>36</v>
      </c>
      <c r="C36" s="71">
        <v>11040000</v>
      </c>
      <c r="D36" s="71">
        <v>11040000</v>
      </c>
      <c r="E36" s="69">
        <v>14732364</v>
      </c>
      <c r="F36" s="69"/>
      <c r="G36" s="69"/>
      <c r="H36" s="81">
        <v>8675387</v>
      </c>
      <c r="I36" s="81">
        <v>9916473</v>
      </c>
      <c r="J36" s="81"/>
      <c r="K36" s="69"/>
      <c r="L36" s="690">
        <f t="shared" ref="L36" si="31">IF(H36&gt;0,H36/C36,0)</f>
        <v>0.78581403985507248</v>
      </c>
      <c r="M36" s="690">
        <f t="shared" ref="M36" si="32">IF(I36&gt;0,I36/D36,0)</f>
        <v>0.89823125000000004</v>
      </c>
      <c r="N36" s="690">
        <f t="shared" ref="N36" si="33">IF(J36&gt;0,J36/E36,0)</f>
        <v>0</v>
      </c>
      <c r="O36" s="705"/>
      <c r="P36" s="81">
        <f t="shared" si="28"/>
        <v>0</v>
      </c>
      <c r="Q36" s="81">
        <f t="shared" si="29"/>
        <v>3692364</v>
      </c>
      <c r="R36" s="81">
        <f t="shared" si="30"/>
        <v>0</v>
      </c>
      <c r="S36" s="81">
        <f t="shared" si="26"/>
        <v>3692364</v>
      </c>
      <c r="T36" s="85">
        <f t="shared" si="27"/>
        <v>0.33445326086956523</v>
      </c>
      <c r="U36" s="192"/>
      <c r="V36" s="196">
        <f t="shared" si="6"/>
        <v>0</v>
      </c>
    </row>
    <row r="37" spans="1:22" ht="17.25" customHeight="1" x14ac:dyDescent="0.25">
      <c r="B37" s="645" t="s">
        <v>365</v>
      </c>
      <c r="C37" s="71"/>
      <c r="D37" s="71"/>
      <c r="E37" s="69"/>
      <c r="F37" s="69"/>
      <c r="G37" s="69"/>
      <c r="H37" s="81"/>
      <c r="I37" s="81"/>
      <c r="J37" s="81"/>
      <c r="K37" s="69"/>
      <c r="L37" s="690"/>
      <c r="M37" s="690"/>
      <c r="N37" s="690"/>
      <c r="O37" s="705"/>
      <c r="P37" s="81">
        <f t="shared" si="28"/>
        <v>0</v>
      </c>
      <c r="Q37" s="81">
        <f t="shared" si="29"/>
        <v>0</v>
      </c>
      <c r="R37" s="81">
        <f t="shared" si="30"/>
        <v>0</v>
      </c>
      <c r="S37" s="81">
        <f t="shared" si="26"/>
        <v>0</v>
      </c>
      <c r="T37" s="85">
        <f t="shared" si="27"/>
        <v>0</v>
      </c>
      <c r="U37" s="192"/>
      <c r="V37" s="196">
        <f t="shared" si="6"/>
        <v>0</v>
      </c>
    </row>
    <row r="38" spans="1:22" x14ac:dyDescent="0.25">
      <c r="B38" s="20" t="s">
        <v>108</v>
      </c>
      <c r="C38" s="71"/>
      <c r="D38" s="71"/>
      <c r="E38" s="69"/>
      <c r="F38" s="69"/>
      <c r="G38" s="69"/>
      <c r="H38" s="81"/>
      <c r="I38" s="81"/>
      <c r="J38" s="81"/>
      <c r="K38" s="69"/>
      <c r="L38" s="690"/>
      <c r="M38" s="690"/>
      <c r="N38" s="690"/>
      <c r="O38" s="705"/>
      <c r="P38" s="81">
        <f t="shared" si="28"/>
        <v>0</v>
      </c>
      <c r="Q38" s="81">
        <f t="shared" si="29"/>
        <v>0</v>
      </c>
      <c r="R38" s="81">
        <f t="shared" si="30"/>
        <v>0</v>
      </c>
      <c r="S38" s="81">
        <f t="shared" si="26"/>
        <v>0</v>
      </c>
      <c r="T38" s="85">
        <f t="shared" si="27"/>
        <v>0</v>
      </c>
      <c r="U38" s="192"/>
      <c r="V38" s="196">
        <f t="shared" si="6"/>
        <v>0</v>
      </c>
    </row>
    <row r="39" spans="1:22" x14ac:dyDescent="0.25">
      <c r="A39" s="14" t="s">
        <v>37</v>
      </c>
      <c r="B39" s="20" t="s">
        <v>38</v>
      </c>
      <c r="C39" s="71"/>
      <c r="D39" s="71"/>
      <c r="E39" s="69"/>
      <c r="F39" s="69"/>
      <c r="G39" s="69"/>
      <c r="H39" s="81"/>
      <c r="I39" s="81"/>
      <c r="J39" s="81"/>
      <c r="K39" s="69"/>
      <c r="L39" s="690"/>
      <c r="M39" s="690"/>
      <c r="N39" s="690"/>
      <c r="O39" s="705"/>
      <c r="P39" s="81">
        <f t="shared" si="28"/>
        <v>0</v>
      </c>
      <c r="Q39" s="81">
        <f t="shared" si="29"/>
        <v>0</v>
      </c>
      <c r="R39" s="81">
        <f t="shared" si="30"/>
        <v>0</v>
      </c>
      <c r="S39" s="81">
        <f t="shared" si="26"/>
        <v>0</v>
      </c>
      <c r="T39" s="85">
        <f t="shared" si="27"/>
        <v>0</v>
      </c>
      <c r="U39" s="192"/>
      <c r="V39" s="196">
        <f t="shared" si="6"/>
        <v>0</v>
      </c>
    </row>
    <row r="40" spans="1:22" x14ac:dyDescent="0.25">
      <c r="A40" s="14" t="s">
        <v>39</v>
      </c>
      <c r="B40" s="20" t="s">
        <v>40</v>
      </c>
      <c r="C40" s="71">
        <v>600000</v>
      </c>
      <c r="D40" s="71">
        <v>6300000</v>
      </c>
      <c r="E40" s="69">
        <v>4900000</v>
      </c>
      <c r="F40" s="69"/>
      <c r="G40" s="69"/>
      <c r="H40" s="81">
        <v>2298606</v>
      </c>
      <c r="I40" s="81">
        <v>3464151</v>
      </c>
      <c r="J40" s="81"/>
      <c r="K40" s="69"/>
      <c r="L40" s="690">
        <f t="shared" ref="L40:L44" si="34">IF(H40&gt;0,H40/C40,0)</f>
        <v>3.83101</v>
      </c>
      <c r="M40" s="690">
        <f t="shared" ref="M40:M44" si="35">IF(I40&gt;0,I40/D40,0)</f>
        <v>0.54986523809523813</v>
      </c>
      <c r="N40" s="690">
        <f t="shared" ref="N40:N44" si="36">IF(J40&gt;0,J40/E40,0)</f>
        <v>0</v>
      </c>
      <c r="O40" s="705"/>
      <c r="P40" s="81">
        <f t="shared" si="28"/>
        <v>5700000</v>
      </c>
      <c r="Q40" s="81">
        <f t="shared" si="29"/>
        <v>-1400000</v>
      </c>
      <c r="R40" s="81">
        <f t="shared" si="30"/>
        <v>0</v>
      </c>
      <c r="S40" s="81">
        <f t="shared" si="26"/>
        <v>4300000</v>
      </c>
      <c r="T40" s="85">
        <f t="shared" si="27"/>
        <v>7.166666666666667</v>
      </c>
      <c r="U40" s="192"/>
      <c r="V40" s="196">
        <f t="shared" si="6"/>
        <v>0</v>
      </c>
    </row>
    <row r="41" spans="1:22" hidden="1" x14ac:dyDescent="0.25">
      <c r="B41" s="20" t="s">
        <v>41</v>
      </c>
      <c r="C41" s="71"/>
      <c r="D41" s="71"/>
      <c r="E41" s="69"/>
      <c r="F41" s="69"/>
      <c r="G41" s="69"/>
      <c r="H41" s="81"/>
      <c r="I41" s="81"/>
      <c r="J41" s="81"/>
      <c r="K41" s="69"/>
      <c r="L41" s="690">
        <f t="shared" si="34"/>
        <v>0</v>
      </c>
      <c r="M41" s="690">
        <f t="shared" si="35"/>
        <v>0</v>
      </c>
      <c r="N41" s="690">
        <f t="shared" si="36"/>
        <v>0</v>
      </c>
      <c r="O41" s="705"/>
      <c r="P41" s="81">
        <f t="shared" si="28"/>
        <v>0</v>
      </c>
      <c r="Q41" s="81">
        <f t="shared" si="29"/>
        <v>0</v>
      </c>
      <c r="R41" s="81">
        <f t="shared" si="30"/>
        <v>0</v>
      </c>
      <c r="S41" s="81">
        <f t="shared" si="26"/>
        <v>0</v>
      </c>
      <c r="T41" s="85">
        <f t="shared" si="27"/>
        <v>0</v>
      </c>
      <c r="U41" s="192"/>
      <c r="V41" s="196">
        <f t="shared" si="6"/>
        <v>0</v>
      </c>
    </row>
    <row r="42" spans="1:22" hidden="1" x14ac:dyDescent="0.25">
      <c r="B42" s="20" t="s">
        <v>42</v>
      </c>
      <c r="C42" s="71"/>
      <c r="D42" s="71"/>
      <c r="E42" s="69"/>
      <c r="F42" s="69"/>
      <c r="G42" s="69"/>
      <c r="H42" s="81"/>
      <c r="I42" s="81"/>
      <c r="J42" s="81"/>
      <c r="K42" s="69"/>
      <c r="L42" s="690">
        <f t="shared" si="34"/>
        <v>0</v>
      </c>
      <c r="M42" s="690">
        <f t="shared" si="35"/>
        <v>0</v>
      </c>
      <c r="N42" s="690">
        <f t="shared" si="36"/>
        <v>0</v>
      </c>
      <c r="O42" s="705"/>
      <c r="P42" s="81">
        <f t="shared" si="28"/>
        <v>0</v>
      </c>
      <c r="Q42" s="81">
        <f t="shared" si="29"/>
        <v>0</v>
      </c>
      <c r="R42" s="81">
        <f t="shared" si="30"/>
        <v>0</v>
      </c>
      <c r="S42" s="81">
        <f t="shared" si="26"/>
        <v>0</v>
      </c>
      <c r="T42" s="85">
        <f t="shared" si="27"/>
        <v>0</v>
      </c>
      <c r="U42" s="192"/>
      <c r="V42" s="196">
        <f t="shared" si="6"/>
        <v>0</v>
      </c>
    </row>
    <row r="43" spans="1:22" hidden="1" x14ac:dyDescent="0.25">
      <c r="B43" s="20" t="s">
        <v>43</v>
      </c>
      <c r="C43" s="71"/>
      <c r="D43" s="71"/>
      <c r="E43" s="69"/>
      <c r="F43" s="69"/>
      <c r="G43" s="69"/>
      <c r="H43" s="81"/>
      <c r="I43" s="81"/>
      <c r="J43" s="81"/>
      <c r="K43" s="69"/>
      <c r="L43" s="690">
        <f t="shared" si="34"/>
        <v>0</v>
      </c>
      <c r="M43" s="690">
        <f t="shared" si="35"/>
        <v>0</v>
      </c>
      <c r="N43" s="690">
        <f t="shared" si="36"/>
        <v>0</v>
      </c>
      <c r="O43" s="705"/>
      <c r="P43" s="81">
        <f t="shared" si="28"/>
        <v>0</v>
      </c>
      <c r="Q43" s="81">
        <f t="shared" si="29"/>
        <v>0</v>
      </c>
      <c r="R43" s="81">
        <f t="shared" si="30"/>
        <v>0</v>
      </c>
      <c r="S43" s="81">
        <f t="shared" si="26"/>
        <v>0</v>
      </c>
      <c r="T43" s="85">
        <f t="shared" si="27"/>
        <v>0</v>
      </c>
      <c r="U43" s="192"/>
      <c r="V43" s="196">
        <f t="shared" si="6"/>
        <v>0</v>
      </c>
    </row>
    <row r="44" spans="1:22" x14ac:dyDescent="0.25">
      <c r="A44" s="14" t="s">
        <v>44</v>
      </c>
      <c r="B44" s="20" t="s">
        <v>45</v>
      </c>
      <c r="C44" s="71">
        <v>2050000</v>
      </c>
      <c r="D44" s="71">
        <v>2050000</v>
      </c>
      <c r="E44" s="69">
        <v>2050000</v>
      </c>
      <c r="F44" s="69"/>
      <c r="G44" s="69"/>
      <c r="H44" s="81">
        <v>708960</v>
      </c>
      <c r="I44" s="81">
        <v>1113031</v>
      </c>
      <c r="J44" s="81"/>
      <c r="K44" s="69"/>
      <c r="L44" s="690">
        <f t="shared" si="34"/>
        <v>0.34583414634146342</v>
      </c>
      <c r="M44" s="690">
        <f t="shared" si="35"/>
        <v>0.54294195121951216</v>
      </c>
      <c r="N44" s="690">
        <f t="shared" si="36"/>
        <v>0</v>
      </c>
      <c r="O44" s="705"/>
      <c r="P44" s="81">
        <f t="shared" si="28"/>
        <v>0</v>
      </c>
      <c r="Q44" s="81">
        <f t="shared" si="29"/>
        <v>0</v>
      </c>
      <c r="R44" s="81">
        <f t="shared" si="30"/>
        <v>0</v>
      </c>
      <c r="S44" s="81">
        <f t="shared" si="26"/>
        <v>0</v>
      </c>
      <c r="T44" s="85">
        <f t="shared" si="27"/>
        <v>0</v>
      </c>
      <c r="U44" s="192"/>
      <c r="V44" s="196">
        <f t="shared" si="6"/>
        <v>0</v>
      </c>
    </row>
    <row r="45" spans="1:22" x14ac:dyDescent="0.25">
      <c r="B45" s="20" t="s">
        <v>46</v>
      </c>
      <c r="C45" s="71"/>
      <c r="D45" s="71"/>
      <c r="E45" s="69"/>
      <c r="F45" s="69"/>
      <c r="G45" s="69"/>
      <c r="H45" s="81"/>
      <c r="I45" s="81"/>
      <c r="J45" s="81"/>
      <c r="K45" s="69"/>
      <c r="L45" s="690"/>
      <c r="M45" s="690"/>
      <c r="N45" s="690"/>
      <c r="O45" s="705"/>
      <c r="P45" s="81">
        <f t="shared" si="28"/>
        <v>0</v>
      </c>
      <c r="Q45" s="81">
        <f t="shared" si="29"/>
        <v>0</v>
      </c>
      <c r="R45" s="81">
        <f t="shared" si="30"/>
        <v>0</v>
      </c>
      <c r="S45" s="81">
        <f t="shared" si="26"/>
        <v>0</v>
      </c>
      <c r="T45" s="85">
        <f t="shared" si="27"/>
        <v>0</v>
      </c>
      <c r="U45" s="192"/>
      <c r="V45" s="196">
        <f t="shared" ref="V45:V76" si="37">+S45-E45+C45</f>
        <v>0</v>
      </c>
    </row>
    <row r="46" spans="1:22" x14ac:dyDescent="0.25">
      <c r="A46" s="14" t="s">
        <v>47</v>
      </c>
      <c r="B46" s="20" t="s">
        <v>48</v>
      </c>
      <c r="C46" s="71"/>
      <c r="D46" s="69"/>
      <c r="E46" s="69"/>
      <c r="F46" s="69"/>
      <c r="G46" s="69"/>
      <c r="H46" s="81"/>
      <c r="I46" s="81"/>
      <c r="J46" s="81"/>
      <c r="K46" s="69"/>
      <c r="L46" s="690"/>
      <c r="M46" s="690"/>
      <c r="N46" s="690"/>
      <c r="O46" s="705"/>
      <c r="P46" s="81">
        <f t="shared" si="28"/>
        <v>0</v>
      </c>
      <c r="Q46" s="81">
        <f t="shared" si="29"/>
        <v>0</v>
      </c>
      <c r="R46" s="81">
        <f t="shared" si="30"/>
        <v>0</v>
      </c>
      <c r="S46" s="81">
        <f t="shared" si="26"/>
        <v>0</v>
      </c>
      <c r="T46" s="85">
        <f t="shared" si="27"/>
        <v>0</v>
      </c>
      <c r="U46" s="192"/>
      <c r="V46" s="196">
        <f t="shared" si="37"/>
        <v>0</v>
      </c>
    </row>
    <row r="47" spans="1:22" x14ac:dyDescent="0.25">
      <c r="A47" s="14" t="s">
        <v>49</v>
      </c>
      <c r="B47" s="20" t="s">
        <v>50</v>
      </c>
      <c r="C47" s="71">
        <v>15000000</v>
      </c>
      <c r="D47" s="69">
        <v>15000000</v>
      </c>
      <c r="E47" s="69">
        <v>14000000</v>
      </c>
      <c r="F47" s="69"/>
      <c r="G47" s="69"/>
      <c r="H47" s="81">
        <v>6431692</v>
      </c>
      <c r="I47" s="81">
        <v>9406700</v>
      </c>
      <c r="J47" s="81"/>
      <c r="K47" s="69"/>
      <c r="L47" s="690">
        <f t="shared" ref="L47" si="38">IF(H47&gt;0,H47/C47,0)</f>
        <v>0.42877946666666666</v>
      </c>
      <c r="M47" s="690">
        <f t="shared" ref="M47" si="39">IF(I47&gt;0,I47/D47,0)</f>
        <v>0.6271133333333333</v>
      </c>
      <c r="N47" s="690">
        <f t="shared" ref="N47" si="40">IF(J47&gt;0,J47/E47,0)</f>
        <v>0</v>
      </c>
      <c r="O47" s="705"/>
      <c r="P47" s="81">
        <f t="shared" si="28"/>
        <v>0</v>
      </c>
      <c r="Q47" s="81">
        <f t="shared" si="29"/>
        <v>-1000000</v>
      </c>
      <c r="R47" s="81">
        <f t="shared" si="30"/>
        <v>0</v>
      </c>
      <c r="S47" s="81">
        <f t="shared" si="26"/>
        <v>-1000000</v>
      </c>
      <c r="T47" s="85">
        <f t="shared" si="27"/>
        <v>-6.6666666666666666E-2</v>
      </c>
      <c r="U47" s="192"/>
      <c r="V47" s="196">
        <f t="shared" si="37"/>
        <v>0</v>
      </c>
    </row>
    <row r="48" spans="1:22" x14ac:dyDescent="0.25">
      <c r="B48" s="20" t="s">
        <v>97</v>
      </c>
      <c r="C48" s="71"/>
      <c r="D48" s="69"/>
      <c r="E48" s="69"/>
      <c r="F48" s="69"/>
      <c r="G48" s="69"/>
      <c r="H48" s="81"/>
      <c r="I48" s="81"/>
      <c r="J48" s="81"/>
      <c r="K48" s="69"/>
      <c r="L48" s="690"/>
      <c r="M48" s="690"/>
      <c r="N48" s="690"/>
      <c r="O48" s="705"/>
      <c r="P48" s="81">
        <f t="shared" si="28"/>
        <v>0</v>
      </c>
      <c r="Q48" s="81">
        <f t="shared" si="29"/>
        <v>0</v>
      </c>
      <c r="R48" s="81">
        <f t="shared" si="30"/>
        <v>0</v>
      </c>
      <c r="S48" s="81">
        <f t="shared" si="26"/>
        <v>0</v>
      </c>
      <c r="T48" s="85">
        <f t="shared" si="27"/>
        <v>0</v>
      </c>
      <c r="U48" s="192"/>
      <c r="V48" s="196">
        <f t="shared" si="37"/>
        <v>0</v>
      </c>
    </row>
    <row r="49" spans="1:22" x14ac:dyDescent="0.25">
      <c r="B49" s="20" t="s">
        <v>98</v>
      </c>
      <c r="C49" s="71"/>
      <c r="D49" s="69"/>
      <c r="E49" s="69"/>
      <c r="F49" s="69"/>
      <c r="G49" s="69"/>
      <c r="H49" s="81"/>
      <c r="I49" s="81"/>
      <c r="J49" s="81"/>
      <c r="K49" s="69"/>
      <c r="L49" s="690"/>
      <c r="M49" s="690"/>
      <c r="N49" s="690"/>
      <c r="O49" s="705"/>
      <c r="P49" s="81">
        <f t="shared" si="28"/>
        <v>0</v>
      </c>
      <c r="Q49" s="81">
        <f t="shared" si="29"/>
        <v>0</v>
      </c>
      <c r="R49" s="81">
        <f t="shared" si="30"/>
        <v>0</v>
      </c>
      <c r="S49" s="81">
        <f t="shared" si="26"/>
        <v>0</v>
      </c>
      <c r="T49" s="85">
        <f t="shared" si="27"/>
        <v>0</v>
      </c>
      <c r="U49" s="192"/>
      <c r="V49" s="196">
        <f t="shared" si="37"/>
        <v>0</v>
      </c>
    </row>
    <row r="50" spans="1:22" x14ac:dyDescent="0.25">
      <c r="B50" s="20" t="s">
        <v>99</v>
      </c>
      <c r="C50" s="71"/>
      <c r="D50" s="69"/>
      <c r="E50" s="69"/>
      <c r="F50" s="69"/>
      <c r="G50" s="69"/>
      <c r="H50" s="81"/>
      <c r="I50" s="81"/>
      <c r="J50" s="81"/>
      <c r="K50" s="69"/>
      <c r="L50" s="690"/>
      <c r="M50" s="690"/>
      <c r="N50" s="690"/>
      <c r="O50" s="705"/>
      <c r="P50" s="81">
        <f t="shared" si="28"/>
        <v>0</v>
      </c>
      <c r="Q50" s="81">
        <f t="shared" si="29"/>
        <v>0</v>
      </c>
      <c r="R50" s="81">
        <f t="shared" si="30"/>
        <v>0</v>
      </c>
      <c r="S50" s="81">
        <f t="shared" si="26"/>
        <v>0</v>
      </c>
      <c r="T50" s="85">
        <f t="shared" si="27"/>
        <v>0</v>
      </c>
      <c r="U50" s="192"/>
      <c r="V50" s="196">
        <f t="shared" si="37"/>
        <v>0</v>
      </c>
    </row>
    <row r="51" spans="1:22" x14ac:dyDescent="0.25">
      <c r="A51" s="14" t="s">
        <v>51</v>
      </c>
      <c r="B51" s="20" t="s">
        <v>52</v>
      </c>
      <c r="C51" s="71">
        <v>0</v>
      </c>
      <c r="D51" s="71">
        <v>0</v>
      </c>
      <c r="E51" s="69">
        <v>0</v>
      </c>
      <c r="F51" s="69"/>
      <c r="G51" s="69"/>
      <c r="H51" s="81">
        <v>0</v>
      </c>
      <c r="I51" s="81">
        <v>0</v>
      </c>
      <c r="J51" s="81"/>
      <c r="K51" s="69"/>
      <c r="L51" s="690">
        <f t="shared" ref="L51" si="41">IF(H51&gt;0,H51/C51,0)</f>
        <v>0</v>
      </c>
      <c r="M51" s="690">
        <f t="shared" ref="M51" si="42">IF(I51&gt;0,I51/D51,0)</f>
        <v>0</v>
      </c>
      <c r="N51" s="690">
        <f t="shared" ref="N51" si="43">IF(J51&gt;0,J51/E51,0)</f>
        <v>0</v>
      </c>
      <c r="O51" s="705"/>
      <c r="P51" s="81">
        <f t="shared" si="28"/>
        <v>0</v>
      </c>
      <c r="Q51" s="81">
        <f t="shared" si="29"/>
        <v>0</v>
      </c>
      <c r="R51" s="81">
        <f t="shared" si="30"/>
        <v>0</v>
      </c>
      <c r="S51" s="81">
        <f t="shared" si="26"/>
        <v>0</v>
      </c>
      <c r="T51" s="85">
        <f t="shared" si="27"/>
        <v>0</v>
      </c>
      <c r="U51" s="192"/>
      <c r="V51" s="196">
        <f t="shared" si="37"/>
        <v>0</v>
      </c>
    </row>
    <row r="52" spans="1:22" x14ac:dyDescent="0.25">
      <c r="B52" s="20" t="s">
        <v>90</v>
      </c>
      <c r="C52" s="71"/>
      <c r="D52" s="69"/>
      <c r="E52" s="69"/>
      <c r="F52" s="69"/>
      <c r="G52" s="69"/>
      <c r="H52" s="81"/>
      <c r="I52" s="81"/>
      <c r="J52" s="81"/>
      <c r="K52" s="69"/>
      <c r="L52" s="690"/>
      <c r="M52" s="690"/>
      <c r="N52" s="690"/>
      <c r="O52" s="705"/>
      <c r="P52" s="81">
        <f t="shared" si="28"/>
        <v>0</v>
      </c>
      <c r="Q52" s="81">
        <f t="shared" si="29"/>
        <v>0</v>
      </c>
      <c r="R52" s="81">
        <f t="shared" si="30"/>
        <v>0</v>
      </c>
      <c r="S52" s="81">
        <f t="shared" si="26"/>
        <v>0</v>
      </c>
      <c r="T52" s="85">
        <f t="shared" si="27"/>
        <v>0</v>
      </c>
      <c r="U52" s="192"/>
      <c r="V52" s="196">
        <f t="shared" si="37"/>
        <v>0</v>
      </c>
    </row>
    <row r="53" spans="1:22" x14ac:dyDescent="0.25">
      <c r="B53" s="20" t="s">
        <v>53</v>
      </c>
      <c r="C53" s="71"/>
      <c r="D53" s="69"/>
      <c r="E53" s="69"/>
      <c r="F53" s="69"/>
      <c r="G53" s="69"/>
      <c r="H53" s="81"/>
      <c r="I53" s="81"/>
      <c r="J53" s="81"/>
      <c r="K53" s="69"/>
      <c r="L53" s="690"/>
      <c r="M53" s="690"/>
      <c r="N53" s="690"/>
      <c r="O53" s="705"/>
      <c r="P53" s="81">
        <f t="shared" si="28"/>
        <v>0</v>
      </c>
      <c r="Q53" s="81">
        <f t="shared" si="29"/>
        <v>0</v>
      </c>
      <c r="R53" s="81">
        <f t="shared" si="30"/>
        <v>0</v>
      </c>
      <c r="S53" s="81">
        <f t="shared" si="26"/>
        <v>0</v>
      </c>
      <c r="T53" s="85">
        <f t="shared" si="27"/>
        <v>0</v>
      </c>
      <c r="U53" s="192"/>
      <c r="V53" s="196">
        <f t="shared" si="37"/>
        <v>0</v>
      </c>
    </row>
    <row r="54" spans="1:22" x14ac:dyDescent="0.25">
      <c r="A54" s="14" t="s">
        <v>54</v>
      </c>
      <c r="B54" s="20" t="s">
        <v>55</v>
      </c>
      <c r="C54" s="71">
        <v>1500000</v>
      </c>
      <c r="D54" s="69">
        <v>1900000</v>
      </c>
      <c r="E54" s="69">
        <v>1900000</v>
      </c>
      <c r="F54" s="69"/>
      <c r="G54" s="69"/>
      <c r="H54" s="81">
        <v>784000</v>
      </c>
      <c r="I54" s="81">
        <v>1084000</v>
      </c>
      <c r="J54" s="81"/>
      <c r="K54" s="69"/>
      <c r="L54" s="690">
        <f t="shared" ref="L54" si="44">IF(H54&gt;0,H54/C54,0)</f>
        <v>0.52266666666666661</v>
      </c>
      <c r="M54" s="690">
        <f t="shared" ref="M54" si="45">IF(I54&gt;0,I54/D54,0)</f>
        <v>0.57052631578947366</v>
      </c>
      <c r="N54" s="690">
        <f t="shared" ref="N54" si="46">IF(J54&gt;0,J54/E54,0)</f>
        <v>0</v>
      </c>
      <c r="O54" s="705"/>
      <c r="P54" s="81">
        <f t="shared" si="28"/>
        <v>400000</v>
      </c>
      <c r="Q54" s="81">
        <f t="shared" si="29"/>
        <v>0</v>
      </c>
      <c r="R54" s="81">
        <f t="shared" si="30"/>
        <v>0</v>
      </c>
      <c r="S54" s="81">
        <f t="shared" si="26"/>
        <v>400000</v>
      </c>
      <c r="T54" s="85">
        <f t="shared" si="27"/>
        <v>0.26666666666666666</v>
      </c>
      <c r="U54" s="192"/>
      <c r="V54" s="196">
        <f t="shared" si="37"/>
        <v>0</v>
      </c>
    </row>
    <row r="55" spans="1:22" x14ac:dyDescent="0.25">
      <c r="B55" s="20" t="s">
        <v>56</v>
      </c>
      <c r="C55" s="71"/>
      <c r="D55" s="69"/>
      <c r="E55" s="69"/>
      <c r="F55" s="69"/>
      <c r="G55" s="69"/>
      <c r="H55" s="81"/>
      <c r="I55" s="81"/>
      <c r="J55" s="81"/>
      <c r="K55" s="69"/>
      <c r="L55" s="690"/>
      <c r="M55" s="690"/>
      <c r="N55" s="690"/>
      <c r="O55" s="705"/>
      <c r="P55" s="81">
        <f t="shared" si="28"/>
        <v>0</v>
      </c>
      <c r="Q55" s="81">
        <f t="shared" si="29"/>
        <v>0</v>
      </c>
      <c r="R55" s="81">
        <f t="shared" si="30"/>
        <v>0</v>
      </c>
      <c r="S55" s="81">
        <f t="shared" si="26"/>
        <v>0</v>
      </c>
      <c r="T55" s="85">
        <f t="shared" si="27"/>
        <v>0</v>
      </c>
      <c r="U55" s="192"/>
      <c r="V55" s="196">
        <f t="shared" si="37"/>
        <v>0</v>
      </c>
    </row>
    <row r="56" spans="1:22" x14ac:dyDescent="0.25">
      <c r="A56" s="14" t="s">
        <v>57</v>
      </c>
      <c r="B56" s="20" t="s">
        <v>91</v>
      </c>
      <c r="C56" s="71">
        <v>11500000</v>
      </c>
      <c r="D56" s="69">
        <v>7719500</v>
      </c>
      <c r="E56" s="69">
        <v>5336110</v>
      </c>
      <c r="F56" s="69"/>
      <c r="G56" s="69"/>
      <c r="H56" s="81">
        <v>1722777</v>
      </c>
      <c r="I56" s="81">
        <v>4637911</v>
      </c>
      <c r="J56" s="81"/>
      <c r="K56" s="69"/>
      <c r="L56" s="690">
        <f t="shared" ref="L56" si="47">IF(H56&gt;0,H56/C56,0)</f>
        <v>0.14980669565217392</v>
      </c>
      <c r="M56" s="690">
        <f t="shared" ref="M56" si="48">IF(I56&gt;0,I56/D56,0)</f>
        <v>0.60080458578923501</v>
      </c>
      <c r="N56" s="690">
        <f t="shared" ref="N56" si="49">IF(J56&gt;0,J56/E56,0)</f>
        <v>0</v>
      </c>
      <c r="O56" s="705"/>
      <c r="P56" s="81">
        <f t="shared" si="28"/>
        <v>-3780500</v>
      </c>
      <c r="Q56" s="81">
        <f t="shared" si="29"/>
        <v>-2383390</v>
      </c>
      <c r="R56" s="81">
        <f t="shared" si="30"/>
        <v>0</v>
      </c>
      <c r="S56" s="81">
        <f t="shared" si="26"/>
        <v>-6163890</v>
      </c>
      <c r="T56" s="85">
        <f t="shared" si="27"/>
        <v>-0.53599043478260866</v>
      </c>
      <c r="U56" s="192"/>
      <c r="V56" s="196">
        <f t="shared" si="37"/>
        <v>0</v>
      </c>
    </row>
    <row r="57" spans="1:22" x14ac:dyDescent="0.25">
      <c r="B57" s="20" t="s">
        <v>58</v>
      </c>
      <c r="C57" s="71"/>
      <c r="D57" s="69"/>
      <c r="E57" s="69"/>
      <c r="F57" s="69"/>
      <c r="G57" s="69"/>
      <c r="H57" s="81"/>
      <c r="I57" s="81"/>
      <c r="J57" s="81"/>
      <c r="K57" s="69"/>
      <c r="L57" s="690"/>
      <c r="M57" s="690"/>
      <c r="N57" s="690"/>
      <c r="O57" s="705"/>
      <c r="P57" s="81">
        <f t="shared" si="28"/>
        <v>0</v>
      </c>
      <c r="Q57" s="81">
        <f t="shared" si="29"/>
        <v>0</v>
      </c>
      <c r="R57" s="81">
        <f t="shared" si="30"/>
        <v>0</v>
      </c>
      <c r="S57" s="81">
        <f t="shared" si="26"/>
        <v>0</v>
      </c>
      <c r="T57" s="85">
        <f t="shared" si="27"/>
        <v>0</v>
      </c>
      <c r="U57" s="192"/>
      <c r="V57" s="196">
        <f t="shared" si="37"/>
        <v>0</v>
      </c>
    </row>
    <row r="58" spans="1:22" x14ac:dyDescent="0.25">
      <c r="A58" s="14" t="s">
        <v>59</v>
      </c>
      <c r="B58" s="20" t="s">
        <v>60</v>
      </c>
      <c r="C58" s="71">
        <v>25000000</v>
      </c>
      <c r="D58" s="71">
        <v>16319325</v>
      </c>
      <c r="E58" s="69">
        <v>19819325</v>
      </c>
      <c r="F58" s="69"/>
      <c r="G58" s="69"/>
      <c r="H58" s="81">
        <v>7414863</v>
      </c>
      <c r="I58" s="81">
        <v>9880442</v>
      </c>
      <c r="J58" s="81"/>
      <c r="K58" s="69"/>
      <c r="L58" s="690">
        <f t="shared" ref="L58:L72" si="50">IF(H58&gt;0,H58/C58,0)</f>
        <v>0.29659451999999997</v>
      </c>
      <c r="M58" s="690">
        <f t="shared" ref="M58:M72" si="51">IF(I58&gt;0,I58/D58,0)</f>
        <v>0.60544428154963514</v>
      </c>
      <c r="N58" s="690">
        <f t="shared" ref="N58:N72" si="52">IF(J58&gt;0,J58/E58,0)</f>
        <v>0</v>
      </c>
      <c r="O58" s="705"/>
      <c r="P58" s="81">
        <f t="shared" si="28"/>
        <v>-8680675</v>
      </c>
      <c r="Q58" s="81">
        <f t="shared" si="29"/>
        <v>3500000</v>
      </c>
      <c r="R58" s="81">
        <f t="shared" si="30"/>
        <v>0</v>
      </c>
      <c r="S58" s="81">
        <f t="shared" si="26"/>
        <v>-5180675</v>
      </c>
      <c r="T58" s="85">
        <f t="shared" si="27"/>
        <v>-0.20722699999999999</v>
      </c>
      <c r="U58" s="192"/>
      <c r="V58" s="196">
        <f t="shared" si="37"/>
        <v>0</v>
      </c>
    </row>
    <row r="59" spans="1:22" ht="26.4" hidden="1" x14ac:dyDescent="0.25">
      <c r="A59" s="20"/>
      <c r="B59" s="20" t="s">
        <v>61</v>
      </c>
      <c r="C59" s="71"/>
      <c r="D59" s="69"/>
      <c r="E59" s="69"/>
      <c r="F59" s="69"/>
      <c r="G59" s="69"/>
      <c r="H59" s="81"/>
      <c r="I59" s="81"/>
      <c r="J59" s="81"/>
      <c r="K59" s="69"/>
      <c r="L59" s="690">
        <f t="shared" si="50"/>
        <v>0</v>
      </c>
      <c r="M59" s="690">
        <f t="shared" si="51"/>
        <v>0</v>
      </c>
      <c r="N59" s="690">
        <f t="shared" si="52"/>
        <v>0</v>
      </c>
      <c r="O59" s="705"/>
      <c r="P59" s="81">
        <f t="shared" si="28"/>
        <v>0</v>
      </c>
      <c r="Q59" s="81">
        <f t="shared" si="29"/>
        <v>0</v>
      </c>
      <c r="R59" s="81">
        <f t="shared" si="30"/>
        <v>0</v>
      </c>
      <c r="S59" s="81">
        <f t="shared" si="26"/>
        <v>0</v>
      </c>
      <c r="T59" s="85">
        <f t="shared" si="27"/>
        <v>0</v>
      </c>
      <c r="U59" s="192"/>
      <c r="V59" s="196">
        <f t="shared" si="37"/>
        <v>0</v>
      </c>
    </row>
    <row r="60" spans="1:22" x14ac:dyDescent="0.25">
      <c r="A60" s="14" t="s">
        <v>62</v>
      </c>
      <c r="B60" s="20" t="s">
        <v>63</v>
      </c>
      <c r="C60" s="71">
        <v>1700000</v>
      </c>
      <c r="D60" s="71">
        <v>1700000</v>
      </c>
      <c r="E60" s="69">
        <v>1224000</v>
      </c>
      <c r="F60" s="69"/>
      <c r="G60" s="69"/>
      <c r="H60" s="81">
        <v>564454</v>
      </c>
      <c r="I60" s="81">
        <v>721754</v>
      </c>
      <c r="J60" s="81"/>
      <c r="K60" s="69"/>
      <c r="L60" s="690">
        <f t="shared" si="50"/>
        <v>0.33203176470588236</v>
      </c>
      <c r="M60" s="690">
        <f t="shared" si="51"/>
        <v>0.42456117647058822</v>
      </c>
      <c r="N60" s="690">
        <f t="shared" si="52"/>
        <v>0</v>
      </c>
      <c r="O60" s="705"/>
      <c r="P60" s="81">
        <f t="shared" si="28"/>
        <v>0</v>
      </c>
      <c r="Q60" s="81">
        <f t="shared" si="29"/>
        <v>-476000</v>
      </c>
      <c r="R60" s="81">
        <f t="shared" si="30"/>
        <v>0</v>
      </c>
      <c r="S60" s="81">
        <f t="shared" si="26"/>
        <v>-476000</v>
      </c>
      <c r="T60" s="85">
        <f t="shared" si="27"/>
        <v>-0.28000000000000003</v>
      </c>
      <c r="U60" s="192"/>
      <c r="V60" s="196">
        <f t="shared" si="37"/>
        <v>0</v>
      </c>
    </row>
    <row r="61" spans="1:22" ht="66" hidden="1" x14ac:dyDescent="0.25">
      <c r="B61" s="20" t="s">
        <v>363</v>
      </c>
      <c r="C61" s="71"/>
      <c r="D61" s="69"/>
      <c r="E61" s="69"/>
      <c r="F61" s="69"/>
      <c r="G61" s="69"/>
      <c r="H61" s="81"/>
      <c r="I61" s="81"/>
      <c r="J61" s="81"/>
      <c r="K61" s="69"/>
      <c r="L61" s="690">
        <f t="shared" si="50"/>
        <v>0</v>
      </c>
      <c r="M61" s="690">
        <f t="shared" si="51"/>
        <v>0</v>
      </c>
      <c r="N61" s="690">
        <f t="shared" si="52"/>
        <v>0</v>
      </c>
      <c r="O61" s="705"/>
      <c r="P61" s="81">
        <f t="shared" si="28"/>
        <v>0</v>
      </c>
      <c r="Q61" s="81">
        <f t="shared" si="29"/>
        <v>0</v>
      </c>
      <c r="R61" s="81">
        <f t="shared" si="30"/>
        <v>0</v>
      </c>
      <c r="S61" s="81">
        <f t="shared" si="26"/>
        <v>0</v>
      </c>
      <c r="T61" s="85">
        <f t="shared" si="27"/>
        <v>0</v>
      </c>
      <c r="U61" s="192"/>
      <c r="V61" s="196">
        <f t="shared" si="37"/>
        <v>0</v>
      </c>
    </row>
    <row r="62" spans="1:22" x14ac:dyDescent="0.25">
      <c r="A62" s="14" t="s">
        <v>64</v>
      </c>
      <c r="B62" s="20" t="s">
        <v>65</v>
      </c>
      <c r="C62" s="71">
        <v>40823000</v>
      </c>
      <c r="D62" s="71">
        <v>31444670</v>
      </c>
      <c r="E62" s="69">
        <v>37949267</v>
      </c>
      <c r="F62" s="69"/>
      <c r="G62" s="69"/>
      <c r="H62" s="81">
        <v>19135900</v>
      </c>
      <c r="I62" s="81">
        <v>29408568</v>
      </c>
      <c r="J62" s="81"/>
      <c r="K62" s="69"/>
      <c r="L62" s="690">
        <f t="shared" si="50"/>
        <v>0.46875290889939497</v>
      </c>
      <c r="M62" s="690">
        <f t="shared" si="51"/>
        <v>0.93524810405070236</v>
      </c>
      <c r="N62" s="690">
        <f t="shared" si="52"/>
        <v>0</v>
      </c>
      <c r="O62" s="705"/>
      <c r="P62" s="81">
        <f t="shared" si="28"/>
        <v>-9378330</v>
      </c>
      <c r="Q62" s="81">
        <f t="shared" si="29"/>
        <v>6504597</v>
      </c>
      <c r="R62" s="81">
        <f t="shared" si="30"/>
        <v>0</v>
      </c>
      <c r="S62" s="81">
        <f t="shared" si="26"/>
        <v>-2873733</v>
      </c>
      <c r="T62" s="85">
        <f t="shared" si="27"/>
        <v>-7.0394948925850617E-2</v>
      </c>
      <c r="U62" s="192"/>
      <c r="V62" s="196">
        <f t="shared" si="37"/>
        <v>0</v>
      </c>
    </row>
    <row r="63" spans="1:22" ht="39.6" hidden="1" x14ac:dyDescent="0.25">
      <c r="B63" s="20" t="s">
        <v>66</v>
      </c>
      <c r="C63" s="71"/>
      <c r="D63" s="69"/>
      <c r="E63" s="69"/>
      <c r="F63" s="69"/>
      <c r="G63" s="69"/>
      <c r="H63" s="81"/>
      <c r="I63" s="81"/>
      <c r="J63" s="81"/>
      <c r="K63" s="69"/>
      <c r="L63" s="690">
        <f t="shared" si="50"/>
        <v>0</v>
      </c>
      <c r="M63" s="690">
        <f t="shared" si="51"/>
        <v>0</v>
      </c>
      <c r="N63" s="690">
        <f t="shared" si="52"/>
        <v>0</v>
      </c>
      <c r="O63" s="705"/>
      <c r="P63" s="81">
        <f t="shared" si="28"/>
        <v>0</v>
      </c>
      <c r="Q63" s="81">
        <f t="shared" si="29"/>
        <v>0</v>
      </c>
      <c r="R63" s="81">
        <f t="shared" si="30"/>
        <v>0</v>
      </c>
      <c r="S63" s="81">
        <f t="shared" si="26"/>
        <v>0</v>
      </c>
      <c r="T63" s="85">
        <f t="shared" si="27"/>
        <v>0</v>
      </c>
      <c r="U63" s="192"/>
      <c r="V63" s="196">
        <f t="shared" si="37"/>
        <v>0</v>
      </c>
    </row>
    <row r="64" spans="1:22" x14ac:dyDescent="0.25">
      <c r="A64" s="14" t="s">
        <v>67</v>
      </c>
      <c r="B64" s="20" t="s">
        <v>68</v>
      </c>
      <c r="C64" s="71"/>
      <c r="D64" s="69"/>
      <c r="E64" s="69"/>
      <c r="F64" s="69"/>
      <c r="G64" s="69"/>
      <c r="H64" s="81"/>
      <c r="I64" s="81"/>
      <c r="J64" s="81"/>
      <c r="K64" s="69"/>
      <c r="L64" s="690">
        <f t="shared" si="50"/>
        <v>0</v>
      </c>
      <c r="M64" s="690">
        <f t="shared" si="51"/>
        <v>0</v>
      </c>
      <c r="N64" s="690">
        <f t="shared" si="52"/>
        <v>0</v>
      </c>
      <c r="O64" s="705"/>
      <c r="P64" s="81">
        <f t="shared" si="28"/>
        <v>0</v>
      </c>
      <c r="Q64" s="81">
        <f t="shared" si="29"/>
        <v>0</v>
      </c>
      <c r="R64" s="81">
        <f t="shared" si="30"/>
        <v>0</v>
      </c>
      <c r="S64" s="81">
        <f t="shared" si="26"/>
        <v>0</v>
      </c>
      <c r="T64" s="85">
        <f t="shared" si="27"/>
        <v>0</v>
      </c>
      <c r="U64" s="192"/>
      <c r="V64" s="196">
        <f t="shared" si="37"/>
        <v>0</v>
      </c>
    </row>
    <row r="65" spans="1:22" x14ac:dyDescent="0.25">
      <c r="A65" s="14" t="s">
        <v>69</v>
      </c>
      <c r="B65" s="20" t="s">
        <v>70</v>
      </c>
      <c r="C65" s="71">
        <v>250000</v>
      </c>
      <c r="D65" s="69">
        <v>250000</v>
      </c>
      <c r="E65" s="69">
        <v>250000</v>
      </c>
      <c r="F65" s="69"/>
      <c r="G65" s="69"/>
      <c r="H65" s="81">
        <v>35475</v>
      </c>
      <c r="I65" s="81">
        <v>54430</v>
      </c>
      <c r="J65" s="81"/>
      <c r="K65" s="69"/>
      <c r="L65" s="690">
        <f t="shared" si="50"/>
        <v>0.1419</v>
      </c>
      <c r="M65" s="690">
        <f t="shared" si="51"/>
        <v>0.21772</v>
      </c>
      <c r="N65" s="690">
        <f t="shared" si="52"/>
        <v>0</v>
      </c>
      <c r="O65" s="705"/>
      <c r="P65" s="81">
        <f t="shared" si="28"/>
        <v>0</v>
      </c>
      <c r="Q65" s="81">
        <f t="shared" si="29"/>
        <v>0</v>
      </c>
      <c r="R65" s="81">
        <f t="shared" si="30"/>
        <v>0</v>
      </c>
      <c r="S65" s="81">
        <f t="shared" si="26"/>
        <v>0</v>
      </c>
      <c r="T65" s="85">
        <f t="shared" si="27"/>
        <v>0</v>
      </c>
      <c r="U65" s="192"/>
      <c r="V65" s="196">
        <f t="shared" si="37"/>
        <v>0</v>
      </c>
    </row>
    <row r="66" spans="1:22" ht="39.6" hidden="1" x14ac:dyDescent="0.25">
      <c r="B66" s="20" t="s">
        <v>71</v>
      </c>
      <c r="C66" s="71"/>
      <c r="D66" s="69"/>
      <c r="E66" s="69"/>
      <c r="F66" s="69"/>
      <c r="G66" s="69"/>
      <c r="H66" s="81"/>
      <c r="I66" s="81"/>
      <c r="J66" s="81"/>
      <c r="K66" s="69"/>
      <c r="L66" s="690">
        <f t="shared" si="50"/>
        <v>0</v>
      </c>
      <c r="M66" s="690">
        <f t="shared" si="51"/>
        <v>0</v>
      </c>
      <c r="N66" s="690">
        <f t="shared" si="52"/>
        <v>0</v>
      </c>
      <c r="O66" s="705"/>
      <c r="P66" s="81">
        <f t="shared" si="28"/>
        <v>0</v>
      </c>
      <c r="Q66" s="81">
        <f t="shared" si="29"/>
        <v>0</v>
      </c>
      <c r="R66" s="81">
        <f t="shared" si="30"/>
        <v>0</v>
      </c>
      <c r="S66" s="81">
        <f t="shared" si="26"/>
        <v>0</v>
      </c>
      <c r="T66" s="85">
        <f t="shared" si="27"/>
        <v>0</v>
      </c>
      <c r="U66" s="192"/>
      <c r="V66" s="196">
        <f t="shared" si="37"/>
        <v>0</v>
      </c>
    </row>
    <row r="67" spans="1:22" x14ac:dyDescent="0.25">
      <c r="A67" s="14" t="s">
        <v>72</v>
      </c>
      <c r="B67" s="20" t="s">
        <v>109</v>
      </c>
      <c r="C67" s="71">
        <v>0</v>
      </c>
      <c r="D67" s="69"/>
      <c r="E67" s="69"/>
      <c r="F67" s="69"/>
      <c r="G67" s="69"/>
      <c r="H67" s="81"/>
      <c r="I67" s="81"/>
      <c r="J67" s="81"/>
      <c r="K67" s="69"/>
      <c r="L67" s="690">
        <f t="shared" si="50"/>
        <v>0</v>
      </c>
      <c r="M67" s="690">
        <f t="shared" si="51"/>
        <v>0</v>
      </c>
      <c r="N67" s="690">
        <f t="shared" si="52"/>
        <v>0</v>
      </c>
      <c r="O67" s="705"/>
      <c r="P67" s="81">
        <f t="shared" si="28"/>
        <v>0</v>
      </c>
      <c r="Q67" s="81">
        <f t="shared" si="29"/>
        <v>0</v>
      </c>
      <c r="R67" s="81">
        <f t="shared" si="30"/>
        <v>0</v>
      </c>
      <c r="S67" s="81">
        <f t="shared" si="26"/>
        <v>0</v>
      </c>
      <c r="T67" s="85">
        <f t="shared" si="27"/>
        <v>0</v>
      </c>
      <c r="U67" s="192"/>
      <c r="V67" s="196">
        <f t="shared" si="37"/>
        <v>0</v>
      </c>
    </row>
    <row r="68" spans="1:22" ht="39.6" hidden="1" x14ac:dyDescent="0.25">
      <c r="B68" s="20" t="s">
        <v>73</v>
      </c>
      <c r="C68" s="71"/>
      <c r="D68" s="69"/>
      <c r="E68" s="69"/>
      <c r="F68" s="69"/>
      <c r="G68" s="69"/>
      <c r="H68" s="81"/>
      <c r="I68" s="81"/>
      <c r="J68" s="81"/>
      <c r="K68" s="69"/>
      <c r="L68" s="690">
        <f t="shared" si="50"/>
        <v>0</v>
      </c>
      <c r="M68" s="690">
        <f t="shared" si="51"/>
        <v>0</v>
      </c>
      <c r="N68" s="690">
        <f t="shared" si="52"/>
        <v>0</v>
      </c>
      <c r="O68" s="705"/>
      <c r="P68" s="81">
        <f t="shared" si="28"/>
        <v>0</v>
      </c>
      <c r="Q68" s="81">
        <f t="shared" si="29"/>
        <v>0</v>
      </c>
      <c r="R68" s="81">
        <f t="shared" si="30"/>
        <v>0</v>
      </c>
      <c r="S68" s="81">
        <f t="shared" si="26"/>
        <v>0</v>
      </c>
      <c r="T68" s="85">
        <f t="shared" si="27"/>
        <v>0</v>
      </c>
      <c r="U68" s="192"/>
      <c r="V68" s="196">
        <f t="shared" si="37"/>
        <v>0</v>
      </c>
    </row>
    <row r="69" spans="1:22" x14ac:dyDescent="0.25">
      <c r="A69" s="14" t="s">
        <v>74</v>
      </c>
      <c r="B69" s="20" t="s">
        <v>75</v>
      </c>
      <c r="C69" s="71"/>
      <c r="D69" s="69"/>
      <c r="E69" s="69"/>
      <c r="F69" s="69"/>
      <c r="G69" s="69"/>
      <c r="H69" s="81"/>
      <c r="I69" s="81"/>
      <c r="J69" s="81"/>
      <c r="K69" s="69"/>
      <c r="L69" s="690">
        <f t="shared" si="50"/>
        <v>0</v>
      </c>
      <c r="M69" s="690">
        <f t="shared" si="51"/>
        <v>0</v>
      </c>
      <c r="N69" s="690">
        <f t="shared" si="52"/>
        <v>0</v>
      </c>
      <c r="O69" s="705"/>
      <c r="P69" s="81">
        <f t="shared" si="28"/>
        <v>0</v>
      </c>
      <c r="Q69" s="81">
        <f t="shared" si="29"/>
        <v>0</v>
      </c>
      <c r="R69" s="81">
        <f t="shared" si="30"/>
        <v>0</v>
      </c>
      <c r="S69" s="81">
        <f t="shared" si="26"/>
        <v>0</v>
      </c>
      <c r="T69" s="85">
        <f t="shared" si="27"/>
        <v>0</v>
      </c>
      <c r="U69" s="192"/>
      <c r="V69" s="196">
        <f t="shared" si="37"/>
        <v>0</v>
      </c>
    </row>
    <row r="70" spans="1:22" x14ac:dyDescent="0.25">
      <c r="A70" s="14" t="s">
        <v>76</v>
      </c>
      <c r="B70" s="20" t="s">
        <v>77</v>
      </c>
      <c r="C70" s="71">
        <v>28000000</v>
      </c>
      <c r="D70" s="69">
        <v>27264947</v>
      </c>
      <c r="E70" s="69">
        <v>21911947</v>
      </c>
      <c r="F70" s="69"/>
      <c r="G70" s="69"/>
      <c r="H70" s="81">
        <v>9508817</v>
      </c>
      <c r="I70" s="81">
        <v>13334138</v>
      </c>
      <c r="J70" s="81"/>
      <c r="K70" s="69"/>
      <c r="L70" s="690">
        <f t="shared" si="50"/>
        <v>0.33960060714285717</v>
      </c>
      <c r="M70" s="690">
        <f t="shared" si="51"/>
        <v>0.48905791014374611</v>
      </c>
      <c r="N70" s="690">
        <f t="shared" si="52"/>
        <v>0</v>
      </c>
      <c r="O70" s="705"/>
      <c r="P70" s="81">
        <f t="shared" si="28"/>
        <v>-735053</v>
      </c>
      <c r="Q70" s="81">
        <f t="shared" si="29"/>
        <v>-5353000</v>
      </c>
      <c r="R70" s="81">
        <f t="shared" si="30"/>
        <v>0</v>
      </c>
      <c r="S70" s="81">
        <f t="shared" si="26"/>
        <v>-6088053</v>
      </c>
      <c r="T70" s="85">
        <f t="shared" si="27"/>
        <v>-0.21743046428571428</v>
      </c>
      <c r="U70" s="192"/>
      <c r="V70" s="196">
        <f t="shared" si="37"/>
        <v>0</v>
      </c>
    </row>
    <row r="71" spans="1:22" x14ac:dyDescent="0.25">
      <c r="B71" s="20" t="s">
        <v>78</v>
      </c>
      <c r="C71" s="71"/>
      <c r="D71" s="69"/>
      <c r="E71" s="69"/>
      <c r="F71" s="69"/>
      <c r="G71" s="69"/>
      <c r="H71" s="81"/>
      <c r="I71" s="81"/>
      <c r="J71" s="81"/>
      <c r="K71" s="69"/>
      <c r="L71" s="690">
        <f t="shared" si="50"/>
        <v>0</v>
      </c>
      <c r="M71" s="690">
        <f t="shared" si="51"/>
        <v>0</v>
      </c>
      <c r="N71" s="690">
        <f t="shared" si="52"/>
        <v>0</v>
      </c>
      <c r="O71" s="705"/>
      <c r="P71" s="81">
        <f t="shared" si="28"/>
        <v>0</v>
      </c>
      <c r="Q71" s="81">
        <f t="shared" si="29"/>
        <v>0</v>
      </c>
      <c r="R71" s="81">
        <f t="shared" si="30"/>
        <v>0</v>
      </c>
      <c r="S71" s="81">
        <f t="shared" si="26"/>
        <v>0</v>
      </c>
      <c r="T71" s="85">
        <f t="shared" si="27"/>
        <v>0</v>
      </c>
      <c r="U71" s="192"/>
      <c r="V71" s="196">
        <f t="shared" si="37"/>
        <v>0</v>
      </c>
    </row>
    <row r="72" spans="1:22" x14ac:dyDescent="0.25">
      <c r="A72" s="14" t="s">
        <v>79</v>
      </c>
      <c r="B72" s="20" t="s">
        <v>80</v>
      </c>
      <c r="C72" s="71">
        <v>23000000</v>
      </c>
      <c r="D72" s="69">
        <v>23000000</v>
      </c>
      <c r="E72" s="69">
        <v>70504000</v>
      </c>
      <c r="F72" s="69"/>
      <c r="G72" s="69"/>
      <c r="H72" s="81">
        <v>6238000</v>
      </c>
      <c r="I72" s="81">
        <v>40063000</v>
      </c>
      <c r="J72" s="81"/>
      <c r="K72" s="69"/>
      <c r="L72" s="690">
        <f t="shared" si="50"/>
        <v>0.2712173913043478</v>
      </c>
      <c r="M72" s="690">
        <f t="shared" si="51"/>
        <v>1.7418695652173912</v>
      </c>
      <c r="N72" s="690">
        <f t="shared" si="52"/>
        <v>0</v>
      </c>
      <c r="O72" s="705"/>
      <c r="P72" s="81">
        <f t="shared" si="28"/>
        <v>0</v>
      </c>
      <c r="Q72" s="81">
        <f t="shared" si="29"/>
        <v>47504000</v>
      </c>
      <c r="R72" s="81">
        <f t="shared" si="30"/>
        <v>0</v>
      </c>
      <c r="S72" s="81">
        <f t="shared" si="26"/>
        <v>47504000</v>
      </c>
      <c r="T72" s="85">
        <f t="shared" si="27"/>
        <v>2.065391304347826</v>
      </c>
      <c r="U72" s="192"/>
      <c r="V72" s="196">
        <f t="shared" si="37"/>
        <v>0</v>
      </c>
    </row>
    <row r="73" spans="1:22" ht="26.4" x14ac:dyDescent="0.25">
      <c r="B73" s="20" t="s">
        <v>110</v>
      </c>
      <c r="C73" s="71"/>
      <c r="D73" s="69"/>
      <c r="E73" s="69"/>
      <c r="F73" s="69"/>
      <c r="G73" s="69"/>
      <c r="H73" s="81"/>
      <c r="I73" s="81"/>
      <c r="J73" s="81"/>
      <c r="K73" s="69"/>
      <c r="L73" s="690"/>
      <c r="M73" s="690"/>
      <c r="N73" s="690"/>
      <c r="O73" s="705"/>
      <c r="P73" s="81">
        <f t="shared" si="28"/>
        <v>0</v>
      </c>
      <c r="Q73" s="81">
        <f t="shared" si="29"/>
        <v>0</v>
      </c>
      <c r="R73" s="81">
        <f t="shared" si="30"/>
        <v>0</v>
      </c>
      <c r="S73" s="81">
        <f t="shared" si="26"/>
        <v>0</v>
      </c>
      <c r="T73" s="85">
        <f t="shared" si="27"/>
        <v>0</v>
      </c>
      <c r="U73" s="192"/>
      <c r="V73" s="196">
        <f t="shared" si="37"/>
        <v>0</v>
      </c>
    </row>
    <row r="74" spans="1:22" x14ac:dyDescent="0.25">
      <c r="A74" s="14" t="s">
        <v>81</v>
      </c>
      <c r="B74" s="20" t="s">
        <v>82</v>
      </c>
      <c r="C74" s="71">
        <v>0</v>
      </c>
      <c r="D74" s="69">
        <v>0</v>
      </c>
      <c r="E74" s="69"/>
      <c r="F74" s="69"/>
      <c r="G74" s="69"/>
      <c r="H74" s="81">
        <v>0</v>
      </c>
      <c r="I74" s="81"/>
      <c r="J74" s="81"/>
      <c r="K74" s="69"/>
      <c r="L74" s="690">
        <f t="shared" ref="L74:L78" si="53">IF(H74&gt;0,H74/C74,0)</f>
        <v>0</v>
      </c>
      <c r="M74" s="690">
        <f t="shared" ref="M74:M78" si="54">IF(I74&gt;0,I74/D74,0)</f>
        <v>0</v>
      </c>
      <c r="N74" s="690">
        <f t="shared" ref="N74:N78" si="55">IF(J74&gt;0,J74/E74,0)</f>
        <v>0</v>
      </c>
      <c r="O74" s="705"/>
      <c r="P74" s="81">
        <f t="shared" si="28"/>
        <v>0</v>
      </c>
      <c r="Q74" s="81">
        <f t="shared" si="29"/>
        <v>0</v>
      </c>
      <c r="R74" s="81">
        <f t="shared" si="30"/>
        <v>0</v>
      </c>
      <c r="S74" s="81">
        <f t="shared" si="26"/>
        <v>0</v>
      </c>
      <c r="T74" s="85">
        <f t="shared" si="27"/>
        <v>0</v>
      </c>
      <c r="U74" s="192"/>
      <c r="V74" s="196">
        <f t="shared" si="37"/>
        <v>0</v>
      </c>
    </row>
    <row r="75" spans="1:22" ht="26.4" hidden="1" x14ac:dyDescent="0.25">
      <c r="B75" s="20" t="s">
        <v>83</v>
      </c>
      <c r="C75" s="71"/>
      <c r="D75" s="69"/>
      <c r="E75" s="69"/>
      <c r="F75" s="69"/>
      <c r="G75" s="69"/>
      <c r="H75" s="81"/>
      <c r="I75" s="81"/>
      <c r="J75" s="81"/>
      <c r="K75" s="69"/>
      <c r="L75" s="690">
        <f t="shared" si="53"/>
        <v>0</v>
      </c>
      <c r="M75" s="690">
        <f t="shared" si="54"/>
        <v>0</v>
      </c>
      <c r="N75" s="690">
        <f t="shared" si="55"/>
        <v>0</v>
      </c>
      <c r="O75" s="705"/>
      <c r="P75" s="81">
        <f t="shared" si="28"/>
        <v>0</v>
      </c>
      <c r="Q75" s="81">
        <f t="shared" si="29"/>
        <v>0</v>
      </c>
      <c r="R75" s="81">
        <f t="shared" si="30"/>
        <v>0</v>
      </c>
      <c r="S75" s="81">
        <f t="shared" si="26"/>
        <v>0</v>
      </c>
      <c r="T75" s="85">
        <f t="shared" si="27"/>
        <v>0</v>
      </c>
      <c r="U75" s="192"/>
      <c r="V75" s="196">
        <f t="shared" si="37"/>
        <v>0</v>
      </c>
    </row>
    <row r="76" spans="1:22" x14ac:dyDescent="0.25">
      <c r="A76" s="14" t="s">
        <v>84</v>
      </c>
      <c r="B76" s="20" t="s">
        <v>85</v>
      </c>
      <c r="C76" s="71">
        <v>0</v>
      </c>
      <c r="D76" s="69">
        <v>2415728</v>
      </c>
      <c r="E76" s="69">
        <v>2415728</v>
      </c>
      <c r="F76" s="69"/>
      <c r="G76" s="69"/>
      <c r="H76" s="81">
        <v>2415728</v>
      </c>
      <c r="I76" s="69">
        <v>2415728</v>
      </c>
      <c r="J76" s="81"/>
      <c r="K76" s="69"/>
      <c r="L76" s="690" t="e">
        <f t="shared" si="53"/>
        <v>#DIV/0!</v>
      </c>
      <c r="M76" s="690">
        <f t="shared" si="54"/>
        <v>1</v>
      </c>
      <c r="N76" s="690">
        <f t="shared" si="55"/>
        <v>0</v>
      </c>
      <c r="O76" s="705"/>
      <c r="P76" s="81">
        <f t="shared" si="28"/>
        <v>2415728</v>
      </c>
      <c r="Q76" s="81">
        <f t="shared" si="29"/>
        <v>0</v>
      </c>
      <c r="R76" s="81">
        <f t="shared" si="30"/>
        <v>0</v>
      </c>
      <c r="S76" s="81">
        <f t="shared" si="26"/>
        <v>2415728</v>
      </c>
      <c r="T76" s="85">
        <f t="shared" si="27"/>
        <v>0</v>
      </c>
      <c r="U76" s="192"/>
      <c r="V76" s="196">
        <f t="shared" si="37"/>
        <v>0</v>
      </c>
    </row>
    <row r="77" spans="1:22" x14ac:dyDescent="0.25">
      <c r="B77" s="20" t="s">
        <v>86</v>
      </c>
      <c r="C77" s="71"/>
      <c r="D77" s="69"/>
      <c r="E77" s="69"/>
      <c r="F77" s="69"/>
      <c r="G77" s="69"/>
      <c r="H77" s="81"/>
      <c r="I77" s="81"/>
      <c r="J77" s="81"/>
      <c r="K77" s="69"/>
      <c r="L77" s="690">
        <f t="shared" si="53"/>
        <v>0</v>
      </c>
      <c r="M77" s="690">
        <f t="shared" si="54"/>
        <v>0</v>
      </c>
      <c r="N77" s="690">
        <f t="shared" si="55"/>
        <v>0</v>
      </c>
      <c r="O77" s="705"/>
      <c r="P77" s="81">
        <f t="shared" si="28"/>
        <v>0</v>
      </c>
      <c r="Q77" s="81">
        <f t="shared" si="29"/>
        <v>0</v>
      </c>
      <c r="R77" s="81">
        <f t="shared" si="30"/>
        <v>0</v>
      </c>
      <c r="S77" s="81">
        <f t="shared" si="26"/>
        <v>0</v>
      </c>
      <c r="T77" s="85">
        <f t="shared" si="27"/>
        <v>0</v>
      </c>
      <c r="U77" s="192"/>
      <c r="V77" s="196">
        <f t="shared" ref="V77:V104" si="56">+S77-E77+C77</f>
        <v>0</v>
      </c>
    </row>
    <row r="78" spans="1:22" x14ac:dyDescent="0.25">
      <c r="A78" s="14" t="s">
        <v>87</v>
      </c>
      <c r="B78" s="20" t="s">
        <v>88</v>
      </c>
      <c r="C78" s="71">
        <v>340000</v>
      </c>
      <c r="D78" s="69">
        <v>2423800</v>
      </c>
      <c r="E78" s="69">
        <v>3323800</v>
      </c>
      <c r="F78" s="69"/>
      <c r="G78" s="69"/>
      <c r="H78" s="81">
        <v>694656</v>
      </c>
      <c r="I78" s="81">
        <v>1784815</v>
      </c>
      <c r="J78" s="81"/>
      <c r="K78" s="69"/>
      <c r="L78" s="690">
        <f t="shared" si="53"/>
        <v>2.0431058823529411</v>
      </c>
      <c r="M78" s="690">
        <f t="shared" si="54"/>
        <v>0.73637057512996118</v>
      </c>
      <c r="N78" s="690">
        <f t="shared" si="55"/>
        <v>0</v>
      </c>
      <c r="O78" s="705"/>
      <c r="P78" s="81">
        <f t="shared" si="28"/>
        <v>2083800</v>
      </c>
      <c r="Q78" s="81">
        <f t="shared" si="29"/>
        <v>900000</v>
      </c>
      <c r="R78" s="81">
        <f t="shared" si="30"/>
        <v>0</v>
      </c>
      <c r="S78" s="81">
        <f t="shared" si="26"/>
        <v>2983800</v>
      </c>
      <c r="T78" s="85">
        <f t="shared" si="27"/>
        <v>8.775882352941176</v>
      </c>
      <c r="U78" s="192"/>
      <c r="V78" s="196">
        <f t="shared" si="56"/>
        <v>0</v>
      </c>
    </row>
    <row r="79" spans="1:22" ht="41.4" x14ac:dyDescent="0.25">
      <c r="B79" s="646" t="s">
        <v>92</v>
      </c>
      <c r="C79" s="71"/>
      <c r="D79" s="69"/>
      <c r="E79" s="69">
        <v>0</v>
      </c>
      <c r="F79" s="69"/>
      <c r="G79" s="69"/>
      <c r="H79" s="81"/>
      <c r="I79" s="81"/>
      <c r="J79" s="81"/>
      <c r="K79" s="69"/>
      <c r="L79" s="690"/>
      <c r="M79" s="690"/>
      <c r="N79" s="690"/>
      <c r="O79" s="705"/>
      <c r="P79" s="81">
        <f t="shared" si="28"/>
        <v>0</v>
      </c>
      <c r="Q79" s="81">
        <f t="shared" si="29"/>
        <v>0</v>
      </c>
      <c r="R79" s="81">
        <f t="shared" si="30"/>
        <v>0</v>
      </c>
      <c r="S79" s="81">
        <f t="shared" si="26"/>
        <v>0</v>
      </c>
      <c r="T79" s="85">
        <f t="shared" si="27"/>
        <v>0</v>
      </c>
      <c r="U79" s="192"/>
      <c r="V79" s="196">
        <f t="shared" si="56"/>
        <v>0</v>
      </c>
    </row>
    <row r="80" spans="1:22" x14ac:dyDescent="0.25">
      <c r="A80" s="29"/>
      <c r="B80" s="21"/>
      <c r="C80" s="71"/>
      <c r="D80" s="69"/>
      <c r="E80" s="69"/>
      <c r="F80" s="69"/>
      <c r="G80" s="69"/>
      <c r="H80" s="81"/>
      <c r="I80" s="81"/>
      <c r="J80" s="81"/>
      <c r="K80" s="69"/>
      <c r="L80" s="690"/>
      <c r="M80" s="690"/>
      <c r="N80" s="690"/>
      <c r="O80" s="705"/>
      <c r="P80" s="81"/>
      <c r="Q80" s="81"/>
      <c r="R80" s="81"/>
      <c r="S80" s="81"/>
      <c r="T80" s="85"/>
      <c r="U80" s="192"/>
      <c r="V80" s="196">
        <f t="shared" si="56"/>
        <v>0</v>
      </c>
    </row>
    <row r="81" spans="1:22" x14ac:dyDescent="0.25">
      <c r="A81" s="4" t="s">
        <v>111</v>
      </c>
      <c r="B81" s="3" t="s">
        <v>112</v>
      </c>
      <c r="C81" s="66">
        <f t="shared" ref="C81" si="57">SUM(C82:C105)</f>
        <v>22100000</v>
      </c>
      <c r="D81" s="66">
        <f>SUM(D82:D105)</f>
        <v>24267500</v>
      </c>
      <c r="E81" s="66">
        <f>SUM(E82:E105)</f>
        <v>20200000</v>
      </c>
      <c r="F81" s="66">
        <f>SUM(F82:F105)</f>
        <v>0</v>
      </c>
      <c r="G81" s="66"/>
      <c r="H81" s="83">
        <f>SUM(H82:H105)</f>
        <v>7396231</v>
      </c>
      <c r="I81" s="83">
        <f>SUM(I82:I105)</f>
        <v>10496866</v>
      </c>
      <c r="J81" s="83">
        <f>SUM(J82:J105)</f>
        <v>0</v>
      </c>
      <c r="K81" s="66"/>
      <c r="L81" s="691">
        <f t="shared" ref="L81:L92" si="58">IF(H81&gt;0,H81/C81,0)</f>
        <v>0.33467108597285067</v>
      </c>
      <c r="M81" s="691">
        <f t="shared" ref="M81:M92" si="59">IF(I81&gt;0,I81/D81,0)</f>
        <v>0.43254830534665706</v>
      </c>
      <c r="N81" s="691">
        <f t="shared" ref="N81:N92" si="60">IF(J81&gt;0,J81/E81,0)</f>
        <v>0</v>
      </c>
      <c r="O81" s="706"/>
      <c r="P81" s="83">
        <f t="shared" ref="P81:R82" si="61">IF(D81&gt;0,+D81-C81,0)</f>
        <v>2167500</v>
      </c>
      <c r="Q81" s="83">
        <f t="shared" si="61"/>
        <v>-4067500</v>
      </c>
      <c r="R81" s="83">
        <f t="shared" si="61"/>
        <v>0</v>
      </c>
      <c r="S81" s="83">
        <f t="shared" ref="S81:S103" si="62">+P81*P$8+Q81*Q$8+Q81*G$8</f>
        <v>-1900000</v>
      </c>
      <c r="T81" s="85">
        <f t="shared" ref="T81:T104" si="63">IF(C81=0,0,+S81/C81)</f>
        <v>-8.5972850678733032E-2</v>
      </c>
      <c r="U81" s="194"/>
      <c r="V81" s="196">
        <f t="shared" si="56"/>
        <v>0</v>
      </c>
    </row>
    <row r="82" spans="1:22" x14ac:dyDescent="0.25">
      <c r="A82" s="14" t="s">
        <v>113</v>
      </c>
      <c r="B82" s="20" t="s">
        <v>114</v>
      </c>
      <c r="C82" s="71">
        <v>2100000</v>
      </c>
      <c r="D82" s="69">
        <v>2100000</v>
      </c>
      <c r="E82" s="271">
        <v>200000</v>
      </c>
      <c r="F82" s="69"/>
      <c r="G82" s="69"/>
      <c r="H82" s="81">
        <v>54160</v>
      </c>
      <c r="I82" s="81">
        <v>96040</v>
      </c>
      <c r="J82" s="81"/>
      <c r="K82" s="69"/>
      <c r="L82" s="690">
        <f t="shared" si="58"/>
        <v>2.579047619047619E-2</v>
      </c>
      <c r="M82" s="690">
        <f t="shared" si="59"/>
        <v>4.5733333333333334E-2</v>
      </c>
      <c r="N82" s="690">
        <f t="shared" si="60"/>
        <v>0</v>
      </c>
      <c r="O82" s="705"/>
      <c r="P82" s="81">
        <f t="shared" si="61"/>
        <v>0</v>
      </c>
      <c r="Q82" s="81">
        <f t="shared" si="61"/>
        <v>-1900000</v>
      </c>
      <c r="R82" s="81">
        <f t="shared" si="61"/>
        <v>0</v>
      </c>
      <c r="S82" s="81">
        <f t="shared" si="62"/>
        <v>-1900000</v>
      </c>
      <c r="T82" s="85">
        <f t="shared" si="63"/>
        <v>-0.90476190476190477</v>
      </c>
      <c r="U82" s="192"/>
      <c r="V82" s="196">
        <f t="shared" si="56"/>
        <v>0</v>
      </c>
    </row>
    <row r="83" spans="1:22" ht="41.4" x14ac:dyDescent="0.25">
      <c r="B83" s="646" t="s">
        <v>366</v>
      </c>
      <c r="C83" s="71"/>
      <c r="D83" s="69">
        <v>0</v>
      </c>
      <c r="E83" s="69">
        <v>0</v>
      </c>
      <c r="F83" s="69"/>
      <c r="G83" s="69"/>
      <c r="H83" s="81">
        <v>0</v>
      </c>
      <c r="I83" s="81">
        <v>0</v>
      </c>
      <c r="J83" s="81"/>
      <c r="K83" s="69"/>
      <c r="L83" s="690">
        <f t="shared" si="58"/>
        <v>0</v>
      </c>
      <c r="M83" s="690">
        <f t="shared" si="59"/>
        <v>0</v>
      </c>
      <c r="N83" s="690">
        <f t="shared" si="60"/>
        <v>0</v>
      </c>
      <c r="O83" s="705"/>
      <c r="P83" s="81">
        <f t="shared" ref="P83:P104" si="64">+(D83-C83)*P$8</f>
        <v>0</v>
      </c>
      <c r="Q83" s="81">
        <f t="shared" ref="Q83:Q104" si="65">+(E83-D83)*Q$8</f>
        <v>0</v>
      </c>
      <c r="R83" s="81">
        <f t="shared" ref="R83:R104" si="66">+(F83-E83)*R$8</f>
        <v>0</v>
      </c>
      <c r="S83" s="81">
        <f t="shared" si="62"/>
        <v>0</v>
      </c>
      <c r="T83" s="85">
        <f t="shared" si="63"/>
        <v>0</v>
      </c>
      <c r="U83" s="192"/>
      <c r="V83" s="196">
        <f t="shared" si="56"/>
        <v>0</v>
      </c>
    </row>
    <row r="84" spans="1:22" x14ac:dyDescent="0.25">
      <c r="A84" s="14" t="s">
        <v>115</v>
      </c>
      <c r="B84" s="20" t="s">
        <v>116</v>
      </c>
      <c r="C84" s="71">
        <v>0</v>
      </c>
      <c r="D84" s="69">
        <v>0</v>
      </c>
      <c r="E84" s="69">
        <f>I84*1.13</f>
        <v>0</v>
      </c>
      <c r="F84" s="69"/>
      <c r="G84" s="69"/>
      <c r="H84" s="81">
        <v>0</v>
      </c>
      <c r="I84" s="81"/>
      <c r="J84" s="81"/>
      <c r="K84" s="69"/>
      <c r="L84" s="690">
        <f t="shared" si="58"/>
        <v>0</v>
      </c>
      <c r="M84" s="690">
        <f t="shared" si="59"/>
        <v>0</v>
      </c>
      <c r="N84" s="690">
        <f t="shared" si="60"/>
        <v>0</v>
      </c>
      <c r="O84" s="705"/>
      <c r="P84" s="81">
        <f t="shared" si="64"/>
        <v>0</v>
      </c>
      <c r="Q84" s="81">
        <f t="shared" si="65"/>
        <v>0</v>
      </c>
      <c r="R84" s="81">
        <f t="shared" si="66"/>
        <v>0</v>
      </c>
      <c r="S84" s="81">
        <f t="shared" si="62"/>
        <v>0</v>
      </c>
      <c r="T84" s="85">
        <f t="shared" si="63"/>
        <v>0</v>
      </c>
      <c r="U84" s="192"/>
      <c r="V84" s="196">
        <f t="shared" si="56"/>
        <v>0</v>
      </c>
    </row>
    <row r="85" spans="1:22" x14ac:dyDescent="0.25">
      <c r="B85" s="20" t="s">
        <v>117</v>
      </c>
      <c r="C85" s="71"/>
      <c r="D85" s="69"/>
      <c r="E85" s="69">
        <f>I85*1.13</f>
        <v>0</v>
      </c>
      <c r="F85" s="69"/>
      <c r="G85" s="69"/>
      <c r="H85" s="81"/>
      <c r="I85" s="81"/>
      <c r="J85" s="81"/>
      <c r="K85" s="69"/>
      <c r="L85" s="690">
        <f t="shared" si="58"/>
        <v>0</v>
      </c>
      <c r="M85" s="690">
        <f t="shared" si="59"/>
        <v>0</v>
      </c>
      <c r="N85" s="690">
        <f t="shared" si="60"/>
        <v>0</v>
      </c>
      <c r="O85" s="705"/>
      <c r="P85" s="81">
        <f t="shared" si="64"/>
        <v>0</v>
      </c>
      <c r="Q85" s="81">
        <f t="shared" si="65"/>
        <v>0</v>
      </c>
      <c r="R85" s="81">
        <f t="shared" si="66"/>
        <v>0</v>
      </c>
      <c r="S85" s="81">
        <f t="shared" si="62"/>
        <v>0</v>
      </c>
      <c r="T85" s="85">
        <f t="shared" si="63"/>
        <v>0</v>
      </c>
      <c r="U85" s="192"/>
      <c r="V85" s="196">
        <f t="shared" si="56"/>
        <v>0</v>
      </c>
    </row>
    <row r="86" spans="1:22" x14ac:dyDescent="0.25">
      <c r="B86" s="20" t="s">
        <v>118</v>
      </c>
      <c r="C86" s="71"/>
      <c r="D86" s="69"/>
      <c r="E86" s="69">
        <f>I86*1.13</f>
        <v>0</v>
      </c>
      <c r="F86" s="69"/>
      <c r="G86" s="69"/>
      <c r="H86" s="81">
        <v>0</v>
      </c>
      <c r="I86" s="81"/>
      <c r="J86" s="81"/>
      <c r="K86" s="69"/>
      <c r="L86" s="690">
        <f t="shared" si="58"/>
        <v>0</v>
      </c>
      <c r="M86" s="690">
        <f t="shared" si="59"/>
        <v>0</v>
      </c>
      <c r="N86" s="690">
        <f t="shared" si="60"/>
        <v>0</v>
      </c>
      <c r="O86" s="705"/>
      <c r="P86" s="81">
        <f t="shared" si="64"/>
        <v>0</v>
      </c>
      <c r="Q86" s="81">
        <f t="shared" si="65"/>
        <v>0</v>
      </c>
      <c r="R86" s="81">
        <f t="shared" si="66"/>
        <v>0</v>
      </c>
      <c r="S86" s="81">
        <f t="shared" si="62"/>
        <v>0</v>
      </c>
      <c r="T86" s="85">
        <f t="shared" si="63"/>
        <v>0</v>
      </c>
      <c r="U86" s="192"/>
      <c r="V86" s="196">
        <f t="shared" si="56"/>
        <v>0</v>
      </c>
    </row>
    <row r="87" spans="1:22" x14ac:dyDescent="0.25">
      <c r="B87" s="20" t="s">
        <v>119</v>
      </c>
      <c r="C87" s="71"/>
      <c r="D87" s="69">
        <v>0</v>
      </c>
      <c r="E87" s="69">
        <v>0</v>
      </c>
      <c r="F87" s="69"/>
      <c r="G87" s="69"/>
      <c r="H87" s="81">
        <v>0</v>
      </c>
      <c r="I87" s="81">
        <v>0</v>
      </c>
      <c r="J87" s="81"/>
      <c r="K87" s="69"/>
      <c r="L87" s="690">
        <f t="shared" si="58"/>
        <v>0</v>
      </c>
      <c r="M87" s="690">
        <f t="shared" si="59"/>
        <v>0</v>
      </c>
      <c r="N87" s="690">
        <f t="shared" si="60"/>
        <v>0</v>
      </c>
      <c r="O87" s="705"/>
      <c r="P87" s="81">
        <f t="shared" si="64"/>
        <v>0</v>
      </c>
      <c r="Q87" s="81">
        <f t="shared" si="65"/>
        <v>0</v>
      </c>
      <c r="R87" s="81">
        <f t="shared" si="66"/>
        <v>0</v>
      </c>
      <c r="S87" s="81">
        <f t="shared" si="62"/>
        <v>0</v>
      </c>
      <c r="T87" s="85">
        <f t="shared" si="63"/>
        <v>0</v>
      </c>
      <c r="U87" s="192"/>
      <c r="V87" s="196">
        <f t="shared" si="56"/>
        <v>0</v>
      </c>
    </row>
    <row r="88" spans="1:22" x14ac:dyDescent="0.25">
      <c r="A88" s="14" t="s">
        <v>120</v>
      </c>
      <c r="B88" s="20" t="s">
        <v>121</v>
      </c>
      <c r="C88" s="71">
        <v>0</v>
      </c>
      <c r="D88" s="69">
        <v>0</v>
      </c>
      <c r="E88" s="69">
        <v>0</v>
      </c>
      <c r="F88" s="69"/>
      <c r="G88" s="69"/>
      <c r="H88" s="81">
        <v>0</v>
      </c>
      <c r="I88" s="81">
        <v>0</v>
      </c>
      <c r="J88" s="81"/>
      <c r="K88" s="69"/>
      <c r="L88" s="690">
        <f t="shared" si="58"/>
        <v>0</v>
      </c>
      <c r="M88" s="690">
        <f t="shared" si="59"/>
        <v>0</v>
      </c>
      <c r="N88" s="690">
        <f t="shared" si="60"/>
        <v>0</v>
      </c>
      <c r="O88" s="705"/>
      <c r="P88" s="81">
        <f t="shared" si="64"/>
        <v>0</v>
      </c>
      <c r="Q88" s="81">
        <f t="shared" si="65"/>
        <v>0</v>
      </c>
      <c r="R88" s="81">
        <f t="shared" si="66"/>
        <v>0</v>
      </c>
      <c r="S88" s="81">
        <f t="shared" si="62"/>
        <v>0</v>
      </c>
      <c r="T88" s="85">
        <f t="shared" si="63"/>
        <v>0</v>
      </c>
      <c r="U88" s="192"/>
      <c r="V88" s="196">
        <f t="shared" si="56"/>
        <v>0</v>
      </c>
    </row>
    <row r="89" spans="1:22" x14ac:dyDescent="0.25">
      <c r="B89" s="20" t="s">
        <v>122</v>
      </c>
      <c r="C89" s="71"/>
      <c r="D89" s="69"/>
      <c r="E89" s="69"/>
      <c r="F89" s="69"/>
      <c r="G89" s="69"/>
      <c r="H89" s="81"/>
      <c r="I89" s="81"/>
      <c r="J89" s="81"/>
      <c r="K89" s="69"/>
      <c r="L89" s="690">
        <f t="shared" si="58"/>
        <v>0</v>
      </c>
      <c r="M89" s="690">
        <f t="shared" si="59"/>
        <v>0</v>
      </c>
      <c r="N89" s="690">
        <f t="shared" si="60"/>
        <v>0</v>
      </c>
      <c r="O89" s="705"/>
      <c r="P89" s="81">
        <f t="shared" si="64"/>
        <v>0</v>
      </c>
      <c r="Q89" s="81">
        <f t="shared" si="65"/>
        <v>0</v>
      </c>
      <c r="R89" s="81">
        <f t="shared" si="66"/>
        <v>0</v>
      </c>
      <c r="S89" s="81">
        <f t="shared" si="62"/>
        <v>0</v>
      </c>
      <c r="T89" s="85">
        <f t="shared" si="63"/>
        <v>0</v>
      </c>
      <c r="U89" s="192"/>
      <c r="V89" s="196">
        <f t="shared" si="56"/>
        <v>0</v>
      </c>
    </row>
    <row r="90" spans="1:22" x14ac:dyDescent="0.25">
      <c r="A90" s="14" t="s">
        <v>123</v>
      </c>
      <c r="B90" s="20" t="s">
        <v>124</v>
      </c>
      <c r="C90" s="71">
        <v>0</v>
      </c>
      <c r="D90" s="69"/>
      <c r="E90" s="69">
        <v>0</v>
      </c>
      <c r="F90" s="69"/>
      <c r="G90" s="69"/>
      <c r="H90" s="81"/>
      <c r="I90" s="81">
        <v>0</v>
      </c>
      <c r="J90" s="81"/>
      <c r="K90" s="69"/>
      <c r="L90" s="690">
        <f t="shared" si="58"/>
        <v>0</v>
      </c>
      <c r="M90" s="690">
        <f t="shared" si="59"/>
        <v>0</v>
      </c>
      <c r="N90" s="690">
        <f t="shared" si="60"/>
        <v>0</v>
      </c>
      <c r="O90" s="705"/>
      <c r="P90" s="81">
        <f t="shared" si="64"/>
        <v>0</v>
      </c>
      <c r="Q90" s="81">
        <f t="shared" si="65"/>
        <v>0</v>
      </c>
      <c r="R90" s="81">
        <f t="shared" si="66"/>
        <v>0</v>
      </c>
      <c r="S90" s="81">
        <f t="shared" si="62"/>
        <v>0</v>
      </c>
      <c r="T90" s="85">
        <f t="shared" si="63"/>
        <v>0</v>
      </c>
      <c r="U90" s="192"/>
      <c r="V90" s="196">
        <f t="shared" si="56"/>
        <v>0</v>
      </c>
    </row>
    <row r="91" spans="1:22" x14ac:dyDescent="0.25">
      <c r="B91" s="20" t="s">
        <v>125</v>
      </c>
      <c r="C91" s="71"/>
      <c r="D91" s="69"/>
      <c r="E91" s="69">
        <v>0</v>
      </c>
      <c r="F91" s="69"/>
      <c r="G91" s="69"/>
      <c r="H91" s="81">
        <v>0</v>
      </c>
      <c r="I91" s="81">
        <v>0</v>
      </c>
      <c r="J91" s="81"/>
      <c r="K91" s="69"/>
      <c r="L91" s="690">
        <f t="shared" si="58"/>
        <v>0</v>
      </c>
      <c r="M91" s="690">
        <f t="shared" si="59"/>
        <v>0</v>
      </c>
      <c r="N91" s="690">
        <f t="shared" si="60"/>
        <v>0</v>
      </c>
      <c r="O91" s="705"/>
      <c r="P91" s="81">
        <f t="shared" si="64"/>
        <v>0</v>
      </c>
      <c r="Q91" s="81">
        <f t="shared" si="65"/>
        <v>0</v>
      </c>
      <c r="R91" s="81">
        <f t="shared" si="66"/>
        <v>0</v>
      </c>
      <c r="S91" s="81">
        <f t="shared" si="62"/>
        <v>0</v>
      </c>
      <c r="T91" s="85">
        <f t="shared" si="63"/>
        <v>0</v>
      </c>
      <c r="U91" s="192"/>
      <c r="V91" s="196">
        <f t="shared" si="56"/>
        <v>0</v>
      </c>
    </row>
    <row r="92" spans="1:22" x14ac:dyDescent="0.25">
      <c r="A92" s="14" t="s">
        <v>126</v>
      </c>
      <c r="B92" s="20" t="s">
        <v>127</v>
      </c>
      <c r="C92" s="71">
        <v>20000000</v>
      </c>
      <c r="D92" s="69">
        <v>22167500</v>
      </c>
      <c r="E92" s="69">
        <v>20000000</v>
      </c>
      <c r="F92" s="69"/>
      <c r="G92" s="69"/>
      <c r="H92" s="81">
        <v>7342071</v>
      </c>
      <c r="I92" s="81">
        <v>10400826</v>
      </c>
      <c r="J92" s="81"/>
      <c r="K92" s="69"/>
      <c r="L92" s="690">
        <f t="shared" si="58"/>
        <v>0.36710355</v>
      </c>
      <c r="M92" s="690">
        <f t="shared" si="59"/>
        <v>0.46919255667080184</v>
      </c>
      <c r="N92" s="690">
        <f t="shared" si="60"/>
        <v>0</v>
      </c>
      <c r="O92" s="705"/>
      <c r="P92" s="81">
        <f t="shared" si="64"/>
        <v>2167500</v>
      </c>
      <c r="Q92" s="81">
        <f t="shared" si="65"/>
        <v>-2167500</v>
      </c>
      <c r="R92" s="81">
        <f t="shared" si="66"/>
        <v>0</v>
      </c>
      <c r="S92" s="81">
        <f t="shared" si="62"/>
        <v>0</v>
      </c>
      <c r="T92" s="85">
        <f t="shared" si="63"/>
        <v>0</v>
      </c>
      <c r="U92" s="192"/>
      <c r="V92" s="196">
        <f t="shared" si="56"/>
        <v>0</v>
      </c>
    </row>
    <row r="93" spans="1:22" ht="21" x14ac:dyDescent="0.25">
      <c r="B93" s="646" t="s">
        <v>128</v>
      </c>
      <c r="C93" s="647"/>
      <c r="D93" s="648"/>
      <c r="E93" s="69"/>
      <c r="F93" s="69"/>
      <c r="G93" s="69"/>
      <c r="H93" s="81"/>
      <c r="I93" s="81"/>
      <c r="J93" s="81"/>
      <c r="K93" s="69"/>
      <c r="L93" s="690"/>
      <c r="M93" s="690"/>
      <c r="N93" s="690"/>
      <c r="O93" s="705"/>
      <c r="P93" s="81">
        <f t="shared" si="64"/>
        <v>0</v>
      </c>
      <c r="Q93" s="81">
        <f t="shared" si="65"/>
        <v>0</v>
      </c>
      <c r="R93" s="81">
        <f t="shared" si="66"/>
        <v>0</v>
      </c>
      <c r="S93" s="81">
        <f t="shared" si="62"/>
        <v>0</v>
      </c>
      <c r="T93" s="85">
        <f t="shared" si="63"/>
        <v>0</v>
      </c>
      <c r="U93" s="192"/>
      <c r="V93" s="196">
        <f t="shared" si="56"/>
        <v>0</v>
      </c>
    </row>
    <row r="94" spans="1:22" x14ac:dyDescent="0.25">
      <c r="B94" s="20" t="s">
        <v>129</v>
      </c>
      <c r="C94" s="71"/>
      <c r="D94" s="69"/>
      <c r="E94" s="69"/>
      <c r="F94" s="69"/>
      <c r="G94" s="69"/>
      <c r="H94" s="81"/>
      <c r="I94" s="81"/>
      <c r="J94" s="81"/>
      <c r="K94" s="69"/>
      <c r="L94" s="690"/>
      <c r="M94" s="690"/>
      <c r="N94" s="690"/>
      <c r="O94" s="705"/>
      <c r="P94" s="81">
        <f t="shared" si="64"/>
        <v>0</v>
      </c>
      <c r="Q94" s="81">
        <f t="shared" si="65"/>
        <v>0</v>
      </c>
      <c r="R94" s="81">
        <f t="shared" si="66"/>
        <v>0</v>
      </c>
      <c r="S94" s="81">
        <f t="shared" si="62"/>
        <v>0</v>
      </c>
      <c r="T94" s="85">
        <f t="shared" si="63"/>
        <v>0</v>
      </c>
      <c r="U94" s="192"/>
      <c r="V94" s="196">
        <f t="shared" si="56"/>
        <v>0</v>
      </c>
    </row>
    <row r="95" spans="1:22" x14ac:dyDescent="0.25">
      <c r="B95" s="20" t="s">
        <v>130</v>
      </c>
      <c r="C95" s="71"/>
      <c r="D95" s="69"/>
      <c r="E95" s="69"/>
      <c r="F95" s="69"/>
      <c r="G95" s="69"/>
      <c r="H95" s="81"/>
      <c r="I95" s="81"/>
      <c r="J95" s="81"/>
      <c r="K95" s="69"/>
      <c r="L95" s="690"/>
      <c r="M95" s="690"/>
      <c r="N95" s="690"/>
      <c r="O95" s="705"/>
      <c r="P95" s="81">
        <f t="shared" si="64"/>
        <v>0</v>
      </c>
      <c r="Q95" s="81">
        <f t="shared" si="65"/>
        <v>0</v>
      </c>
      <c r="R95" s="81">
        <f t="shared" si="66"/>
        <v>0</v>
      </c>
      <c r="S95" s="81">
        <f t="shared" si="62"/>
        <v>0</v>
      </c>
      <c r="T95" s="85">
        <f t="shared" si="63"/>
        <v>0</v>
      </c>
      <c r="U95" s="192"/>
      <c r="V95" s="196">
        <f t="shared" si="56"/>
        <v>0</v>
      </c>
    </row>
    <row r="96" spans="1:22" x14ac:dyDescent="0.25">
      <c r="B96" s="20" t="s">
        <v>131</v>
      </c>
      <c r="C96" s="71"/>
      <c r="D96" s="69"/>
      <c r="E96" s="69"/>
      <c r="F96" s="69"/>
      <c r="G96" s="69"/>
      <c r="H96" s="81"/>
      <c r="I96" s="81"/>
      <c r="J96" s="81"/>
      <c r="K96" s="69"/>
      <c r="L96" s="690"/>
      <c r="M96" s="690"/>
      <c r="N96" s="690"/>
      <c r="O96" s="705"/>
      <c r="P96" s="81">
        <f t="shared" si="64"/>
        <v>0</v>
      </c>
      <c r="Q96" s="81">
        <f t="shared" si="65"/>
        <v>0</v>
      </c>
      <c r="R96" s="81">
        <f t="shared" si="66"/>
        <v>0</v>
      </c>
      <c r="S96" s="81">
        <f t="shared" si="62"/>
        <v>0</v>
      </c>
      <c r="T96" s="85">
        <f t="shared" si="63"/>
        <v>0</v>
      </c>
      <c r="U96" s="192"/>
      <c r="V96" s="196">
        <f t="shared" si="56"/>
        <v>0</v>
      </c>
    </row>
    <row r="97" spans="1:22" x14ac:dyDescent="0.25">
      <c r="B97" s="20" t="s">
        <v>132</v>
      </c>
      <c r="C97" s="71"/>
      <c r="D97" s="69"/>
      <c r="E97" s="69"/>
      <c r="F97" s="69"/>
      <c r="G97" s="69"/>
      <c r="H97" s="81"/>
      <c r="I97" s="81"/>
      <c r="J97" s="81"/>
      <c r="K97" s="69"/>
      <c r="L97" s="690"/>
      <c r="M97" s="690"/>
      <c r="N97" s="690"/>
      <c r="O97" s="705"/>
      <c r="P97" s="81">
        <f t="shared" si="64"/>
        <v>0</v>
      </c>
      <c r="Q97" s="81">
        <f t="shared" si="65"/>
        <v>0</v>
      </c>
      <c r="R97" s="81">
        <f t="shared" si="66"/>
        <v>0</v>
      </c>
      <c r="S97" s="81">
        <f t="shared" si="62"/>
        <v>0</v>
      </c>
      <c r="T97" s="85">
        <f t="shared" si="63"/>
        <v>0</v>
      </c>
      <c r="U97" s="192"/>
      <c r="V97" s="196">
        <f t="shared" si="56"/>
        <v>0</v>
      </c>
    </row>
    <row r="98" spans="1:22" x14ac:dyDescent="0.25">
      <c r="B98" s="20" t="s">
        <v>133</v>
      </c>
      <c r="C98" s="71"/>
      <c r="D98" s="69"/>
      <c r="E98" s="69"/>
      <c r="F98" s="69"/>
      <c r="G98" s="69"/>
      <c r="H98" s="81"/>
      <c r="I98" s="81"/>
      <c r="J98" s="81"/>
      <c r="K98" s="69"/>
      <c r="L98" s="690"/>
      <c r="M98" s="690"/>
      <c r="N98" s="690"/>
      <c r="O98" s="705"/>
      <c r="P98" s="81">
        <f t="shared" si="64"/>
        <v>0</v>
      </c>
      <c r="Q98" s="81">
        <f t="shared" si="65"/>
        <v>0</v>
      </c>
      <c r="R98" s="81">
        <f t="shared" si="66"/>
        <v>0</v>
      </c>
      <c r="S98" s="81">
        <f t="shared" si="62"/>
        <v>0</v>
      </c>
      <c r="T98" s="85">
        <f t="shared" si="63"/>
        <v>0</v>
      </c>
      <c r="U98" s="192"/>
      <c r="V98" s="196">
        <f t="shared" si="56"/>
        <v>0</v>
      </c>
    </row>
    <row r="99" spans="1:22" x14ac:dyDescent="0.25">
      <c r="B99" s="20" t="s">
        <v>134</v>
      </c>
      <c r="C99" s="71"/>
      <c r="D99" s="69"/>
      <c r="E99" s="69"/>
      <c r="F99" s="69"/>
      <c r="G99" s="69"/>
      <c r="H99" s="81"/>
      <c r="I99" s="81"/>
      <c r="J99" s="81"/>
      <c r="K99" s="69"/>
      <c r="L99" s="690"/>
      <c r="M99" s="690"/>
      <c r="N99" s="690"/>
      <c r="O99" s="705"/>
      <c r="P99" s="81">
        <f t="shared" si="64"/>
        <v>0</v>
      </c>
      <c r="Q99" s="81">
        <f t="shared" si="65"/>
        <v>0</v>
      </c>
      <c r="R99" s="81">
        <f t="shared" si="66"/>
        <v>0</v>
      </c>
      <c r="S99" s="81">
        <f t="shared" si="62"/>
        <v>0</v>
      </c>
      <c r="T99" s="85">
        <f t="shared" si="63"/>
        <v>0</v>
      </c>
      <c r="U99" s="192"/>
      <c r="V99" s="196">
        <f t="shared" si="56"/>
        <v>0</v>
      </c>
    </row>
    <row r="100" spans="1:22" x14ac:dyDescent="0.25">
      <c r="B100" s="20" t="s">
        <v>135</v>
      </c>
      <c r="C100" s="71"/>
      <c r="D100" s="69"/>
      <c r="E100" s="69"/>
      <c r="F100" s="69"/>
      <c r="G100" s="69"/>
      <c r="H100" s="81"/>
      <c r="I100" s="81"/>
      <c r="J100" s="81"/>
      <c r="K100" s="69"/>
      <c r="L100" s="690"/>
      <c r="M100" s="690"/>
      <c r="N100" s="690"/>
      <c r="O100" s="705"/>
      <c r="P100" s="81">
        <f t="shared" si="64"/>
        <v>0</v>
      </c>
      <c r="Q100" s="81">
        <f t="shared" si="65"/>
        <v>0</v>
      </c>
      <c r="R100" s="81">
        <f t="shared" si="66"/>
        <v>0</v>
      </c>
      <c r="S100" s="81">
        <f t="shared" si="62"/>
        <v>0</v>
      </c>
      <c r="T100" s="85">
        <f t="shared" si="63"/>
        <v>0</v>
      </c>
      <c r="U100" s="192"/>
      <c r="V100" s="196">
        <f t="shared" si="56"/>
        <v>0</v>
      </c>
    </row>
    <row r="101" spans="1:22" x14ac:dyDescent="0.25">
      <c r="B101" s="20" t="s">
        <v>136</v>
      </c>
      <c r="C101" s="71"/>
      <c r="D101" s="69"/>
      <c r="E101" s="69"/>
      <c r="F101" s="69"/>
      <c r="G101" s="69"/>
      <c r="H101" s="81"/>
      <c r="I101" s="81"/>
      <c r="J101" s="81"/>
      <c r="K101" s="69"/>
      <c r="L101" s="690"/>
      <c r="M101" s="690"/>
      <c r="N101" s="690"/>
      <c r="O101" s="705"/>
      <c r="P101" s="81">
        <f t="shared" si="64"/>
        <v>0</v>
      </c>
      <c r="Q101" s="81">
        <f t="shared" si="65"/>
        <v>0</v>
      </c>
      <c r="R101" s="81">
        <f t="shared" si="66"/>
        <v>0</v>
      </c>
      <c r="S101" s="81">
        <f t="shared" si="62"/>
        <v>0</v>
      </c>
      <c r="T101" s="85">
        <f t="shared" si="63"/>
        <v>0</v>
      </c>
      <c r="U101" s="192"/>
      <c r="V101" s="196">
        <f t="shared" si="56"/>
        <v>0</v>
      </c>
    </row>
    <row r="102" spans="1:22" x14ac:dyDescent="0.25">
      <c r="B102" s="20" t="s">
        <v>137</v>
      </c>
      <c r="C102" s="71"/>
      <c r="D102" s="69"/>
      <c r="E102" s="69"/>
      <c r="F102" s="69"/>
      <c r="G102" s="69"/>
      <c r="H102" s="81"/>
      <c r="I102" s="81"/>
      <c r="J102" s="81"/>
      <c r="K102" s="69"/>
      <c r="L102" s="690"/>
      <c r="M102" s="690"/>
      <c r="N102" s="690"/>
      <c r="O102" s="705"/>
      <c r="P102" s="81">
        <f t="shared" si="64"/>
        <v>0</v>
      </c>
      <c r="Q102" s="81">
        <f t="shared" si="65"/>
        <v>0</v>
      </c>
      <c r="R102" s="81">
        <f t="shared" si="66"/>
        <v>0</v>
      </c>
      <c r="S102" s="81">
        <f t="shared" si="62"/>
        <v>0</v>
      </c>
      <c r="T102" s="85">
        <f t="shared" si="63"/>
        <v>0</v>
      </c>
      <c r="U102" s="192"/>
      <c r="V102" s="196">
        <f t="shared" si="56"/>
        <v>0</v>
      </c>
    </row>
    <row r="103" spans="1:22" ht="26.4" x14ac:dyDescent="0.25">
      <c r="B103" s="20" t="s">
        <v>138</v>
      </c>
      <c r="C103" s="71"/>
      <c r="D103" s="69"/>
      <c r="E103" s="69"/>
      <c r="F103" s="69"/>
      <c r="G103" s="69"/>
      <c r="H103" s="81"/>
      <c r="I103" s="81"/>
      <c r="J103" s="81"/>
      <c r="K103" s="69"/>
      <c r="L103" s="690"/>
      <c r="M103" s="690"/>
      <c r="N103" s="690"/>
      <c r="O103" s="705"/>
      <c r="P103" s="81">
        <f t="shared" si="64"/>
        <v>0</v>
      </c>
      <c r="Q103" s="81">
        <f t="shared" si="65"/>
        <v>0</v>
      </c>
      <c r="R103" s="81">
        <f t="shared" si="66"/>
        <v>0</v>
      </c>
      <c r="S103" s="81">
        <f t="shared" si="62"/>
        <v>0</v>
      </c>
      <c r="T103" s="85">
        <f t="shared" si="63"/>
        <v>0</v>
      </c>
      <c r="U103" s="192"/>
      <c r="V103" s="196">
        <f t="shared" si="56"/>
        <v>0</v>
      </c>
    </row>
    <row r="104" spans="1:22" ht="26.4" hidden="1" x14ac:dyDescent="0.25">
      <c r="B104" s="20" t="s">
        <v>139</v>
      </c>
      <c r="C104" s="71"/>
      <c r="D104" s="69"/>
      <c r="E104" s="69"/>
      <c r="F104" s="69"/>
      <c r="G104" s="69"/>
      <c r="H104" s="81"/>
      <c r="I104" s="81"/>
      <c r="J104" s="81"/>
      <c r="K104" s="69"/>
      <c r="L104" s="690"/>
      <c r="M104" s="690"/>
      <c r="N104" s="690"/>
      <c r="O104" s="705"/>
      <c r="P104" s="81">
        <f t="shared" si="64"/>
        <v>0</v>
      </c>
      <c r="Q104" s="81">
        <f t="shared" si="65"/>
        <v>0</v>
      </c>
      <c r="R104" s="81">
        <f t="shared" si="66"/>
        <v>0</v>
      </c>
      <c r="S104" s="81">
        <f t="shared" ref="S104" si="67">SUM(P104:R104)</f>
        <v>0</v>
      </c>
      <c r="T104" s="85">
        <f t="shared" si="63"/>
        <v>0</v>
      </c>
      <c r="U104" s="192"/>
      <c r="V104" s="196">
        <f t="shared" si="56"/>
        <v>0</v>
      </c>
    </row>
    <row r="105" spans="1:22" x14ac:dyDescent="0.25">
      <c r="C105" s="71"/>
      <c r="D105" s="69"/>
      <c r="E105" s="69"/>
      <c r="F105" s="69"/>
      <c r="G105" s="69"/>
      <c r="H105" s="81"/>
      <c r="I105" s="81"/>
      <c r="J105" s="81"/>
      <c r="K105" s="69"/>
      <c r="L105" s="690"/>
      <c r="M105" s="690"/>
      <c r="N105" s="690"/>
      <c r="O105" s="705"/>
      <c r="P105" s="81"/>
      <c r="Q105" s="81"/>
      <c r="R105" s="81"/>
      <c r="S105" s="81"/>
      <c r="T105" s="85"/>
      <c r="U105" s="192"/>
      <c r="V105" s="196"/>
    </row>
    <row r="106" spans="1:22" x14ac:dyDescent="0.25">
      <c r="A106" s="4" t="s">
        <v>140</v>
      </c>
      <c r="B106" s="3" t="s">
        <v>141</v>
      </c>
      <c r="C106" s="66">
        <f>SUM(C107:C119)</f>
        <v>106777000</v>
      </c>
      <c r="D106" s="66">
        <f>SUM(D107:D119)</f>
        <v>114831425</v>
      </c>
      <c r="E106" s="66">
        <f t="shared" ref="E106:F106" si="68">SUM(E107:E118)</f>
        <v>126926504</v>
      </c>
      <c r="F106" s="66">
        <f t="shared" si="68"/>
        <v>0</v>
      </c>
      <c r="G106" s="66"/>
      <c r="H106" s="83">
        <f>SUM(H107:H119)</f>
        <v>68417711</v>
      </c>
      <c r="I106" s="83">
        <f>SUM(I107:I118)</f>
        <v>111271404</v>
      </c>
      <c r="J106" s="83">
        <f>SUM(J107:J118)</f>
        <v>0</v>
      </c>
      <c r="K106" s="66"/>
      <c r="L106" s="691">
        <f t="shared" ref="L106:L118" si="69">IF(H106&gt;0,H106/C106,0)</f>
        <v>0.64075326147016676</v>
      </c>
      <c r="M106" s="691">
        <f t="shared" ref="M106:M118" si="70">IF(I106&gt;0,I106/D106,0)</f>
        <v>0.96899785054483123</v>
      </c>
      <c r="N106" s="691">
        <f t="shared" ref="N106:N118" si="71">IF(J106&gt;0,J106/E106,0)</f>
        <v>0</v>
      </c>
      <c r="O106" s="706"/>
      <c r="P106" s="83">
        <f>IF(D106&gt;0,+D106-C106,0)</f>
        <v>8054425</v>
      </c>
      <c r="Q106" s="83">
        <f>IF(E106&gt;0,+E106-D106,0)</f>
        <v>12095079</v>
      </c>
      <c r="R106" s="83">
        <f>IF(F106&gt;0,+F106-E106,0)</f>
        <v>0</v>
      </c>
      <c r="S106" s="83">
        <f t="shared" ref="S106:S118" si="72">+P106*P$8+Q106*Q$8+Q106*G$8</f>
        <v>20149504</v>
      </c>
      <c r="T106" s="85">
        <f t="shared" ref="T106:T118" si="73">IF(C106=0,0,+S106/C106)</f>
        <v>0.18870640681045545</v>
      </c>
      <c r="U106" s="194"/>
      <c r="V106" s="196">
        <f t="shared" ref="V106:V137" si="74">+S106-E106+C106</f>
        <v>0</v>
      </c>
    </row>
    <row r="107" spans="1:22" x14ac:dyDescent="0.25">
      <c r="A107" s="14" t="s">
        <v>142</v>
      </c>
      <c r="B107" s="20" t="s">
        <v>143</v>
      </c>
      <c r="C107" s="71"/>
      <c r="D107" s="69">
        <v>1264732</v>
      </c>
      <c r="E107" s="69">
        <v>2451325</v>
      </c>
      <c r="F107" s="69"/>
      <c r="G107" s="69"/>
      <c r="H107" s="81">
        <v>1264732</v>
      </c>
      <c r="I107" s="69">
        <v>2451325</v>
      </c>
      <c r="J107" s="81"/>
      <c r="K107" s="69"/>
      <c r="L107" s="690" t="e">
        <f t="shared" si="69"/>
        <v>#DIV/0!</v>
      </c>
      <c r="M107" s="690">
        <f t="shared" si="70"/>
        <v>1.9382169503104214</v>
      </c>
      <c r="N107" s="690">
        <f t="shared" si="71"/>
        <v>0</v>
      </c>
      <c r="O107" s="705"/>
      <c r="P107" s="81">
        <f t="shared" ref="P107:P118" si="75">+(D107-C107)*P$8</f>
        <v>1264732</v>
      </c>
      <c r="Q107" s="81">
        <f t="shared" ref="Q107:Q118" si="76">+(E107-D107)*Q$8</f>
        <v>1186593</v>
      </c>
      <c r="R107" s="81">
        <f t="shared" ref="R107:R118" si="77">+(F107-E107)*R$8</f>
        <v>0</v>
      </c>
      <c r="S107" s="81">
        <f t="shared" si="72"/>
        <v>2451325</v>
      </c>
      <c r="T107" s="85">
        <f t="shared" si="73"/>
        <v>0</v>
      </c>
      <c r="U107" s="192"/>
      <c r="V107" s="196">
        <f t="shared" si="74"/>
        <v>0</v>
      </c>
    </row>
    <row r="108" spans="1:22" hidden="1" x14ac:dyDescent="0.25">
      <c r="B108" s="20" t="s">
        <v>144</v>
      </c>
      <c r="C108" s="71"/>
      <c r="D108" s="69"/>
      <c r="E108" s="69">
        <v>0</v>
      </c>
      <c r="F108" s="69"/>
      <c r="G108" s="69"/>
      <c r="H108" s="81"/>
      <c r="I108" s="81">
        <v>0</v>
      </c>
      <c r="J108" s="81"/>
      <c r="K108" s="69"/>
      <c r="L108" s="690">
        <f t="shared" si="69"/>
        <v>0</v>
      </c>
      <c r="M108" s="690">
        <f t="shared" si="70"/>
        <v>0</v>
      </c>
      <c r="N108" s="690">
        <f t="shared" si="71"/>
        <v>0</v>
      </c>
      <c r="O108" s="705"/>
      <c r="P108" s="81">
        <f t="shared" si="75"/>
        <v>0</v>
      </c>
      <c r="Q108" s="81">
        <f t="shared" si="76"/>
        <v>0</v>
      </c>
      <c r="R108" s="81">
        <f t="shared" si="77"/>
        <v>0</v>
      </c>
      <c r="S108" s="81">
        <f t="shared" si="72"/>
        <v>0</v>
      </c>
      <c r="T108" s="85">
        <f t="shared" si="73"/>
        <v>0</v>
      </c>
      <c r="U108" s="192"/>
      <c r="V108" s="196">
        <f t="shared" si="74"/>
        <v>0</v>
      </c>
    </row>
    <row r="109" spans="1:22" ht="26.4" x14ac:dyDescent="0.25">
      <c r="A109" s="14" t="s">
        <v>145</v>
      </c>
      <c r="B109" s="20" t="s">
        <v>147</v>
      </c>
      <c r="C109" s="71"/>
      <c r="D109" s="69"/>
      <c r="E109" s="69">
        <v>0</v>
      </c>
      <c r="F109" s="69"/>
      <c r="G109" s="69"/>
      <c r="H109" s="81"/>
      <c r="I109" s="81"/>
      <c r="J109" s="81"/>
      <c r="K109" s="69"/>
      <c r="L109" s="690">
        <f t="shared" si="69"/>
        <v>0</v>
      </c>
      <c r="M109" s="690">
        <f t="shared" si="70"/>
        <v>0</v>
      </c>
      <c r="N109" s="690">
        <f t="shared" si="71"/>
        <v>0</v>
      </c>
      <c r="O109" s="705"/>
      <c r="P109" s="81">
        <f t="shared" si="75"/>
        <v>0</v>
      </c>
      <c r="Q109" s="81">
        <f t="shared" si="76"/>
        <v>0</v>
      </c>
      <c r="R109" s="81">
        <f t="shared" si="77"/>
        <v>0</v>
      </c>
      <c r="S109" s="81">
        <f t="shared" si="72"/>
        <v>0</v>
      </c>
      <c r="T109" s="85">
        <f t="shared" si="73"/>
        <v>0</v>
      </c>
      <c r="U109" s="192"/>
      <c r="V109" s="196">
        <f t="shared" si="74"/>
        <v>0</v>
      </c>
    </row>
    <row r="110" spans="1:22" ht="26.4" x14ac:dyDescent="0.25">
      <c r="A110" s="14" t="s">
        <v>146</v>
      </c>
      <c r="B110" s="20" t="s">
        <v>148</v>
      </c>
      <c r="C110" s="71"/>
      <c r="D110" s="69"/>
      <c r="E110" s="69">
        <v>0</v>
      </c>
      <c r="F110" s="69"/>
      <c r="G110" s="69"/>
      <c r="H110" s="81"/>
      <c r="I110" s="81"/>
      <c r="J110" s="81"/>
      <c r="K110" s="69"/>
      <c r="L110" s="690">
        <f t="shared" si="69"/>
        <v>0</v>
      </c>
      <c r="M110" s="690">
        <f t="shared" si="70"/>
        <v>0</v>
      </c>
      <c r="N110" s="690">
        <f t="shared" si="71"/>
        <v>0</v>
      </c>
      <c r="O110" s="705"/>
      <c r="P110" s="81">
        <f t="shared" si="75"/>
        <v>0</v>
      </c>
      <c r="Q110" s="81">
        <f t="shared" si="76"/>
        <v>0</v>
      </c>
      <c r="R110" s="81">
        <f t="shared" si="77"/>
        <v>0</v>
      </c>
      <c r="S110" s="81">
        <f t="shared" si="72"/>
        <v>0</v>
      </c>
      <c r="T110" s="85">
        <f t="shared" si="73"/>
        <v>0</v>
      </c>
      <c r="U110" s="192"/>
      <c r="V110" s="196">
        <f t="shared" si="74"/>
        <v>0</v>
      </c>
    </row>
    <row r="111" spans="1:22" ht="26.4" x14ac:dyDescent="0.25">
      <c r="A111" s="14" t="s">
        <v>149</v>
      </c>
      <c r="B111" s="20" t="s">
        <v>150</v>
      </c>
      <c r="C111" s="71"/>
      <c r="D111" s="69"/>
      <c r="E111" s="69">
        <v>0</v>
      </c>
      <c r="F111" s="69"/>
      <c r="G111" s="69"/>
      <c r="H111" s="81"/>
      <c r="I111" s="81"/>
      <c r="J111" s="81"/>
      <c r="K111" s="69"/>
      <c r="L111" s="690">
        <f t="shared" si="69"/>
        <v>0</v>
      </c>
      <c r="M111" s="690">
        <f t="shared" si="70"/>
        <v>0</v>
      </c>
      <c r="N111" s="690">
        <f t="shared" si="71"/>
        <v>0</v>
      </c>
      <c r="O111" s="705"/>
      <c r="P111" s="81">
        <f t="shared" si="75"/>
        <v>0</v>
      </c>
      <c r="Q111" s="81">
        <f t="shared" si="76"/>
        <v>0</v>
      </c>
      <c r="R111" s="81">
        <f t="shared" si="77"/>
        <v>0</v>
      </c>
      <c r="S111" s="81">
        <f t="shared" si="72"/>
        <v>0</v>
      </c>
      <c r="T111" s="85">
        <f t="shared" si="73"/>
        <v>0</v>
      </c>
      <c r="U111" s="192"/>
      <c r="V111" s="196">
        <f t="shared" si="74"/>
        <v>0</v>
      </c>
    </row>
    <row r="112" spans="1:22" x14ac:dyDescent="0.25">
      <c r="A112" s="14" t="s">
        <v>151</v>
      </c>
      <c r="B112" s="20" t="s">
        <v>152</v>
      </c>
      <c r="C112" s="71">
        <v>1000000</v>
      </c>
      <c r="D112" s="69">
        <v>1000000</v>
      </c>
      <c r="E112" s="69">
        <v>1000000</v>
      </c>
      <c r="F112" s="69"/>
      <c r="G112" s="69"/>
      <c r="H112" s="81">
        <v>330000</v>
      </c>
      <c r="I112" s="81">
        <v>696000</v>
      </c>
      <c r="J112" s="81"/>
      <c r="K112" s="69"/>
      <c r="L112" s="690">
        <f t="shared" si="69"/>
        <v>0.33</v>
      </c>
      <c r="M112" s="690">
        <f t="shared" si="70"/>
        <v>0.69599999999999995</v>
      </c>
      <c r="N112" s="690">
        <f t="shared" si="71"/>
        <v>0</v>
      </c>
      <c r="O112" s="705"/>
      <c r="P112" s="81">
        <f t="shared" si="75"/>
        <v>0</v>
      </c>
      <c r="Q112" s="81">
        <f t="shared" si="76"/>
        <v>0</v>
      </c>
      <c r="R112" s="81">
        <f t="shared" si="77"/>
        <v>0</v>
      </c>
      <c r="S112" s="81">
        <f t="shared" si="72"/>
        <v>0</v>
      </c>
      <c r="T112" s="85">
        <f t="shared" si="73"/>
        <v>0</v>
      </c>
      <c r="U112" s="192"/>
      <c r="V112" s="196">
        <f t="shared" si="74"/>
        <v>0</v>
      </c>
    </row>
    <row r="113" spans="1:22" ht="39.6" hidden="1" x14ac:dyDescent="0.25">
      <c r="B113" s="20" t="s">
        <v>153</v>
      </c>
      <c r="C113" s="71"/>
      <c r="D113" s="69"/>
      <c r="E113" s="69"/>
      <c r="F113" s="69"/>
      <c r="G113" s="69"/>
      <c r="H113" s="81"/>
      <c r="I113" s="81"/>
      <c r="J113" s="81"/>
      <c r="K113" s="69"/>
      <c r="L113" s="690">
        <f t="shared" si="69"/>
        <v>0</v>
      </c>
      <c r="M113" s="690">
        <f t="shared" si="70"/>
        <v>0</v>
      </c>
      <c r="N113" s="690">
        <f t="shared" si="71"/>
        <v>0</v>
      </c>
      <c r="O113" s="705"/>
      <c r="P113" s="81">
        <f t="shared" si="75"/>
        <v>0</v>
      </c>
      <c r="Q113" s="81">
        <f t="shared" si="76"/>
        <v>0</v>
      </c>
      <c r="R113" s="81">
        <f t="shared" si="77"/>
        <v>0</v>
      </c>
      <c r="S113" s="81">
        <f t="shared" si="72"/>
        <v>0</v>
      </c>
      <c r="T113" s="85">
        <f t="shared" si="73"/>
        <v>0</v>
      </c>
      <c r="U113" s="192"/>
      <c r="V113" s="196">
        <f t="shared" si="74"/>
        <v>0</v>
      </c>
    </row>
    <row r="114" spans="1:22" ht="52.8" hidden="1" x14ac:dyDescent="0.25">
      <c r="A114" s="14" t="s">
        <v>154</v>
      </c>
      <c r="B114" s="20" t="s">
        <v>155</v>
      </c>
      <c r="C114" s="71">
        <v>0</v>
      </c>
      <c r="D114" s="69">
        <f>+C114</f>
        <v>0</v>
      </c>
      <c r="E114" s="69">
        <v>0</v>
      </c>
      <c r="F114" s="69"/>
      <c r="G114" s="69"/>
      <c r="H114" s="81">
        <v>0</v>
      </c>
      <c r="I114" s="81">
        <v>0</v>
      </c>
      <c r="J114" s="81"/>
      <c r="K114" s="69"/>
      <c r="L114" s="690">
        <f t="shared" si="69"/>
        <v>0</v>
      </c>
      <c r="M114" s="690">
        <f t="shared" si="70"/>
        <v>0</v>
      </c>
      <c r="N114" s="690">
        <f t="shared" si="71"/>
        <v>0</v>
      </c>
      <c r="O114" s="705"/>
      <c r="P114" s="81">
        <f t="shared" si="75"/>
        <v>0</v>
      </c>
      <c r="Q114" s="81">
        <f t="shared" si="76"/>
        <v>0</v>
      </c>
      <c r="R114" s="81">
        <f t="shared" si="77"/>
        <v>0</v>
      </c>
      <c r="S114" s="81">
        <f t="shared" si="72"/>
        <v>0</v>
      </c>
      <c r="T114" s="85">
        <f t="shared" si="73"/>
        <v>0</v>
      </c>
      <c r="U114" s="192"/>
      <c r="V114" s="196">
        <f t="shared" si="74"/>
        <v>0</v>
      </c>
    </row>
    <row r="115" spans="1:22" ht="34.799999999999997" x14ac:dyDescent="0.25">
      <c r="A115" s="14" t="s">
        <v>156</v>
      </c>
      <c r="B115" s="645" t="s">
        <v>157</v>
      </c>
      <c r="C115" s="71"/>
      <c r="D115" s="69">
        <v>112693</v>
      </c>
      <c r="E115" s="69">
        <v>10150640</v>
      </c>
      <c r="F115" s="69"/>
      <c r="G115" s="69"/>
      <c r="H115" s="81">
        <v>112693</v>
      </c>
      <c r="I115" s="69">
        <v>10150640</v>
      </c>
      <c r="J115" s="81"/>
      <c r="K115" s="69"/>
      <c r="L115" s="690" t="e">
        <f t="shared" si="69"/>
        <v>#DIV/0!</v>
      </c>
      <c r="M115" s="690">
        <f t="shared" si="70"/>
        <v>90.073385214698334</v>
      </c>
      <c r="N115" s="690">
        <f t="shared" si="71"/>
        <v>0</v>
      </c>
      <c r="O115" s="705"/>
      <c r="P115" s="81">
        <f t="shared" si="75"/>
        <v>112693</v>
      </c>
      <c r="Q115" s="81">
        <f t="shared" si="76"/>
        <v>10037947</v>
      </c>
      <c r="R115" s="81">
        <f t="shared" si="77"/>
        <v>0</v>
      </c>
      <c r="S115" s="81">
        <f t="shared" si="72"/>
        <v>10150640</v>
      </c>
      <c r="T115" s="85">
        <f t="shared" si="73"/>
        <v>0</v>
      </c>
      <c r="U115" s="192"/>
      <c r="V115" s="196">
        <f t="shared" si="74"/>
        <v>0</v>
      </c>
    </row>
    <row r="116" spans="1:22" x14ac:dyDescent="0.25">
      <c r="A116" s="43" t="s">
        <v>369</v>
      </c>
      <c r="B116" s="20" t="s">
        <v>367</v>
      </c>
      <c r="C116" s="71">
        <f>'ÖNK részletező'!E5</f>
        <v>100777000</v>
      </c>
      <c r="D116" s="69">
        <v>107454000</v>
      </c>
      <c r="E116" s="69">
        <v>108324539</v>
      </c>
      <c r="F116" s="69"/>
      <c r="G116" s="69"/>
      <c r="H116" s="81">
        <v>66710286</v>
      </c>
      <c r="I116" s="81">
        <v>97973439</v>
      </c>
      <c r="J116" s="81"/>
      <c r="K116" s="69"/>
      <c r="L116" s="690">
        <f t="shared" si="69"/>
        <v>0.66195943518858469</v>
      </c>
      <c r="M116" s="690">
        <f t="shared" si="70"/>
        <v>0.91177098107096988</v>
      </c>
      <c r="N116" s="690">
        <f t="shared" si="71"/>
        <v>0</v>
      </c>
      <c r="O116" s="705"/>
      <c r="P116" s="81">
        <f t="shared" si="75"/>
        <v>6677000</v>
      </c>
      <c r="Q116" s="81">
        <f t="shared" si="76"/>
        <v>870539</v>
      </c>
      <c r="R116" s="81">
        <f t="shared" si="77"/>
        <v>0</v>
      </c>
      <c r="S116" s="81">
        <f t="shared" si="72"/>
        <v>7547539</v>
      </c>
      <c r="T116" s="85">
        <f t="shared" si="73"/>
        <v>7.4893467755539456E-2</v>
      </c>
      <c r="U116" s="192"/>
      <c r="V116" s="196">
        <f t="shared" si="74"/>
        <v>0</v>
      </c>
    </row>
    <row r="117" spans="1:22" x14ac:dyDescent="0.25">
      <c r="B117" s="20" t="s">
        <v>368</v>
      </c>
      <c r="C117" s="71"/>
      <c r="D117" s="69"/>
      <c r="E117" s="69">
        <v>0</v>
      </c>
      <c r="F117" s="69"/>
      <c r="G117" s="69"/>
      <c r="H117" s="81"/>
      <c r="I117" s="81"/>
      <c r="J117" s="81"/>
      <c r="K117" s="69"/>
      <c r="L117" s="690">
        <f t="shared" si="69"/>
        <v>0</v>
      </c>
      <c r="M117" s="690">
        <f t="shared" si="70"/>
        <v>0</v>
      </c>
      <c r="N117" s="690">
        <f t="shared" si="71"/>
        <v>0</v>
      </c>
      <c r="O117" s="705"/>
      <c r="P117" s="81">
        <f t="shared" si="75"/>
        <v>0</v>
      </c>
      <c r="Q117" s="81">
        <f t="shared" si="76"/>
        <v>0</v>
      </c>
      <c r="R117" s="81">
        <f t="shared" si="77"/>
        <v>0</v>
      </c>
      <c r="S117" s="81">
        <f t="shared" si="72"/>
        <v>0</v>
      </c>
      <c r="T117" s="85">
        <f t="shared" si="73"/>
        <v>0</v>
      </c>
      <c r="U117" s="192"/>
      <c r="V117" s="196">
        <f t="shared" si="74"/>
        <v>0</v>
      </c>
    </row>
    <row r="118" spans="1:22" x14ac:dyDescent="0.25">
      <c r="A118" s="43" t="s">
        <v>390</v>
      </c>
      <c r="B118" s="485" t="s">
        <v>568</v>
      </c>
      <c r="C118" s="71">
        <v>5000000</v>
      </c>
      <c r="D118" s="69">
        <v>5000000</v>
      </c>
      <c r="E118" s="175">
        <v>5000000</v>
      </c>
      <c r="F118" s="69"/>
      <c r="G118" s="69"/>
      <c r="H118" s="81">
        <v>0</v>
      </c>
      <c r="I118" s="81">
        <v>0</v>
      </c>
      <c r="J118" s="81"/>
      <c r="K118" s="69"/>
      <c r="L118" s="690">
        <f t="shared" si="69"/>
        <v>0</v>
      </c>
      <c r="M118" s="690">
        <f t="shared" si="70"/>
        <v>0</v>
      </c>
      <c r="N118" s="690">
        <f t="shared" si="71"/>
        <v>0</v>
      </c>
      <c r="O118" s="705"/>
      <c r="P118" s="81">
        <f t="shared" si="75"/>
        <v>0</v>
      </c>
      <c r="Q118" s="81">
        <f t="shared" si="76"/>
        <v>0</v>
      </c>
      <c r="R118" s="81">
        <f t="shared" si="77"/>
        <v>0</v>
      </c>
      <c r="S118" s="81">
        <f t="shared" si="72"/>
        <v>0</v>
      </c>
      <c r="T118" s="85">
        <f t="shared" si="73"/>
        <v>0</v>
      </c>
      <c r="U118" s="192"/>
      <c r="V118" s="196">
        <f t="shared" si="74"/>
        <v>0</v>
      </c>
    </row>
    <row r="119" spans="1:22" x14ac:dyDescent="0.25">
      <c r="A119" s="43"/>
      <c r="B119" s="20"/>
      <c r="C119" s="71"/>
      <c r="D119" s="69"/>
      <c r="E119" s="175"/>
      <c r="F119" s="69"/>
      <c r="G119" s="69"/>
      <c r="H119" s="81"/>
      <c r="I119" s="81"/>
      <c r="J119" s="81"/>
      <c r="K119" s="69"/>
      <c r="L119" s="690"/>
      <c r="M119" s="690"/>
      <c r="N119" s="690"/>
      <c r="O119" s="705"/>
      <c r="P119" s="81"/>
      <c r="Q119" s="81"/>
      <c r="R119" s="81"/>
      <c r="S119" s="81"/>
      <c r="T119" s="85"/>
      <c r="U119" s="192"/>
      <c r="V119" s="196">
        <f t="shared" si="74"/>
        <v>0</v>
      </c>
    </row>
    <row r="120" spans="1:22" x14ac:dyDescent="0.25">
      <c r="A120" s="4" t="s">
        <v>158</v>
      </c>
      <c r="B120" s="3" t="s">
        <v>159</v>
      </c>
      <c r="C120" s="66">
        <f>SUM(C121:C128)</f>
        <v>792250000</v>
      </c>
      <c r="D120" s="66">
        <f>SUM(D121:D128)</f>
        <v>793165620</v>
      </c>
      <c r="E120" s="66">
        <f>SUM(E121:E127)</f>
        <v>742381620</v>
      </c>
      <c r="F120" s="66">
        <f>SUM(F121:F127)</f>
        <v>0</v>
      </c>
      <c r="G120" s="66"/>
      <c r="H120" s="83">
        <f>SUM(H121:H128)</f>
        <v>97143389</v>
      </c>
      <c r="I120" s="83">
        <f>SUM(I121:I127)</f>
        <v>175947301</v>
      </c>
      <c r="J120" s="83">
        <f>SUM(J121:J127)</f>
        <v>0</v>
      </c>
      <c r="K120" s="66"/>
      <c r="L120" s="691">
        <f t="shared" ref="L120:L127" si="78">IF(H120&gt;0,H120/C120,0)</f>
        <v>0.12261708930261912</v>
      </c>
      <c r="M120" s="691">
        <f t="shared" ref="M120:M127" si="79">IF(I120&gt;0,I120/D120,0)</f>
        <v>0.22182920762501027</v>
      </c>
      <c r="N120" s="691">
        <f t="shared" ref="N120:N127" si="80">IF(J120&gt;0,J120/E120,0)</f>
        <v>0</v>
      </c>
      <c r="O120" s="706"/>
      <c r="P120" s="83">
        <f>IF(D120&gt;0,+D120-C120,0)</f>
        <v>915620</v>
      </c>
      <c r="Q120" s="83">
        <f>IF(E120&gt;0,+E120-D120,0)</f>
        <v>-50784000</v>
      </c>
      <c r="R120" s="83">
        <f>IF(F120&gt;0,+F120-E120,0)</f>
        <v>0</v>
      </c>
      <c r="S120" s="83">
        <f t="shared" ref="S120:S127" si="81">+P120*P$8+Q120*Q$8+Q120*G$8</f>
        <v>-49868380</v>
      </c>
      <c r="T120" s="85">
        <f t="shared" ref="T120:T127" si="82">IF(C120=0,0,+S120/C120)</f>
        <v>-6.2945257178920799E-2</v>
      </c>
      <c r="U120" s="194"/>
      <c r="V120" s="196">
        <f t="shared" si="74"/>
        <v>0</v>
      </c>
    </row>
    <row r="121" spans="1:22" x14ac:dyDescent="0.25">
      <c r="A121" s="14" t="s">
        <v>160</v>
      </c>
      <c r="B121" s="20" t="s">
        <v>161</v>
      </c>
      <c r="C121" s="71">
        <v>0</v>
      </c>
      <c r="D121" s="69">
        <v>406000</v>
      </c>
      <c r="E121" s="69">
        <v>406000</v>
      </c>
      <c r="F121" s="69"/>
      <c r="G121" s="69"/>
      <c r="H121" s="81">
        <v>406000</v>
      </c>
      <c r="I121" s="81">
        <v>406000</v>
      </c>
      <c r="J121" s="81"/>
      <c r="K121" s="69"/>
      <c r="L121" s="690" t="e">
        <f t="shared" si="78"/>
        <v>#DIV/0!</v>
      </c>
      <c r="M121" s="690">
        <f t="shared" si="79"/>
        <v>1</v>
      </c>
      <c r="N121" s="690">
        <f t="shared" si="80"/>
        <v>0</v>
      </c>
      <c r="O121" s="705"/>
      <c r="P121" s="81">
        <f t="shared" ref="P121:R127" si="83">+(D121-C121)*P$8</f>
        <v>406000</v>
      </c>
      <c r="Q121" s="81">
        <f t="shared" si="83"/>
        <v>0</v>
      </c>
      <c r="R121" s="81">
        <f t="shared" si="83"/>
        <v>0</v>
      </c>
      <c r="S121" s="81">
        <f t="shared" si="81"/>
        <v>406000</v>
      </c>
      <c r="T121" s="85">
        <f t="shared" si="82"/>
        <v>0</v>
      </c>
      <c r="U121" s="192"/>
      <c r="V121" s="196">
        <f t="shared" si="74"/>
        <v>0</v>
      </c>
    </row>
    <row r="122" spans="1:22" x14ac:dyDescent="0.25">
      <c r="A122" s="14" t="s">
        <v>162</v>
      </c>
      <c r="B122" s="20" t="s">
        <v>163</v>
      </c>
      <c r="C122" s="71">
        <f>'ÖNK részletező'!E31</f>
        <v>792250000</v>
      </c>
      <c r="D122" s="71">
        <v>780958000</v>
      </c>
      <c r="E122" s="175">
        <v>725868700</v>
      </c>
      <c r="F122" s="69"/>
      <c r="G122" s="69"/>
      <c r="H122" s="81">
        <v>89548377</v>
      </c>
      <c r="I122" s="81">
        <v>162807809</v>
      </c>
      <c r="J122" s="81"/>
      <c r="K122" s="69"/>
      <c r="L122" s="690">
        <f t="shared" si="78"/>
        <v>0.11303045377090565</v>
      </c>
      <c r="M122" s="690">
        <f t="shared" si="79"/>
        <v>0.20847191398257012</v>
      </c>
      <c r="N122" s="690">
        <f t="shared" si="80"/>
        <v>0</v>
      </c>
      <c r="O122" s="705"/>
      <c r="P122" s="81">
        <f t="shared" si="83"/>
        <v>-11292000</v>
      </c>
      <c r="Q122" s="81">
        <f t="shared" si="83"/>
        <v>-55089300</v>
      </c>
      <c r="R122" s="81">
        <f t="shared" si="83"/>
        <v>0</v>
      </c>
      <c r="S122" s="81">
        <f t="shared" si="81"/>
        <v>-66381300</v>
      </c>
      <c r="T122" s="85">
        <f t="shared" si="82"/>
        <v>-8.3788324392552863E-2</v>
      </c>
      <c r="U122" s="192"/>
      <c r="V122" s="196">
        <f t="shared" si="74"/>
        <v>0</v>
      </c>
    </row>
    <row r="123" spans="1:22" hidden="1" x14ac:dyDescent="0.25">
      <c r="B123" s="20" t="s">
        <v>164</v>
      </c>
      <c r="C123" s="71"/>
      <c r="D123" s="71"/>
      <c r="E123" s="69"/>
      <c r="F123" s="69"/>
      <c r="G123" s="69"/>
      <c r="H123" s="81"/>
      <c r="I123" s="81"/>
      <c r="J123" s="81"/>
      <c r="K123" s="69"/>
      <c r="L123" s="690">
        <f t="shared" si="78"/>
        <v>0</v>
      </c>
      <c r="M123" s="690">
        <f t="shared" si="79"/>
        <v>0</v>
      </c>
      <c r="N123" s="690">
        <f t="shared" si="80"/>
        <v>0</v>
      </c>
      <c r="O123" s="705"/>
      <c r="P123" s="81">
        <f t="shared" si="83"/>
        <v>0</v>
      </c>
      <c r="Q123" s="81">
        <f t="shared" si="83"/>
        <v>0</v>
      </c>
      <c r="R123" s="81">
        <f t="shared" si="83"/>
        <v>0</v>
      </c>
      <c r="S123" s="81">
        <f t="shared" si="81"/>
        <v>0</v>
      </c>
      <c r="T123" s="85">
        <f t="shared" si="82"/>
        <v>0</v>
      </c>
      <c r="U123" s="192"/>
      <c r="V123" s="196">
        <f t="shared" si="74"/>
        <v>0</v>
      </c>
    </row>
    <row r="124" spans="1:22" x14ac:dyDescent="0.25">
      <c r="A124" s="14" t="s">
        <v>165</v>
      </c>
      <c r="B124" s="20" t="s">
        <v>166</v>
      </c>
      <c r="C124" s="71">
        <v>0</v>
      </c>
      <c r="D124" s="71">
        <v>0</v>
      </c>
      <c r="E124" s="69"/>
      <c r="F124" s="69"/>
      <c r="G124" s="69"/>
      <c r="H124" s="81"/>
      <c r="I124" s="81"/>
      <c r="J124" s="81"/>
      <c r="K124" s="69"/>
      <c r="L124" s="690">
        <f t="shared" si="78"/>
        <v>0</v>
      </c>
      <c r="M124" s="690">
        <f t="shared" si="79"/>
        <v>0</v>
      </c>
      <c r="N124" s="690">
        <f t="shared" si="80"/>
        <v>0</v>
      </c>
      <c r="O124" s="705"/>
      <c r="P124" s="81">
        <f t="shared" si="83"/>
        <v>0</v>
      </c>
      <c r="Q124" s="81">
        <f t="shared" si="83"/>
        <v>0</v>
      </c>
      <c r="R124" s="81">
        <f t="shared" si="83"/>
        <v>0</v>
      </c>
      <c r="S124" s="81">
        <f t="shared" si="81"/>
        <v>0</v>
      </c>
      <c r="T124" s="85">
        <f t="shared" si="82"/>
        <v>0</v>
      </c>
      <c r="U124" s="192"/>
      <c r="V124" s="196">
        <f t="shared" si="74"/>
        <v>0</v>
      </c>
    </row>
    <row r="125" spans="1:22" x14ac:dyDescent="0.25">
      <c r="A125" s="14" t="s">
        <v>167</v>
      </c>
      <c r="B125" s="20" t="s">
        <v>168</v>
      </c>
      <c r="C125" s="71">
        <v>0</v>
      </c>
      <c r="D125" s="71">
        <v>701000</v>
      </c>
      <c r="E125" s="69">
        <v>4091000</v>
      </c>
      <c r="F125" s="69"/>
      <c r="G125" s="69"/>
      <c r="H125" s="81">
        <v>660096</v>
      </c>
      <c r="I125" s="81">
        <v>4079765</v>
      </c>
      <c r="J125" s="81"/>
      <c r="K125" s="69"/>
      <c r="L125" s="690" t="e">
        <f t="shared" si="78"/>
        <v>#DIV/0!</v>
      </c>
      <c r="M125" s="690">
        <f t="shared" si="79"/>
        <v>5.819921540656205</v>
      </c>
      <c r="N125" s="690">
        <f t="shared" si="80"/>
        <v>0</v>
      </c>
      <c r="O125" s="705"/>
      <c r="P125" s="81">
        <f t="shared" si="83"/>
        <v>701000</v>
      </c>
      <c r="Q125" s="81">
        <f t="shared" si="83"/>
        <v>3390000</v>
      </c>
      <c r="R125" s="81">
        <f t="shared" si="83"/>
        <v>0</v>
      </c>
      <c r="S125" s="81">
        <f t="shared" si="81"/>
        <v>4091000</v>
      </c>
      <c r="T125" s="85">
        <f t="shared" si="82"/>
        <v>0</v>
      </c>
      <c r="U125" s="192"/>
      <c r="V125" s="196">
        <f t="shared" si="74"/>
        <v>0</v>
      </c>
    </row>
    <row r="126" spans="1:22" x14ac:dyDescent="0.25">
      <c r="A126" s="14" t="s">
        <v>169</v>
      </c>
      <c r="B126" s="20" t="s">
        <v>170</v>
      </c>
      <c r="C126" s="71">
        <v>0</v>
      </c>
      <c r="D126" s="71">
        <v>0</v>
      </c>
      <c r="E126" s="69"/>
      <c r="F126" s="69"/>
      <c r="G126" s="69"/>
      <c r="H126" s="81">
        <v>0</v>
      </c>
      <c r="I126" s="81">
        <v>0</v>
      </c>
      <c r="J126" s="81"/>
      <c r="K126" s="69"/>
      <c r="L126" s="690">
        <f t="shared" si="78"/>
        <v>0</v>
      </c>
      <c r="M126" s="690">
        <f t="shared" si="79"/>
        <v>0</v>
      </c>
      <c r="N126" s="690">
        <f t="shared" si="80"/>
        <v>0</v>
      </c>
      <c r="O126" s="705"/>
      <c r="P126" s="81">
        <f t="shared" si="83"/>
        <v>0</v>
      </c>
      <c r="Q126" s="81">
        <f t="shared" si="83"/>
        <v>0</v>
      </c>
      <c r="R126" s="81">
        <f t="shared" si="83"/>
        <v>0</v>
      </c>
      <c r="S126" s="81">
        <f t="shared" si="81"/>
        <v>0</v>
      </c>
      <c r="T126" s="85">
        <f t="shared" si="82"/>
        <v>0</v>
      </c>
      <c r="U126" s="192"/>
      <c r="V126" s="196">
        <f t="shared" si="74"/>
        <v>0</v>
      </c>
    </row>
    <row r="127" spans="1:22" x14ac:dyDescent="0.25">
      <c r="A127" s="14" t="s">
        <v>171</v>
      </c>
      <c r="B127" s="20" t="s">
        <v>172</v>
      </c>
      <c r="C127" s="71">
        <v>0</v>
      </c>
      <c r="D127" s="69">
        <v>11100620</v>
      </c>
      <c r="E127" s="69">
        <v>12015920</v>
      </c>
      <c r="F127" s="69"/>
      <c r="G127" s="69"/>
      <c r="H127" s="81">
        <v>6528916</v>
      </c>
      <c r="I127" s="81">
        <v>8653727</v>
      </c>
      <c r="J127" s="81"/>
      <c r="K127" s="69"/>
      <c r="L127" s="690" t="e">
        <f t="shared" si="78"/>
        <v>#DIV/0!</v>
      </c>
      <c r="M127" s="690">
        <f t="shared" si="79"/>
        <v>0.77957150141163289</v>
      </c>
      <c r="N127" s="690">
        <f t="shared" si="80"/>
        <v>0</v>
      </c>
      <c r="O127" s="705"/>
      <c r="P127" s="81">
        <f t="shared" si="83"/>
        <v>11100620</v>
      </c>
      <c r="Q127" s="81">
        <f t="shared" si="83"/>
        <v>915300</v>
      </c>
      <c r="R127" s="81">
        <f t="shared" si="83"/>
        <v>0</v>
      </c>
      <c r="S127" s="81">
        <f t="shared" si="81"/>
        <v>12015920</v>
      </c>
      <c r="T127" s="85">
        <f t="shared" si="82"/>
        <v>0</v>
      </c>
      <c r="U127" s="192"/>
      <c r="V127" s="196">
        <f t="shared" si="74"/>
        <v>0</v>
      </c>
    </row>
    <row r="128" spans="1:22" x14ac:dyDescent="0.25">
      <c r="C128" s="71"/>
      <c r="D128" s="69"/>
      <c r="E128" s="69"/>
      <c r="F128" s="69"/>
      <c r="G128" s="69"/>
      <c r="H128" s="81"/>
      <c r="I128" s="81"/>
      <c r="J128" s="81"/>
      <c r="K128" s="69"/>
      <c r="L128" s="690"/>
      <c r="M128" s="690"/>
      <c r="N128" s="690"/>
      <c r="O128" s="705"/>
      <c r="P128" s="81"/>
      <c r="Q128" s="81"/>
      <c r="R128" s="81"/>
      <c r="S128" s="81"/>
      <c r="T128" s="85"/>
      <c r="U128" s="192"/>
      <c r="V128" s="196">
        <f t="shared" si="74"/>
        <v>0</v>
      </c>
    </row>
    <row r="129" spans="1:22" x14ac:dyDescent="0.25">
      <c r="A129" s="4" t="s">
        <v>173</v>
      </c>
      <c r="B129" s="3" t="s">
        <v>174</v>
      </c>
      <c r="C129" s="66">
        <f>SUM(C130:C134)</f>
        <v>198800000</v>
      </c>
      <c r="D129" s="66">
        <f>SUM(D130:D134)</f>
        <v>198800000</v>
      </c>
      <c r="E129" s="66">
        <f t="shared" ref="E129:F129" si="84">SUM(E130:E133)</f>
        <v>197263000</v>
      </c>
      <c r="F129" s="66">
        <f t="shared" si="84"/>
        <v>0</v>
      </c>
      <c r="G129" s="66"/>
      <c r="H129" s="83">
        <f>SUM(H130:H134)</f>
        <v>15737344</v>
      </c>
      <c r="I129" s="83">
        <f>SUM(I130:I133)</f>
        <v>68275190</v>
      </c>
      <c r="J129" s="83">
        <f>SUM(J130:J133)</f>
        <v>0</v>
      </c>
      <c r="K129" s="66"/>
      <c r="L129" s="691">
        <f t="shared" ref="L129:L133" si="85">IF(H129&gt;0,H129/C129,0)</f>
        <v>7.9161690140845065E-2</v>
      </c>
      <c r="M129" s="691">
        <f t="shared" ref="M129:M133" si="86">IF(I129&gt;0,I129/D129,0)</f>
        <v>0.34343656941649897</v>
      </c>
      <c r="N129" s="691">
        <f t="shared" ref="N129:N133" si="87">IF(J129&gt;0,J129/E129,0)</f>
        <v>0</v>
      </c>
      <c r="O129" s="706"/>
      <c r="P129" s="83">
        <f>IF(D129&gt;0,+D129-C129,0)</f>
        <v>0</v>
      </c>
      <c r="Q129" s="83">
        <f>IF(E129&gt;0,+E129-D129,0)</f>
        <v>-1537000</v>
      </c>
      <c r="R129" s="83">
        <f>IF(F129&gt;0,+F129-E129,0)</f>
        <v>0</v>
      </c>
      <c r="S129" s="83">
        <f t="shared" ref="S129:S133" si="88">+P129*P$8+Q129*Q$8+Q129*G$8</f>
        <v>-1537000</v>
      </c>
      <c r="T129" s="85">
        <f>IF(C129=0,0,+S129/C129)</f>
        <v>-7.731388329979879E-3</v>
      </c>
      <c r="U129" s="194"/>
      <c r="V129" s="196">
        <f t="shared" si="74"/>
        <v>0</v>
      </c>
    </row>
    <row r="130" spans="1:22" x14ac:dyDescent="0.25">
      <c r="A130" s="14" t="s">
        <v>175</v>
      </c>
      <c r="B130" s="20" t="s">
        <v>176</v>
      </c>
      <c r="C130" s="71">
        <f>'ÖNK részletező'!E18</f>
        <v>198800000</v>
      </c>
      <c r="D130" s="69">
        <v>191508935</v>
      </c>
      <c r="E130" s="143">
        <v>163581589</v>
      </c>
      <c r="F130" s="69"/>
      <c r="G130" s="69"/>
      <c r="H130" s="81">
        <v>12524951</v>
      </c>
      <c r="I130" s="81">
        <v>54001759</v>
      </c>
      <c r="J130" s="81"/>
      <c r="K130" s="69"/>
      <c r="L130" s="690">
        <f t="shared" si="85"/>
        <v>6.3002771629778673E-2</v>
      </c>
      <c r="M130" s="690">
        <f t="shared" si="86"/>
        <v>0.28198036295277817</v>
      </c>
      <c r="N130" s="690">
        <f t="shared" si="87"/>
        <v>0</v>
      </c>
      <c r="O130" s="705"/>
      <c r="P130" s="81">
        <f t="shared" ref="P130:R133" si="89">+(D130-C130)*P$8</f>
        <v>-7291065</v>
      </c>
      <c r="Q130" s="81">
        <f t="shared" si="89"/>
        <v>-27927346</v>
      </c>
      <c r="R130" s="81">
        <f t="shared" si="89"/>
        <v>0</v>
      </c>
      <c r="S130" s="81">
        <f t="shared" si="88"/>
        <v>-35218411</v>
      </c>
      <c r="T130" s="85">
        <f>IF(C130=0,0,+S130/C130)</f>
        <v>-0.17715498490945675</v>
      </c>
      <c r="U130" s="192"/>
      <c r="V130" s="196">
        <f t="shared" si="74"/>
        <v>0</v>
      </c>
    </row>
    <row r="131" spans="1:22" hidden="1" x14ac:dyDescent="0.25">
      <c r="A131" s="14" t="s">
        <v>177</v>
      </c>
      <c r="B131" s="20" t="s">
        <v>178</v>
      </c>
      <c r="C131" s="71"/>
      <c r="D131" s="69"/>
      <c r="E131" s="69"/>
      <c r="F131" s="69"/>
      <c r="G131" s="69"/>
      <c r="H131" s="81"/>
      <c r="I131" s="81"/>
      <c r="J131" s="81"/>
      <c r="K131" s="69"/>
      <c r="L131" s="690">
        <f t="shared" si="85"/>
        <v>0</v>
      </c>
      <c r="M131" s="690">
        <f t="shared" si="86"/>
        <v>0</v>
      </c>
      <c r="N131" s="690">
        <f t="shared" si="87"/>
        <v>0</v>
      </c>
      <c r="O131" s="705"/>
      <c r="P131" s="81">
        <f t="shared" si="89"/>
        <v>0</v>
      </c>
      <c r="Q131" s="81">
        <f t="shared" si="89"/>
        <v>0</v>
      </c>
      <c r="R131" s="81">
        <f t="shared" si="89"/>
        <v>0</v>
      </c>
      <c r="S131" s="81">
        <f t="shared" si="88"/>
        <v>0</v>
      </c>
      <c r="T131" s="85">
        <f>IF(C131=0,0,+S131/C131)</f>
        <v>0</v>
      </c>
      <c r="U131" s="192"/>
      <c r="V131" s="196">
        <f t="shared" si="74"/>
        <v>0</v>
      </c>
    </row>
    <row r="132" spans="1:22" hidden="1" x14ac:dyDescent="0.25">
      <c r="A132" s="14" t="s">
        <v>179</v>
      </c>
      <c r="B132" s="20" t="s">
        <v>180</v>
      </c>
      <c r="C132" s="71">
        <v>0</v>
      </c>
      <c r="D132" s="69"/>
      <c r="E132" s="69"/>
      <c r="F132" s="69"/>
      <c r="G132" s="69"/>
      <c r="H132" s="81"/>
      <c r="I132" s="81"/>
      <c r="J132" s="81"/>
      <c r="K132" s="69"/>
      <c r="L132" s="690">
        <f t="shared" si="85"/>
        <v>0</v>
      </c>
      <c r="M132" s="690">
        <f t="shared" si="86"/>
        <v>0</v>
      </c>
      <c r="N132" s="690">
        <f t="shared" si="87"/>
        <v>0</v>
      </c>
      <c r="O132" s="705"/>
      <c r="P132" s="81">
        <f t="shared" si="89"/>
        <v>0</v>
      </c>
      <c r="Q132" s="81">
        <f t="shared" si="89"/>
        <v>0</v>
      </c>
      <c r="R132" s="81">
        <f t="shared" si="89"/>
        <v>0</v>
      </c>
      <c r="S132" s="81">
        <f t="shared" si="88"/>
        <v>0</v>
      </c>
      <c r="T132" s="85">
        <f>IF(C132=0,0,+S132/C132)</f>
        <v>0</v>
      </c>
      <c r="U132" s="192"/>
      <c r="V132" s="196">
        <f t="shared" si="74"/>
        <v>0</v>
      </c>
    </row>
    <row r="133" spans="1:22" x14ac:dyDescent="0.25">
      <c r="A133" s="14" t="s">
        <v>181</v>
      </c>
      <c r="B133" s="20" t="s">
        <v>182</v>
      </c>
      <c r="C133" s="71">
        <v>0</v>
      </c>
      <c r="D133" s="69">
        <v>7291065</v>
      </c>
      <c r="E133" s="69">
        <v>33681411</v>
      </c>
      <c r="F133" s="69"/>
      <c r="G133" s="69"/>
      <c r="H133" s="81">
        <v>3212393</v>
      </c>
      <c r="I133" s="81">
        <v>14273431</v>
      </c>
      <c r="J133" s="81"/>
      <c r="K133" s="69"/>
      <c r="L133" s="690" t="e">
        <f t="shared" si="85"/>
        <v>#DIV/0!</v>
      </c>
      <c r="M133" s="690">
        <f t="shared" si="86"/>
        <v>1.9576606435411013</v>
      </c>
      <c r="N133" s="690">
        <f t="shared" si="87"/>
        <v>0</v>
      </c>
      <c r="O133" s="705"/>
      <c r="P133" s="81">
        <f t="shared" si="89"/>
        <v>7291065</v>
      </c>
      <c r="Q133" s="81">
        <f t="shared" si="89"/>
        <v>26390346</v>
      </c>
      <c r="R133" s="81">
        <f t="shared" si="89"/>
        <v>0</v>
      </c>
      <c r="S133" s="81">
        <f t="shared" si="88"/>
        <v>33681411</v>
      </c>
      <c r="T133" s="85">
        <f>IF(C133=0,0,+S133/C133)</f>
        <v>0</v>
      </c>
      <c r="U133" s="192"/>
      <c r="V133" s="196">
        <f t="shared" si="74"/>
        <v>0</v>
      </c>
    </row>
    <row r="134" spans="1:22" x14ac:dyDescent="0.25">
      <c r="C134" s="71"/>
      <c r="D134" s="69"/>
      <c r="E134" s="69"/>
      <c r="F134" s="69"/>
      <c r="G134" s="69"/>
      <c r="H134" s="81"/>
      <c r="I134" s="81"/>
      <c r="J134" s="81"/>
      <c r="K134" s="69"/>
      <c r="L134" s="690"/>
      <c r="M134" s="690"/>
      <c r="N134" s="690"/>
      <c r="O134" s="705"/>
      <c r="P134" s="81"/>
      <c r="Q134" s="81"/>
      <c r="R134" s="81"/>
      <c r="S134" s="81"/>
      <c r="T134" s="85"/>
      <c r="U134" s="192"/>
      <c r="V134" s="196">
        <f t="shared" si="74"/>
        <v>0</v>
      </c>
    </row>
    <row r="135" spans="1:22" x14ac:dyDescent="0.25">
      <c r="A135" s="4" t="s">
        <v>183</v>
      </c>
      <c r="B135" s="3" t="s">
        <v>184</v>
      </c>
      <c r="C135" s="66"/>
      <c r="D135" s="66">
        <f>SUM(D136:D143)</f>
        <v>0</v>
      </c>
      <c r="E135" s="66">
        <f>SUM(E136:E143)</f>
        <v>0</v>
      </c>
      <c r="F135" s="72"/>
      <c r="G135" s="72"/>
      <c r="H135" s="83">
        <f>SUM(H136:H143)</f>
        <v>0</v>
      </c>
      <c r="I135" s="83">
        <f>SUM(I136:I143)</f>
        <v>0</v>
      </c>
      <c r="J135" s="83"/>
      <c r="K135" s="72"/>
      <c r="L135" s="691">
        <f t="shared" ref="L135:L141" si="90">IF(H135&gt;0,H135/C135,0)</f>
        <v>0</v>
      </c>
      <c r="M135" s="691">
        <f t="shared" ref="M135:M141" si="91">IF(I135&gt;0,I135/D135,0)</f>
        <v>0</v>
      </c>
      <c r="N135" s="691">
        <f t="shared" ref="N135:N141" si="92">IF(J135&gt;0,J135/E135,0)</f>
        <v>0</v>
      </c>
      <c r="O135" s="707"/>
      <c r="P135" s="83">
        <f>IF(D135&gt;0,+D135-C135,0)</f>
        <v>0</v>
      </c>
      <c r="Q135" s="83">
        <f>IF(E135&gt;0,+E135-D135,0)</f>
        <v>0</v>
      </c>
      <c r="R135" s="83">
        <f>IF(F135&gt;0,+F135-E135,0)</f>
        <v>0</v>
      </c>
      <c r="S135" s="83">
        <f t="shared" ref="S135:S143" si="93">+P135*P$8+Q135*Q$8+Q135*G$8</f>
        <v>0</v>
      </c>
      <c r="T135" s="85">
        <f t="shared" ref="T135:T143" si="94">IF(C135=0,0,+S135/C135)</f>
        <v>0</v>
      </c>
      <c r="U135" s="195"/>
      <c r="V135" s="196">
        <f t="shared" si="74"/>
        <v>0</v>
      </c>
    </row>
    <row r="136" spans="1:22" ht="23.4" hidden="1" x14ac:dyDescent="0.25">
      <c r="A136" s="14" t="s">
        <v>185</v>
      </c>
      <c r="B136" s="645" t="s">
        <v>186</v>
      </c>
      <c r="C136" s="71"/>
      <c r="D136" s="69"/>
      <c r="E136" s="69"/>
      <c r="F136" s="69"/>
      <c r="G136" s="69"/>
      <c r="H136" s="81"/>
      <c r="I136" s="81"/>
      <c r="J136" s="81"/>
      <c r="K136" s="69"/>
      <c r="L136" s="690">
        <f t="shared" si="90"/>
        <v>0</v>
      </c>
      <c r="M136" s="690">
        <f t="shared" si="91"/>
        <v>0</v>
      </c>
      <c r="N136" s="690">
        <f t="shared" si="92"/>
        <v>0</v>
      </c>
      <c r="O136" s="705"/>
      <c r="P136" s="81">
        <f t="shared" ref="P136:R143" si="95">+(D136-C136)*P$8</f>
        <v>0</v>
      </c>
      <c r="Q136" s="81">
        <f t="shared" si="95"/>
        <v>0</v>
      </c>
      <c r="R136" s="81">
        <f t="shared" si="95"/>
        <v>0</v>
      </c>
      <c r="S136" s="81">
        <f t="shared" si="93"/>
        <v>0</v>
      </c>
      <c r="T136" s="85">
        <f t="shared" si="94"/>
        <v>0</v>
      </c>
      <c r="U136" s="192"/>
      <c r="V136" s="196">
        <f t="shared" si="74"/>
        <v>0</v>
      </c>
    </row>
    <row r="137" spans="1:22" ht="23.4" hidden="1" x14ac:dyDescent="0.25">
      <c r="A137" s="14" t="s">
        <v>187</v>
      </c>
      <c r="B137" s="645" t="s">
        <v>188</v>
      </c>
      <c r="C137" s="71"/>
      <c r="D137" s="69"/>
      <c r="E137" s="69"/>
      <c r="F137" s="69"/>
      <c r="G137" s="69"/>
      <c r="H137" s="81"/>
      <c r="I137" s="81"/>
      <c r="J137" s="81"/>
      <c r="K137" s="69"/>
      <c r="L137" s="690">
        <f t="shared" si="90"/>
        <v>0</v>
      </c>
      <c r="M137" s="690">
        <f t="shared" si="91"/>
        <v>0</v>
      </c>
      <c r="N137" s="690">
        <f t="shared" si="92"/>
        <v>0</v>
      </c>
      <c r="O137" s="705"/>
      <c r="P137" s="81">
        <f t="shared" si="95"/>
        <v>0</v>
      </c>
      <c r="Q137" s="81">
        <f t="shared" si="95"/>
        <v>0</v>
      </c>
      <c r="R137" s="81">
        <f t="shared" si="95"/>
        <v>0</v>
      </c>
      <c r="S137" s="81">
        <f t="shared" si="93"/>
        <v>0</v>
      </c>
      <c r="T137" s="85">
        <f t="shared" si="94"/>
        <v>0</v>
      </c>
      <c r="U137" s="192"/>
      <c r="V137" s="196">
        <f t="shared" si="74"/>
        <v>0</v>
      </c>
    </row>
    <row r="138" spans="1:22" ht="23.4" hidden="1" x14ac:dyDescent="0.25">
      <c r="A138" s="14" t="s">
        <v>189</v>
      </c>
      <c r="B138" s="645" t="s">
        <v>190</v>
      </c>
      <c r="C138" s="71"/>
      <c r="D138" s="69"/>
      <c r="E138" s="69"/>
      <c r="F138" s="69"/>
      <c r="G138" s="69"/>
      <c r="H138" s="81"/>
      <c r="I138" s="81"/>
      <c r="J138" s="81"/>
      <c r="K138" s="69"/>
      <c r="L138" s="690">
        <f t="shared" si="90"/>
        <v>0</v>
      </c>
      <c r="M138" s="690">
        <f t="shared" si="91"/>
        <v>0</v>
      </c>
      <c r="N138" s="690">
        <f t="shared" si="92"/>
        <v>0</v>
      </c>
      <c r="O138" s="705"/>
      <c r="P138" s="81">
        <f t="shared" si="95"/>
        <v>0</v>
      </c>
      <c r="Q138" s="81">
        <f t="shared" si="95"/>
        <v>0</v>
      </c>
      <c r="R138" s="81">
        <f t="shared" si="95"/>
        <v>0</v>
      </c>
      <c r="S138" s="81">
        <f t="shared" si="93"/>
        <v>0</v>
      </c>
      <c r="T138" s="85">
        <f t="shared" si="94"/>
        <v>0</v>
      </c>
      <c r="U138" s="192"/>
      <c r="V138" s="196">
        <f t="shared" ref="V138:V168" si="96">+S138-E138+C138</f>
        <v>0</v>
      </c>
    </row>
    <row r="139" spans="1:22" hidden="1" x14ac:dyDescent="0.25">
      <c r="A139" s="14" t="s">
        <v>191</v>
      </c>
      <c r="B139" s="645" t="s">
        <v>192</v>
      </c>
      <c r="C139" s="71"/>
      <c r="D139" s="69"/>
      <c r="E139" s="69"/>
      <c r="F139" s="69"/>
      <c r="G139" s="69"/>
      <c r="H139" s="81"/>
      <c r="I139" s="81"/>
      <c r="J139" s="81"/>
      <c r="K139" s="69"/>
      <c r="L139" s="690">
        <f t="shared" si="90"/>
        <v>0</v>
      </c>
      <c r="M139" s="690">
        <f t="shared" si="91"/>
        <v>0</v>
      </c>
      <c r="N139" s="690">
        <f t="shared" si="92"/>
        <v>0</v>
      </c>
      <c r="O139" s="705"/>
      <c r="P139" s="81">
        <f t="shared" si="95"/>
        <v>0</v>
      </c>
      <c r="Q139" s="81">
        <f t="shared" si="95"/>
        <v>0</v>
      </c>
      <c r="R139" s="81">
        <f t="shared" si="95"/>
        <v>0</v>
      </c>
      <c r="S139" s="81">
        <f t="shared" si="93"/>
        <v>0</v>
      </c>
      <c r="T139" s="85">
        <f t="shared" si="94"/>
        <v>0</v>
      </c>
      <c r="U139" s="192"/>
      <c r="V139" s="196">
        <f t="shared" si="96"/>
        <v>0</v>
      </c>
    </row>
    <row r="140" spans="1:22" ht="23.4" hidden="1" x14ac:dyDescent="0.25">
      <c r="A140" s="14" t="s">
        <v>193</v>
      </c>
      <c r="B140" s="645" t="s">
        <v>194</v>
      </c>
      <c r="C140" s="71"/>
      <c r="D140" s="69">
        <v>0</v>
      </c>
      <c r="E140" s="69">
        <v>0</v>
      </c>
      <c r="F140" s="69"/>
      <c r="G140" s="69"/>
      <c r="H140" s="81">
        <v>0</v>
      </c>
      <c r="I140" s="81">
        <v>0</v>
      </c>
      <c r="J140" s="81"/>
      <c r="K140" s="69"/>
      <c r="L140" s="690">
        <f t="shared" si="90"/>
        <v>0</v>
      </c>
      <c r="M140" s="690">
        <f t="shared" si="91"/>
        <v>0</v>
      </c>
      <c r="N140" s="690">
        <f t="shared" si="92"/>
        <v>0</v>
      </c>
      <c r="O140" s="705"/>
      <c r="P140" s="81">
        <f t="shared" si="95"/>
        <v>0</v>
      </c>
      <c r="Q140" s="81">
        <f t="shared" si="95"/>
        <v>0</v>
      </c>
      <c r="R140" s="81">
        <f t="shared" si="95"/>
        <v>0</v>
      </c>
      <c r="S140" s="81">
        <f t="shared" si="93"/>
        <v>0</v>
      </c>
      <c r="T140" s="85">
        <f t="shared" si="94"/>
        <v>0</v>
      </c>
      <c r="U140" s="192"/>
      <c r="V140" s="196">
        <f t="shared" si="96"/>
        <v>0</v>
      </c>
    </row>
    <row r="141" spans="1:22" ht="26.4" x14ac:dyDescent="0.25">
      <c r="A141" s="14" t="s">
        <v>195</v>
      </c>
      <c r="B141" s="20" t="s">
        <v>196</v>
      </c>
      <c r="C141" s="71">
        <v>0</v>
      </c>
      <c r="D141" s="69">
        <v>0</v>
      </c>
      <c r="E141" s="69"/>
      <c r="F141" s="69"/>
      <c r="G141" s="69"/>
      <c r="H141" s="81"/>
      <c r="I141" s="81"/>
      <c r="J141" s="81"/>
      <c r="K141" s="69"/>
      <c r="L141" s="690">
        <f t="shared" si="90"/>
        <v>0</v>
      </c>
      <c r="M141" s="690">
        <f t="shared" si="91"/>
        <v>0</v>
      </c>
      <c r="N141" s="690">
        <f t="shared" si="92"/>
        <v>0</v>
      </c>
      <c r="O141" s="705"/>
      <c r="P141" s="81">
        <f t="shared" si="95"/>
        <v>0</v>
      </c>
      <c r="Q141" s="81">
        <f t="shared" si="95"/>
        <v>0</v>
      </c>
      <c r="R141" s="81">
        <f t="shared" si="95"/>
        <v>0</v>
      </c>
      <c r="S141" s="81">
        <f t="shared" si="93"/>
        <v>0</v>
      </c>
      <c r="T141" s="85">
        <f t="shared" si="94"/>
        <v>0</v>
      </c>
      <c r="U141" s="192"/>
      <c r="V141" s="196">
        <f t="shared" si="96"/>
        <v>0</v>
      </c>
    </row>
    <row r="142" spans="1:22" x14ac:dyDescent="0.25">
      <c r="A142" s="14" t="s">
        <v>197</v>
      </c>
      <c r="B142" s="20" t="s">
        <v>198</v>
      </c>
      <c r="C142" s="71">
        <v>0</v>
      </c>
      <c r="D142" s="69">
        <v>0</v>
      </c>
      <c r="E142" s="69">
        <v>0</v>
      </c>
      <c r="F142" s="69"/>
      <c r="G142" s="69"/>
      <c r="H142" s="81"/>
      <c r="I142" s="81"/>
      <c r="J142" s="81"/>
      <c r="K142" s="69"/>
      <c r="L142" s="690"/>
      <c r="M142" s="690"/>
      <c r="N142" s="690" t="e">
        <f t="shared" ref="N142:N143" si="97">+J142/E142</f>
        <v>#DIV/0!</v>
      </c>
      <c r="O142" s="705"/>
      <c r="P142" s="81">
        <f t="shared" si="95"/>
        <v>0</v>
      </c>
      <c r="Q142" s="81">
        <f t="shared" si="95"/>
        <v>0</v>
      </c>
      <c r="R142" s="81">
        <f t="shared" si="95"/>
        <v>0</v>
      </c>
      <c r="S142" s="81">
        <f t="shared" si="93"/>
        <v>0</v>
      </c>
      <c r="T142" s="85">
        <f t="shared" si="94"/>
        <v>0</v>
      </c>
      <c r="U142" s="192"/>
      <c r="V142" s="196">
        <f t="shared" si="96"/>
        <v>0</v>
      </c>
    </row>
    <row r="143" spans="1:22" x14ac:dyDescent="0.25">
      <c r="A143" s="14" t="s">
        <v>199</v>
      </c>
      <c r="B143" s="20" t="s">
        <v>200</v>
      </c>
      <c r="C143" s="71">
        <v>0</v>
      </c>
      <c r="D143" s="69">
        <v>0</v>
      </c>
      <c r="E143" s="69">
        <v>0</v>
      </c>
      <c r="F143" s="69"/>
      <c r="G143" s="69"/>
      <c r="H143" s="81"/>
      <c r="I143" s="81"/>
      <c r="J143" s="81"/>
      <c r="K143" s="69"/>
      <c r="L143" s="690"/>
      <c r="M143" s="690"/>
      <c r="N143" s="690" t="e">
        <f t="shared" si="97"/>
        <v>#DIV/0!</v>
      </c>
      <c r="O143" s="705"/>
      <c r="P143" s="81">
        <f t="shared" si="95"/>
        <v>0</v>
      </c>
      <c r="Q143" s="81">
        <f t="shared" si="95"/>
        <v>0</v>
      </c>
      <c r="R143" s="81">
        <f t="shared" si="95"/>
        <v>0</v>
      </c>
      <c r="S143" s="81">
        <f t="shared" si="93"/>
        <v>0</v>
      </c>
      <c r="T143" s="85">
        <f t="shared" si="94"/>
        <v>0</v>
      </c>
      <c r="U143" s="192"/>
      <c r="V143" s="196">
        <f t="shared" si="96"/>
        <v>0</v>
      </c>
    </row>
    <row r="144" spans="1:22" x14ac:dyDescent="0.25">
      <c r="C144" s="71"/>
      <c r="D144" s="69"/>
      <c r="E144" s="69"/>
      <c r="F144" s="69"/>
      <c r="G144" s="69"/>
      <c r="H144" s="81"/>
      <c r="I144" s="81"/>
      <c r="J144" s="81"/>
      <c r="K144" s="69"/>
      <c r="L144" s="690"/>
      <c r="M144" s="690"/>
      <c r="N144" s="690"/>
      <c r="O144" s="705"/>
      <c r="P144" s="81"/>
      <c r="Q144" s="81"/>
      <c r="R144" s="81"/>
      <c r="S144" s="81"/>
      <c r="T144" s="85"/>
      <c r="U144" s="192"/>
      <c r="V144" s="196">
        <f t="shared" si="96"/>
        <v>0</v>
      </c>
    </row>
    <row r="145" spans="1:22" x14ac:dyDescent="0.25">
      <c r="A145" s="4" t="s">
        <v>201</v>
      </c>
      <c r="B145" s="3" t="s">
        <v>202</v>
      </c>
      <c r="C145" s="66">
        <f>+C146+C166</f>
        <v>535243607.02999997</v>
      </c>
      <c r="D145" s="66">
        <f t="shared" ref="D145:E145" si="98">+D146+D166</f>
        <v>544090785</v>
      </c>
      <c r="E145" s="66">
        <f t="shared" si="98"/>
        <v>547364785</v>
      </c>
      <c r="F145" s="66">
        <f t="shared" ref="F145" si="99">SUM(F146:F166)</f>
        <v>0</v>
      </c>
      <c r="G145" s="66"/>
      <c r="H145" s="66">
        <f>+H146+H166</f>
        <v>277698930</v>
      </c>
      <c r="I145" s="66">
        <f t="shared" ref="I145" si="100">+I146+I166</f>
        <v>402220672</v>
      </c>
      <c r="J145" s="66">
        <f t="shared" ref="J145" si="101">+J146+J166</f>
        <v>0</v>
      </c>
      <c r="K145" s="66"/>
      <c r="L145" s="691">
        <f t="shared" ref="L145:L161" si="102">IF(H145&gt;0,H145/C145,0)</f>
        <v>0.51882717766759834</v>
      </c>
      <c r="M145" s="691">
        <f t="shared" ref="M145:M161" si="103">IF(I145&gt;0,I145/D145,0)</f>
        <v>0.73925286567755411</v>
      </c>
      <c r="N145" s="691">
        <f t="shared" ref="N145:N161" si="104">IF(J145&gt;0,J145/E145,0)</f>
        <v>0</v>
      </c>
      <c r="O145" s="706"/>
      <c r="P145" s="83">
        <f>IF(D145&gt;0,+D145-C145,0)</f>
        <v>8847177.9700000286</v>
      </c>
      <c r="Q145" s="83">
        <f>IF(E145&gt;0,+E145-D145,0)</f>
        <v>3274000</v>
      </c>
      <c r="R145" s="83">
        <f>IF(F145&gt;0,+F145-E145,0)</f>
        <v>0</v>
      </c>
      <c r="S145" s="83">
        <f t="shared" ref="S145:S159" si="105">+P145*P$8+Q145*Q$8+Q145*G$8</f>
        <v>12121177.970000029</v>
      </c>
      <c r="T145" s="85">
        <f t="shared" ref="T145:T159" si="106">IF(C145=0,0,+S145/C145)</f>
        <v>2.2646095741822931E-2</v>
      </c>
      <c r="U145" s="194"/>
      <c r="V145" s="196">
        <f t="shared" si="96"/>
        <v>0</v>
      </c>
    </row>
    <row r="146" spans="1:22" x14ac:dyDescent="0.25">
      <c r="A146" s="769" t="s">
        <v>203</v>
      </c>
      <c r="B146" s="770" t="s">
        <v>204</v>
      </c>
      <c r="C146" s="71">
        <f>+C147+C153+C158+C159+C161+C163+C164+C165</f>
        <v>535243607.02999997</v>
      </c>
      <c r="D146" s="71">
        <f t="shared" ref="D146:E146" si="107">+D147+D153+D158+D159+D161+D163+D164+D165</f>
        <v>544090785</v>
      </c>
      <c r="E146" s="71">
        <f t="shared" si="107"/>
        <v>547364785</v>
      </c>
      <c r="F146" s="69"/>
      <c r="G146" s="69"/>
      <c r="H146" s="71">
        <f>+H147+H153+H158+H159+H161+H163+H164+H165</f>
        <v>277698930</v>
      </c>
      <c r="I146" s="71">
        <f t="shared" ref="I146" si="108">+I147+I153+I158+I159+I161+I163+I164+I165</f>
        <v>402220672</v>
      </c>
      <c r="J146" s="71">
        <f t="shared" ref="J146" si="109">+J147+J153+J158+J159+J161+J163+J164+J165</f>
        <v>0</v>
      </c>
      <c r="K146" s="69"/>
      <c r="L146" s="721">
        <f t="shared" si="102"/>
        <v>0.51882717766759834</v>
      </c>
      <c r="M146" s="721">
        <f t="shared" si="103"/>
        <v>0.73925286567755411</v>
      </c>
      <c r="N146" s="721">
        <f t="shared" si="104"/>
        <v>0</v>
      </c>
      <c r="O146" s="705"/>
      <c r="P146" s="81">
        <f t="shared" ref="P146:P159" si="110">+(D146-C146)*P$8</f>
        <v>8847177.9700000286</v>
      </c>
      <c r="Q146" s="81">
        <f t="shared" ref="Q146:Q159" si="111">+(E146-D146)*Q$8</f>
        <v>3274000</v>
      </c>
      <c r="R146" s="81">
        <f t="shared" ref="R146:R159" si="112">+(F146-E146)*R$8</f>
        <v>0</v>
      </c>
      <c r="S146" s="81">
        <f t="shared" si="105"/>
        <v>12121177.970000029</v>
      </c>
      <c r="T146" s="85">
        <f t="shared" si="106"/>
        <v>2.2646095741822931E-2</v>
      </c>
      <c r="U146" s="192"/>
      <c r="V146" s="196">
        <f t="shared" si="96"/>
        <v>0</v>
      </c>
    </row>
    <row r="147" spans="1:22" x14ac:dyDescent="0.25">
      <c r="A147" s="14" t="s">
        <v>205</v>
      </c>
      <c r="B147" s="20" t="s">
        <v>206</v>
      </c>
      <c r="C147" s="71">
        <f>+C148+C149+C151</f>
        <v>0</v>
      </c>
      <c r="D147" s="69">
        <f t="shared" ref="D147:E147" si="113">+D148+D149+D151</f>
        <v>0</v>
      </c>
      <c r="E147" s="69">
        <f t="shared" si="113"/>
        <v>0</v>
      </c>
      <c r="F147" s="69"/>
      <c r="G147" s="69"/>
      <c r="H147" s="71">
        <f t="shared" ref="H147:J147" si="114">+H148+H149+H151</f>
        <v>0</v>
      </c>
      <c r="I147" s="71">
        <f t="shared" si="114"/>
        <v>0</v>
      </c>
      <c r="J147" s="71">
        <f t="shared" si="114"/>
        <v>0</v>
      </c>
      <c r="K147" s="69"/>
      <c r="L147" s="721">
        <f t="shared" si="102"/>
        <v>0</v>
      </c>
      <c r="M147" s="721">
        <f t="shared" si="103"/>
        <v>0</v>
      </c>
      <c r="N147" s="721">
        <f t="shared" si="104"/>
        <v>0</v>
      </c>
      <c r="O147" s="705"/>
      <c r="P147" s="81">
        <f t="shared" si="110"/>
        <v>0</v>
      </c>
      <c r="Q147" s="81">
        <f t="shared" si="111"/>
        <v>0</v>
      </c>
      <c r="R147" s="81">
        <f t="shared" si="112"/>
        <v>0</v>
      </c>
      <c r="S147" s="81">
        <f t="shared" si="105"/>
        <v>0</v>
      </c>
      <c r="T147" s="85">
        <f t="shared" si="106"/>
        <v>0</v>
      </c>
      <c r="U147" s="192"/>
      <c r="V147" s="196">
        <f t="shared" si="96"/>
        <v>0</v>
      </c>
    </row>
    <row r="148" spans="1:22" x14ac:dyDescent="0.25">
      <c r="A148" s="14" t="s">
        <v>207</v>
      </c>
      <c r="B148" s="20" t="s">
        <v>208</v>
      </c>
      <c r="C148" s="71"/>
      <c r="D148" s="69"/>
      <c r="E148" s="69">
        <v>0</v>
      </c>
      <c r="F148" s="69"/>
      <c r="G148" s="69"/>
      <c r="H148" s="81"/>
      <c r="I148" s="81"/>
      <c r="J148" s="81"/>
      <c r="K148" s="69"/>
      <c r="L148" s="721">
        <f t="shared" si="102"/>
        <v>0</v>
      </c>
      <c r="M148" s="721">
        <f t="shared" si="103"/>
        <v>0</v>
      </c>
      <c r="N148" s="721">
        <f t="shared" si="104"/>
        <v>0</v>
      </c>
      <c r="O148" s="705"/>
      <c r="P148" s="81">
        <f t="shared" si="110"/>
        <v>0</v>
      </c>
      <c r="Q148" s="81">
        <f t="shared" si="111"/>
        <v>0</v>
      </c>
      <c r="R148" s="81">
        <f t="shared" si="112"/>
        <v>0</v>
      </c>
      <c r="S148" s="81">
        <f t="shared" si="105"/>
        <v>0</v>
      </c>
      <c r="T148" s="85">
        <f t="shared" si="106"/>
        <v>0</v>
      </c>
      <c r="U148" s="192"/>
      <c r="V148" s="196">
        <f t="shared" si="96"/>
        <v>0</v>
      </c>
    </row>
    <row r="149" spans="1:22" ht="26.4" x14ac:dyDescent="0.25">
      <c r="A149" s="14" t="s">
        <v>209</v>
      </c>
      <c r="B149" s="20" t="s">
        <v>210</v>
      </c>
      <c r="C149" s="71"/>
      <c r="D149" s="69"/>
      <c r="E149" s="69">
        <v>0</v>
      </c>
      <c r="F149" s="69"/>
      <c r="G149" s="69"/>
      <c r="H149" s="81"/>
      <c r="I149" s="81"/>
      <c r="J149" s="81"/>
      <c r="K149" s="69"/>
      <c r="L149" s="721">
        <f t="shared" si="102"/>
        <v>0</v>
      </c>
      <c r="M149" s="721">
        <f t="shared" si="103"/>
        <v>0</v>
      </c>
      <c r="N149" s="721">
        <f t="shared" si="104"/>
        <v>0</v>
      </c>
      <c r="O149" s="705"/>
      <c r="P149" s="81">
        <f t="shared" si="110"/>
        <v>0</v>
      </c>
      <c r="Q149" s="81">
        <f t="shared" si="111"/>
        <v>0</v>
      </c>
      <c r="R149" s="81">
        <f t="shared" si="112"/>
        <v>0</v>
      </c>
      <c r="S149" s="81">
        <f t="shared" si="105"/>
        <v>0</v>
      </c>
      <c r="T149" s="85">
        <f t="shared" si="106"/>
        <v>0</v>
      </c>
      <c r="U149" s="192"/>
      <c r="V149" s="196">
        <f t="shared" si="96"/>
        <v>0</v>
      </c>
    </row>
    <row r="150" spans="1:22" ht="26.4" x14ac:dyDescent="0.25">
      <c r="B150" s="20" t="s">
        <v>211</v>
      </c>
      <c r="C150" s="71"/>
      <c r="D150" s="69"/>
      <c r="E150" s="69">
        <v>0</v>
      </c>
      <c r="F150" s="69"/>
      <c r="G150" s="69"/>
      <c r="H150" s="81"/>
      <c r="I150" s="81"/>
      <c r="J150" s="81"/>
      <c r="K150" s="69"/>
      <c r="L150" s="721">
        <f t="shared" si="102"/>
        <v>0</v>
      </c>
      <c r="M150" s="721">
        <f t="shared" si="103"/>
        <v>0</v>
      </c>
      <c r="N150" s="721">
        <f t="shared" si="104"/>
        <v>0</v>
      </c>
      <c r="O150" s="705"/>
      <c r="P150" s="81">
        <f t="shared" si="110"/>
        <v>0</v>
      </c>
      <c r="Q150" s="81">
        <f t="shared" si="111"/>
        <v>0</v>
      </c>
      <c r="R150" s="81">
        <f t="shared" si="112"/>
        <v>0</v>
      </c>
      <c r="S150" s="81">
        <f t="shared" si="105"/>
        <v>0</v>
      </c>
      <c r="T150" s="85">
        <f t="shared" si="106"/>
        <v>0</v>
      </c>
      <c r="U150" s="192"/>
      <c r="V150" s="196">
        <f t="shared" si="96"/>
        <v>0</v>
      </c>
    </row>
    <row r="151" spans="1:22" x14ac:dyDescent="0.25">
      <c r="A151" s="14" t="s">
        <v>212</v>
      </c>
      <c r="B151" s="20" t="s">
        <v>213</v>
      </c>
      <c r="C151" s="71"/>
      <c r="D151" s="69"/>
      <c r="E151" s="69">
        <v>0</v>
      </c>
      <c r="F151" s="69"/>
      <c r="G151" s="69"/>
      <c r="H151" s="81"/>
      <c r="I151" s="81"/>
      <c r="J151" s="81"/>
      <c r="K151" s="69"/>
      <c r="L151" s="721">
        <f t="shared" si="102"/>
        <v>0</v>
      </c>
      <c r="M151" s="721">
        <f t="shared" si="103"/>
        <v>0</v>
      </c>
      <c r="N151" s="721">
        <f t="shared" si="104"/>
        <v>0</v>
      </c>
      <c r="O151" s="705"/>
      <c r="P151" s="81">
        <f t="shared" si="110"/>
        <v>0</v>
      </c>
      <c r="Q151" s="81">
        <f t="shared" si="111"/>
        <v>0</v>
      </c>
      <c r="R151" s="81">
        <f t="shared" si="112"/>
        <v>0</v>
      </c>
      <c r="S151" s="81">
        <f t="shared" si="105"/>
        <v>0</v>
      </c>
      <c r="T151" s="85">
        <f t="shared" si="106"/>
        <v>0</v>
      </c>
      <c r="U151" s="192"/>
      <c r="V151" s="196">
        <f t="shared" si="96"/>
        <v>0</v>
      </c>
    </row>
    <row r="152" spans="1:22" ht="26.4" x14ac:dyDescent="0.25">
      <c r="B152" s="20" t="s">
        <v>214</v>
      </c>
      <c r="C152" s="71"/>
      <c r="D152" s="69"/>
      <c r="E152" s="69">
        <v>0</v>
      </c>
      <c r="F152" s="69"/>
      <c r="G152" s="69"/>
      <c r="H152" s="81"/>
      <c r="I152" s="81"/>
      <c r="J152" s="81"/>
      <c r="K152" s="69"/>
      <c r="L152" s="721">
        <f t="shared" si="102"/>
        <v>0</v>
      </c>
      <c r="M152" s="721">
        <f t="shared" si="103"/>
        <v>0</v>
      </c>
      <c r="N152" s="721">
        <f t="shared" si="104"/>
        <v>0</v>
      </c>
      <c r="O152" s="705"/>
      <c r="P152" s="81">
        <f t="shared" si="110"/>
        <v>0</v>
      </c>
      <c r="Q152" s="81">
        <f t="shared" si="111"/>
        <v>0</v>
      </c>
      <c r="R152" s="81">
        <f t="shared" si="112"/>
        <v>0</v>
      </c>
      <c r="S152" s="81">
        <f t="shared" si="105"/>
        <v>0</v>
      </c>
      <c r="T152" s="85">
        <f t="shared" si="106"/>
        <v>0</v>
      </c>
      <c r="U152" s="192"/>
      <c r="V152" s="196">
        <f t="shared" si="96"/>
        <v>0</v>
      </c>
    </row>
    <row r="153" spans="1:22" x14ac:dyDescent="0.25">
      <c r="A153" s="14" t="s">
        <v>215</v>
      </c>
      <c r="B153" s="20" t="s">
        <v>216</v>
      </c>
      <c r="C153" s="71">
        <f>+C154+C155+C156+C157</f>
        <v>0</v>
      </c>
      <c r="D153" s="71">
        <f t="shared" ref="D153:E153" si="115">+D154+D155+D156+D157</f>
        <v>0</v>
      </c>
      <c r="E153" s="71">
        <f t="shared" si="115"/>
        <v>0</v>
      </c>
      <c r="F153" s="69"/>
      <c r="G153" s="69"/>
      <c r="H153" s="71">
        <f t="shared" ref="H153:J153" si="116">+H154+H155+H156+H157</f>
        <v>0</v>
      </c>
      <c r="I153" s="71">
        <f t="shared" si="116"/>
        <v>0</v>
      </c>
      <c r="J153" s="71">
        <f t="shared" si="116"/>
        <v>0</v>
      </c>
      <c r="K153" s="69"/>
      <c r="L153" s="721">
        <f t="shared" si="102"/>
        <v>0</v>
      </c>
      <c r="M153" s="721">
        <f t="shared" si="103"/>
        <v>0</v>
      </c>
      <c r="N153" s="721">
        <f t="shared" si="104"/>
        <v>0</v>
      </c>
      <c r="O153" s="705"/>
      <c r="P153" s="81">
        <f t="shared" si="110"/>
        <v>0</v>
      </c>
      <c r="Q153" s="81">
        <f t="shared" si="111"/>
        <v>0</v>
      </c>
      <c r="R153" s="81">
        <f t="shared" si="112"/>
        <v>0</v>
      </c>
      <c r="S153" s="81">
        <f t="shared" si="105"/>
        <v>0</v>
      </c>
      <c r="T153" s="85">
        <f t="shared" si="106"/>
        <v>0</v>
      </c>
      <c r="U153" s="192"/>
      <c r="V153" s="196">
        <f t="shared" si="96"/>
        <v>0</v>
      </c>
    </row>
    <row r="154" spans="1:22" x14ac:dyDescent="0.25">
      <c r="A154" s="14" t="s">
        <v>217</v>
      </c>
      <c r="B154" s="20" t="s">
        <v>218</v>
      </c>
      <c r="C154" s="71"/>
      <c r="D154" s="69"/>
      <c r="E154" s="69"/>
      <c r="F154" s="69"/>
      <c r="G154" s="69"/>
      <c r="H154" s="81"/>
      <c r="I154" s="81"/>
      <c r="J154" s="81"/>
      <c r="K154" s="69"/>
      <c r="L154" s="721">
        <f t="shared" si="102"/>
        <v>0</v>
      </c>
      <c r="M154" s="721">
        <f t="shared" si="103"/>
        <v>0</v>
      </c>
      <c r="N154" s="721">
        <f t="shared" si="104"/>
        <v>0</v>
      </c>
      <c r="O154" s="705"/>
      <c r="P154" s="81">
        <f t="shared" si="110"/>
        <v>0</v>
      </c>
      <c r="Q154" s="81">
        <f t="shared" si="111"/>
        <v>0</v>
      </c>
      <c r="R154" s="81">
        <f t="shared" si="112"/>
        <v>0</v>
      </c>
      <c r="S154" s="81">
        <f t="shared" si="105"/>
        <v>0</v>
      </c>
      <c r="T154" s="85">
        <f t="shared" si="106"/>
        <v>0</v>
      </c>
      <c r="U154" s="192"/>
      <c r="V154" s="196">
        <f t="shared" si="96"/>
        <v>0</v>
      </c>
    </row>
    <row r="155" spans="1:22" x14ac:dyDescent="0.25">
      <c r="A155" s="14" t="s">
        <v>219</v>
      </c>
      <c r="B155" s="20" t="s">
        <v>221</v>
      </c>
      <c r="C155" s="71"/>
      <c r="D155" s="69"/>
      <c r="E155" s="69"/>
      <c r="F155" s="69"/>
      <c r="G155" s="69"/>
      <c r="H155" s="81"/>
      <c r="I155" s="81"/>
      <c r="J155" s="81"/>
      <c r="K155" s="69"/>
      <c r="L155" s="721">
        <f t="shared" si="102"/>
        <v>0</v>
      </c>
      <c r="M155" s="721">
        <f t="shared" si="103"/>
        <v>0</v>
      </c>
      <c r="N155" s="721">
        <f t="shared" si="104"/>
        <v>0</v>
      </c>
      <c r="O155" s="705"/>
      <c r="P155" s="81">
        <f t="shared" si="110"/>
        <v>0</v>
      </c>
      <c r="Q155" s="81">
        <f t="shared" si="111"/>
        <v>0</v>
      </c>
      <c r="R155" s="81">
        <f t="shared" si="112"/>
        <v>0</v>
      </c>
      <c r="S155" s="81">
        <f t="shared" si="105"/>
        <v>0</v>
      </c>
      <c r="T155" s="85">
        <f t="shared" si="106"/>
        <v>0</v>
      </c>
      <c r="U155" s="192"/>
      <c r="V155" s="196">
        <f t="shared" si="96"/>
        <v>0</v>
      </c>
    </row>
    <row r="156" spans="1:22" x14ac:dyDescent="0.25">
      <c r="A156" s="14" t="s">
        <v>220</v>
      </c>
      <c r="B156" s="20" t="s">
        <v>222</v>
      </c>
      <c r="C156" s="71"/>
      <c r="D156" s="69"/>
      <c r="E156" s="69"/>
      <c r="F156" s="69"/>
      <c r="G156" s="69"/>
      <c r="H156" s="81"/>
      <c r="I156" s="81"/>
      <c r="J156" s="81"/>
      <c r="K156" s="69"/>
      <c r="L156" s="721">
        <f t="shared" si="102"/>
        <v>0</v>
      </c>
      <c r="M156" s="721">
        <f t="shared" si="103"/>
        <v>0</v>
      </c>
      <c r="N156" s="721">
        <f t="shared" si="104"/>
        <v>0</v>
      </c>
      <c r="O156" s="705"/>
      <c r="P156" s="81">
        <f t="shared" si="110"/>
        <v>0</v>
      </c>
      <c r="Q156" s="81">
        <f t="shared" si="111"/>
        <v>0</v>
      </c>
      <c r="R156" s="81">
        <f t="shared" si="112"/>
        <v>0</v>
      </c>
      <c r="S156" s="81">
        <f t="shared" si="105"/>
        <v>0</v>
      </c>
      <c r="T156" s="85">
        <f t="shared" si="106"/>
        <v>0</v>
      </c>
      <c r="U156" s="192"/>
      <c r="V156" s="196">
        <f t="shared" si="96"/>
        <v>0</v>
      </c>
    </row>
    <row r="157" spans="1:22" x14ac:dyDescent="0.25">
      <c r="A157" s="14" t="s">
        <v>223</v>
      </c>
      <c r="B157" s="20" t="s">
        <v>224</v>
      </c>
      <c r="C157" s="71"/>
      <c r="D157" s="69"/>
      <c r="E157" s="69"/>
      <c r="F157" s="69"/>
      <c r="G157" s="69"/>
      <c r="H157" s="81"/>
      <c r="I157" s="81"/>
      <c r="J157" s="81"/>
      <c r="K157" s="69"/>
      <c r="L157" s="721">
        <f t="shared" si="102"/>
        <v>0</v>
      </c>
      <c r="M157" s="721">
        <f t="shared" si="103"/>
        <v>0</v>
      </c>
      <c r="N157" s="721">
        <f t="shared" si="104"/>
        <v>0</v>
      </c>
      <c r="O157" s="705"/>
      <c r="P157" s="81">
        <f t="shared" si="110"/>
        <v>0</v>
      </c>
      <c r="Q157" s="81">
        <f t="shared" si="111"/>
        <v>0</v>
      </c>
      <c r="R157" s="81">
        <f t="shared" si="112"/>
        <v>0</v>
      </c>
      <c r="S157" s="81">
        <f t="shared" si="105"/>
        <v>0</v>
      </c>
      <c r="T157" s="85">
        <f t="shared" si="106"/>
        <v>0</v>
      </c>
      <c r="U157" s="192"/>
      <c r="V157" s="196">
        <f t="shared" si="96"/>
        <v>0</v>
      </c>
    </row>
    <row r="158" spans="1:22" x14ac:dyDescent="0.25">
      <c r="A158" s="14" t="s">
        <v>225</v>
      </c>
      <c r="B158" s="20" t="s">
        <v>226</v>
      </c>
      <c r="C158" s="142"/>
      <c r="D158" s="69"/>
      <c r="E158" s="69"/>
      <c r="F158" s="69"/>
      <c r="G158" s="69"/>
      <c r="H158" s="81"/>
      <c r="I158" s="81"/>
      <c r="J158" s="81"/>
      <c r="K158" s="69"/>
      <c r="L158" s="721">
        <f t="shared" si="102"/>
        <v>0</v>
      </c>
      <c r="M158" s="721">
        <f t="shared" si="103"/>
        <v>0</v>
      </c>
      <c r="N158" s="721">
        <f t="shared" si="104"/>
        <v>0</v>
      </c>
      <c r="O158" s="705"/>
      <c r="P158" s="81">
        <f t="shared" si="110"/>
        <v>0</v>
      </c>
      <c r="Q158" s="81">
        <f t="shared" si="111"/>
        <v>0</v>
      </c>
      <c r="R158" s="81">
        <f t="shared" si="112"/>
        <v>0</v>
      </c>
      <c r="S158" s="81">
        <f t="shared" si="105"/>
        <v>0</v>
      </c>
      <c r="T158" s="85">
        <f t="shared" si="106"/>
        <v>0</v>
      </c>
      <c r="U158" s="192"/>
      <c r="V158" s="196">
        <f t="shared" si="96"/>
        <v>0</v>
      </c>
    </row>
    <row r="159" spans="1:22" x14ac:dyDescent="0.25">
      <c r="A159" s="14" t="s">
        <v>227</v>
      </c>
      <c r="B159" s="20" t="s">
        <v>228</v>
      </c>
      <c r="C159" s="142">
        <v>17918748</v>
      </c>
      <c r="D159" s="142">
        <v>17918748</v>
      </c>
      <c r="E159" s="142">
        <v>17918748</v>
      </c>
      <c r="F159" s="69"/>
      <c r="G159" s="69"/>
      <c r="H159" s="142">
        <v>17918748</v>
      </c>
      <c r="I159" s="142">
        <v>17918748</v>
      </c>
      <c r="J159" s="81"/>
      <c r="K159" s="69"/>
      <c r="L159" s="721">
        <f t="shared" si="102"/>
        <v>1</v>
      </c>
      <c r="M159" s="721">
        <f t="shared" si="103"/>
        <v>1</v>
      </c>
      <c r="N159" s="721">
        <f t="shared" si="104"/>
        <v>0</v>
      </c>
      <c r="O159" s="705"/>
      <c r="P159" s="81">
        <f t="shared" si="110"/>
        <v>0</v>
      </c>
      <c r="Q159" s="81">
        <f t="shared" si="111"/>
        <v>0</v>
      </c>
      <c r="R159" s="81">
        <f t="shared" si="112"/>
        <v>0</v>
      </c>
      <c r="S159" s="81">
        <f t="shared" si="105"/>
        <v>0</v>
      </c>
      <c r="T159" s="85">
        <f t="shared" si="106"/>
        <v>0</v>
      </c>
      <c r="U159" s="192"/>
      <c r="V159" s="196">
        <f t="shared" si="96"/>
        <v>0</v>
      </c>
    </row>
    <row r="160" spans="1:22" x14ac:dyDescent="0.25">
      <c r="B160" s="20" t="s">
        <v>229</v>
      </c>
      <c r="C160" s="71"/>
      <c r="D160" s="69"/>
      <c r="E160" s="69"/>
      <c r="F160" s="69"/>
      <c r="G160" s="69"/>
      <c r="H160" s="81"/>
      <c r="I160" s="81"/>
      <c r="J160" s="81"/>
      <c r="K160" s="69"/>
      <c r="L160" s="721">
        <f t="shared" si="102"/>
        <v>0</v>
      </c>
      <c r="M160" s="721">
        <f t="shared" si="103"/>
        <v>0</v>
      </c>
      <c r="N160" s="721">
        <f t="shared" si="104"/>
        <v>0</v>
      </c>
      <c r="O160" s="705"/>
      <c r="P160" s="81">
        <f t="shared" ref="P160:P166" si="117">+(D160-C160)*P$8</f>
        <v>0</v>
      </c>
      <c r="Q160" s="81">
        <f t="shared" ref="Q160:Q166" si="118">+(E160-D160)*Q$8</f>
        <v>0</v>
      </c>
      <c r="R160" s="81">
        <f t="shared" ref="R160:R166" si="119">+(F160-E160)*R$8</f>
        <v>0</v>
      </c>
      <c r="S160" s="81">
        <f t="shared" ref="S160:S166" si="120">+P160*P$8+Q160*Q$8+Q160*G$8</f>
        <v>0</v>
      </c>
      <c r="T160" s="85">
        <f t="shared" ref="T160:T166" si="121">IF(C160=0,0,+S160/C160)</f>
        <v>0</v>
      </c>
      <c r="U160" s="192"/>
      <c r="V160" s="196">
        <f t="shared" si="96"/>
        <v>0</v>
      </c>
    </row>
    <row r="161" spans="1:22" x14ac:dyDescent="0.25">
      <c r="A161" s="532" t="s">
        <v>230</v>
      </c>
      <c r="B161" s="485" t="s">
        <v>231</v>
      </c>
      <c r="C161" s="142">
        <f>+'4. Dr Gáspár HSZK'!C100+'5. Csicsergő'!C100+'6. Gólyahír'!C100+'7. Polg.Hiv.'!C100+'8. WAMKK'!C100+'9. Közp. Konyha'!C100</f>
        <v>517324859.02999997</v>
      </c>
      <c r="D161" s="143">
        <v>526172037</v>
      </c>
      <c r="E161" s="143">
        <v>529446037</v>
      </c>
      <c r="F161" s="69"/>
      <c r="G161" s="69"/>
      <c r="H161" s="81">
        <v>259780182</v>
      </c>
      <c r="I161" s="81">
        <v>384301924</v>
      </c>
      <c r="J161" s="81"/>
      <c r="K161" s="69"/>
      <c r="L161" s="721">
        <f t="shared" si="102"/>
        <v>0.50216063942315825</v>
      </c>
      <c r="M161" s="721">
        <f t="shared" si="103"/>
        <v>0.73037314219721639</v>
      </c>
      <c r="N161" s="721">
        <f t="shared" si="104"/>
        <v>0</v>
      </c>
      <c r="O161" s="705"/>
      <c r="P161" s="81">
        <f t="shared" si="117"/>
        <v>8847177.9700000286</v>
      </c>
      <c r="Q161" s="81">
        <f t="shared" si="118"/>
        <v>3274000</v>
      </c>
      <c r="R161" s="81">
        <f t="shared" si="119"/>
        <v>0</v>
      </c>
      <c r="S161" s="81">
        <f t="shared" si="120"/>
        <v>12121177.970000029</v>
      </c>
      <c r="T161" s="85">
        <f t="shared" si="121"/>
        <v>2.34304958642962E-2</v>
      </c>
      <c r="U161" s="192"/>
      <c r="V161" s="196">
        <f t="shared" si="96"/>
        <v>0</v>
      </c>
    </row>
    <row r="162" spans="1:22" x14ac:dyDescent="0.25">
      <c r="B162" s="20" t="s">
        <v>232</v>
      </c>
      <c r="C162" s="71"/>
      <c r="D162" s="69"/>
      <c r="E162" s="69"/>
      <c r="F162" s="69"/>
      <c r="G162" s="69"/>
      <c r="H162" s="81"/>
      <c r="I162" s="81"/>
      <c r="J162" s="81"/>
      <c r="K162" s="69"/>
      <c r="L162" s="721">
        <f t="shared" ref="L162:L166" si="122">IF(H162&gt;0,H162/C162,0)</f>
        <v>0</v>
      </c>
      <c r="M162" s="721">
        <f t="shared" ref="M162:M166" si="123">IF(I162&gt;0,I162/D162,0)</f>
        <v>0</v>
      </c>
      <c r="N162" s="721" t="e">
        <f t="shared" ref="N162:N166" si="124">+J162/E162</f>
        <v>#DIV/0!</v>
      </c>
      <c r="O162" s="705"/>
      <c r="P162" s="81">
        <f t="shared" si="117"/>
        <v>0</v>
      </c>
      <c r="Q162" s="81">
        <f t="shared" si="118"/>
        <v>0</v>
      </c>
      <c r="R162" s="81">
        <f t="shared" si="119"/>
        <v>0</v>
      </c>
      <c r="S162" s="81">
        <f t="shared" si="120"/>
        <v>0</v>
      </c>
      <c r="T162" s="85">
        <f t="shared" si="121"/>
        <v>0</v>
      </c>
      <c r="U162" s="192"/>
      <c r="V162" s="196">
        <f t="shared" si="96"/>
        <v>0</v>
      </c>
    </row>
    <row r="163" spans="1:22" x14ac:dyDescent="0.25">
      <c r="A163" s="14" t="s">
        <v>233</v>
      </c>
      <c r="B163" s="20" t="s">
        <v>234</v>
      </c>
      <c r="C163" s="71"/>
      <c r="D163" s="69"/>
      <c r="E163" s="69"/>
      <c r="F163" s="69"/>
      <c r="G163" s="69"/>
      <c r="H163" s="81"/>
      <c r="I163" s="81"/>
      <c r="J163" s="81"/>
      <c r="K163" s="69"/>
      <c r="L163" s="721">
        <f t="shared" si="122"/>
        <v>0</v>
      </c>
      <c r="M163" s="721">
        <f t="shared" si="123"/>
        <v>0</v>
      </c>
      <c r="N163" s="721" t="e">
        <f t="shared" si="124"/>
        <v>#DIV/0!</v>
      </c>
      <c r="O163" s="705"/>
      <c r="P163" s="81">
        <f t="shared" si="117"/>
        <v>0</v>
      </c>
      <c r="Q163" s="81">
        <f t="shared" si="118"/>
        <v>0</v>
      </c>
      <c r="R163" s="81">
        <f t="shared" si="119"/>
        <v>0</v>
      </c>
      <c r="S163" s="81">
        <f t="shared" si="120"/>
        <v>0</v>
      </c>
      <c r="T163" s="85">
        <f t="shared" si="121"/>
        <v>0</v>
      </c>
      <c r="U163" s="192"/>
      <c r="V163" s="196">
        <f t="shared" si="96"/>
        <v>0</v>
      </c>
    </row>
    <row r="164" spans="1:22" x14ac:dyDescent="0.25">
      <c r="A164" s="14" t="s">
        <v>235</v>
      </c>
      <c r="B164" s="20" t="s">
        <v>236</v>
      </c>
      <c r="C164" s="71"/>
      <c r="D164" s="69"/>
      <c r="E164" s="69"/>
      <c r="F164" s="69"/>
      <c r="G164" s="69"/>
      <c r="H164" s="81"/>
      <c r="I164" s="81"/>
      <c r="J164" s="81"/>
      <c r="K164" s="69"/>
      <c r="L164" s="721">
        <f t="shared" si="122"/>
        <v>0</v>
      </c>
      <c r="M164" s="721">
        <f t="shared" si="123"/>
        <v>0</v>
      </c>
      <c r="N164" s="721" t="e">
        <f t="shared" si="124"/>
        <v>#DIV/0!</v>
      </c>
      <c r="O164" s="705"/>
      <c r="P164" s="81">
        <f t="shared" si="117"/>
        <v>0</v>
      </c>
      <c r="Q164" s="81">
        <f t="shared" si="118"/>
        <v>0</v>
      </c>
      <c r="R164" s="81">
        <f t="shared" si="119"/>
        <v>0</v>
      </c>
      <c r="S164" s="81">
        <f t="shared" si="120"/>
        <v>0</v>
      </c>
      <c r="T164" s="85">
        <f t="shared" si="121"/>
        <v>0</v>
      </c>
      <c r="U164" s="192"/>
      <c r="V164" s="196">
        <f t="shared" si="96"/>
        <v>0</v>
      </c>
    </row>
    <row r="165" spans="1:22" x14ac:dyDescent="0.25">
      <c r="A165" s="14" t="s">
        <v>237</v>
      </c>
      <c r="B165" s="20" t="s">
        <v>238</v>
      </c>
      <c r="C165" s="71"/>
      <c r="D165" s="69"/>
      <c r="E165" s="69"/>
      <c r="F165" s="69"/>
      <c r="G165" s="69"/>
      <c r="H165" s="81"/>
      <c r="I165" s="81"/>
      <c r="J165" s="81"/>
      <c r="K165" s="69"/>
      <c r="L165" s="721">
        <f t="shared" si="122"/>
        <v>0</v>
      </c>
      <c r="M165" s="721">
        <f t="shared" si="123"/>
        <v>0</v>
      </c>
      <c r="N165" s="721" t="e">
        <f t="shared" si="124"/>
        <v>#DIV/0!</v>
      </c>
      <c r="O165" s="705"/>
      <c r="P165" s="81">
        <f t="shared" si="117"/>
        <v>0</v>
      </c>
      <c r="Q165" s="81">
        <f t="shared" si="118"/>
        <v>0</v>
      </c>
      <c r="R165" s="81">
        <f t="shared" si="119"/>
        <v>0</v>
      </c>
      <c r="S165" s="81">
        <f t="shared" si="120"/>
        <v>0</v>
      </c>
      <c r="T165" s="85">
        <f t="shared" si="121"/>
        <v>0</v>
      </c>
      <c r="U165" s="192"/>
      <c r="V165" s="196">
        <f t="shared" si="96"/>
        <v>0</v>
      </c>
    </row>
    <row r="166" spans="1:22" x14ac:dyDescent="0.25">
      <c r="A166" s="14" t="s">
        <v>239</v>
      </c>
      <c r="B166" s="20" t="s">
        <v>240</v>
      </c>
      <c r="C166" s="71"/>
      <c r="D166" s="69"/>
      <c r="E166" s="69"/>
      <c r="F166" s="69"/>
      <c r="G166" s="69"/>
      <c r="H166" s="81"/>
      <c r="I166" s="81"/>
      <c r="J166" s="81"/>
      <c r="K166" s="69"/>
      <c r="L166" s="721">
        <f t="shared" si="122"/>
        <v>0</v>
      </c>
      <c r="M166" s="721">
        <f t="shared" si="123"/>
        <v>0</v>
      </c>
      <c r="N166" s="721" t="e">
        <f t="shared" si="124"/>
        <v>#DIV/0!</v>
      </c>
      <c r="O166" s="705"/>
      <c r="P166" s="81">
        <f t="shared" si="117"/>
        <v>0</v>
      </c>
      <c r="Q166" s="81">
        <f t="shared" si="118"/>
        <v>0</v>
      </c>
      <c r="R166" s="81">
        <f t="shared" si="119"/>
        <v>0</v>
      </c>
      <c r="S166" s="81">
        <f t="shared" si="120"/>
        <v>0</v>
      </c>
      <c r="T166" s="85">
        <f t="shared" si="121"/>
        <v>0</v>
      </c>
      <c r="U166" s="192"/>
      <c r="V166" s="196">
        <f t="shared" si="96"/>
        <v>0</v>
      </c>
    </row>
    <row r="167" spans="1:22" x14ac:dyDescent="0.25">
      <c r="C167" s="71"/>
      <c r="D167" s="69"/>
      <c r="E167" s="69"/>
      <c r="F167" s="69"/>
      <c r="G167" s="69"/>
      <c r="H167" s="81"/>
      <c r="I167" s="81"/>
      <c r="J167" s="81"/>
      <c r="K167" s="69"/>
      <c r="L167" s="721"/>
      <c r="M167" s="721"/>
      <c r="N167" s="721"/>
      <c r="O167" s="705"/>
      <c r="P167" s="81"/>
      <c r="Q167" s="81"/>
      <c r="R167" s="81"/>
      <c r="S167" s="81"/>
      <c r="T167" s="85"/>
      <c r="U167" s="192"/>
      <c r="V167" s="196">
        <f t="shared" si="96"/>
        <v>0</v>
      </c>
    </row>
    <row r="168" spans="1:22" x14ac:dyDescent="0.25">
      <c r="A168" s="4"/>
      <c r="B168" s="3" t="s">
        <v>104</v>
      </c>
      <c r="C168" s="66">
        <f>C13+C29+C32+C81+C106+C120+C129+C135+C145</f>
        <v>1895220607.03</v>
      </c>
      <c r="D168" s="66">
        <f>D13+D29+D32+D81+D106+D120+D129+D135+D145</f>
        <v>1904849300</v>
      </c>
      <c r="E168" s="66">
        <f>E13+E29+E32+E81+E106+E120+E129+E135+E145</f>
        <v>1914887247</v>
      </c>
      <c r="F168" s="66">
        <f>F13+F29+F32+F81+F106+F120+F129+F135+F145</f>
        <v>0</v>
      </c>
      <c r="G168" s="66"/>
      <c r="H168" s="83">
        <f t="shared" ref="H168" si="125">H13+H29+H32+H81+H106+H120+H129+H135+H145</f>
        <v>572539112</v>
      </c>
      <c r="I168" s="83">
        <f>I13+I29+I32+I81+I106+I120+I129+I135+I145</f>
        <v>958008396</v>
      </c>
      <c r="J168" s="83">
        <f>J13+J29+J32+J81+J106+J120+J129+J135+J145</f>
        <v>0</v>
      </c>
      <c r="K168" s="66"/>
      <c r="L168" s="691">
        <f>H168/C168</f>
        <v>0.30209628888387086</v>
      </c>
      <c r="M168" s="691">
        <f>I168/D168</f>
        <v>0.50293133215315244</v>
      </c>
      <c r="N168" s="691">
        <f>+J168/E168</f>
        <v>0</v>
      </c>
      <c r="O168" s="706"/>
      <c r="P168" s="83">
        <f>IF(D168&gt;0,+D168-C168,0)</f>
        <v>9628692.9700000286</v>
      </c>
      <c r="Q168" s="83">
        <f>IF(E168&gt;0,+E168-D168,0)</f>
        <v>10037947</v>
      </c>
      <c r="R168" s="83">
        <f>IF(F168&gt;0,+F168-E168,0)</f>
        <v>0</v>
      </c>
      <c r="S168" s="83">
        <f>+P168*P$8+Q168*Q$8+Q168*G$8</f>
        <v>19666639.970000029</v>
      </c>
      <c r="T168" s="85">
        <f>IF(C168=0,0,+S168/C168)</f>
        <v>1.0376966088828899E-2</v>
      </c>
      <c r="U168" s="194"/>
      <c r="V168" s="197">
        <f t="shared" si="96"/>
        <v>0</v>
      </c>
    </row>
    <row r="169" spans="1:22" x14ac:dyDescent="0.25">
      <c r="A169" s="22"/>
      <c r="B169" s="22"/>
      <c r="C169" s="73"/>
      <c r="D169" s="74"/>
      <c r="E169" s="74"/>
      <c r="F169" s="74"/>
      <c r="G169" s="74"/>
      <c r="H169" s="84"/>
      <c r="I169" s="84"/>
      <c r="J169" s="84"/>
      <c r="K169" s="74"/>
      <c r="L169" s="708"/>
      <c r="M169" s="709"/>
      <c r="N169" s="709"/>
      <c r="O169" s="710"/>
      <c r="P169" s="84"/>
      <c r="Q169" s="84"/>
      <c r="R169" s="84"/>
      <c r="S169" s="84"/>
      <c r="T169" s="86"/>
      <c r="U169" s="74"/>
    </row>
    <row r="170" spans="1:22" hidden="1" x14ac:dyDescent="0.25">
      <c r="A170" s="22"/>
      <c r="B170" s="22"/>
      <c r="C170" s="73"/>
      <c r="D170" s="75"/>
      <c r="F170" s="74">
        <f>' 2. Önk. Bevételek'!M96-'3. Önk. Kiadások'!F168</f>
        <v>0.75895310300925123</v>
      </c>
      <c r="G170" s="74"/>
      <c r="H170" s="73"/>
      <c r="K170" s="74"/>
      <c r="L170" s="708"/>
      <c r="M170" s="709"/>
      <c r="N170" s="709"/>
      <c r="O170" s="710"/>
      <c r="P170" s="73"/>
      <c r="Q170" s="73"/>
      <c r="R170" s="73"/>
      <c r="S170" s="73"/>
      <c r="T170" s="86"/>
      <c r="U170" s="74"/>
    </row>
    <row r="171" spans="1:22" hidden="1" x14ac:dyDescent="0.25">
      <c r="A171" s="22"/>
      <c r="B171" s="22"/>
      <c r="C171" s="73"/>
      <c r="D171" s="75" t="s">
        <v>445</v>
      </c>
      <c r="E171" s="74">
        <f>' 2. Önk. Bevételek'!E96-'3. Önk. Kiadások'!E168</f>
        <v>0</v>
      </c>
      <c r="F171" s="74"/>
      <c r="G171" s="74"/>
      <c r="H171" s="73"/>
      <c r="I171" s="272">
        <f>36792991*0+'4. Dr Gáspár HSZK'!I100+'5. Csicsergő'!I100+'6. Gólyahír'!I100+'7. Polg.Hiv.'!M100+'8. WAMKK'!M100+'9. Közp. Konyha'!M100</f>
        <v>207926753.29296762</v>
      </c>
      <c r="K171" s="74"/>
      <c r="L171" s="708"/>
      <c r="M171" s="709"/>
      <c r="N171" s="709"/>
      <c r="O171" s="710"/>
      <c r="P171" s="73"/>
      <c r="Q171" s="73"/>
      <c r="R171" s="73"/>
      <c r="S171" s="73"/>
      <c r="T171" s="86"/>
      <c r="U171" s="74"/>
    </row>
    <row r="172" spans="1:22" hidden="1" x14ac:dyDescent="0.25">
      <c r="A172" s="22"/>
      <c r="B172" s="56" t="s">
        <v>404</v>
      </c>
      <c r="C172" s="73"/>
      <c r="D172" s="73"/>
      <c r="E172" s="74"/>
      <c r="F172" s="74"/>
      <c r="G172" s="74"/>
      <c r="H172" s="73"/>
      <c r="I172" s="22"/>
      <c r="J172" s="22"/>
      <c r="K172" s="74"/>
      <c r="L172" s="708"/>
      <c r="M172" s="709"/>
      <c r="N172" s="709"/>
      <c r="O172" s="710"/>
      <c r="P172" s="73"/>
      <c r="Q172" s="73"/>
      <c r="R172" s="73"/>
      <c r="S172" s="73"/>
      <c r="U172" s="74"/>
    </row>
    <row r="173" spans="1:22" hidden="1" x14ac:dyDescent="0.25">
      <c r="A173" s="22"/>
      <c r="B173" s="22"/>
      <c r="C173" s="73"/>
      <c r="D173" s="74"/>
      <c r="E173" s="74"/>
      <c r="F173" s="74"/>
      <c r="G173" s="74"/>
      <c r="H173" s="73"/>
      <c r="K173" s="74"/>
      <c r="L173" s="708"/>
      <c r="M173" s="709"/>
      <c r="N173" s="665"/>
      <c r="O173" s="710"/>
      <c r="P173" s="73"/>
      <c r="Q173" s="73"/>
      <c r="R173" s="73"/>
      <c r="S173" s="73"/>
      <c r="U173" s="74"/>
    </row>
    <row r="174" spans="1:22" hidden="1" x14ac:dyDescent="0.25">
      <c r="A174" s="22"/>
      <c r="B174" s="56" t="s">
        <v>405</v>
      </c>
      <c r="C174" s="73"/>
      <c r="D174" s="74"/>
      <c r="E174" s="74"/>
      <c r="F174" s="74"/>
      <c r="G174" s="74"/>
      <c r="H174" s="73"/>
      <c r="K174" s="74"/>
      <c r="L174" s="708"/>
      <c r="M174" s="709"/>
      <c r="N174" s="665"/>
      <c r="O174" s="710"/>
      <c r="P174" s="73"/>
      <c r="Q174" s="73"/>
      <c r="R174" s="73"/>
      <c r="S174" s="73"/>
      <c r="U174" s="74"/>
    </row>
    <row r="175" spans="1:22" hidden="1" x14ac:dyDescent="0.25">
      <c r="A175" s="22"/>
      <c r="B175" s="22"/>
      <c r="C175" s="73"/>
      <c r="D175" s="75"/>
      <c r="E175" s="74"/>
      <c r="F175" s="74"/>
      <c r="G175" s="74"/>
      <c r="H175" s="73"/>
      <c r="K175" s="74"/>
      <c r="L175" s="708"/>
      <c r="M175" s="709"/>
      <c r="N175" s="665"/>
      <c r="O175" s="710"/>
      <c r="P175" s="73"/>
      <c r="Q175" s="73"/>
      <c r="R175" s="73"/>
      <c r="S175" s="73"/>
      <c r="U175" s="74"/>
    </row>
    <row r="176" spans="1:22" hidden="1" x14ac:dyDescent="0.25">
      <c r="A176" s="22"/>
      <c r="B176" s="22"/>
      <c r="C176" s="73"/>
      <c r="D176" s="74"/>
      <c r="E176" s="74"/>
      <c r="F176" s="74"/>
      <c r="G176" s="74"/>
      <c r="H176" s="73"/>
      <c r="K176" s="74"/>
      <c r="L176" s="708"/>
      <c r="M176" s="709"/>
      <c r="N176" s="665"/>
      <c r="O176" s="710"/>
      <c r="P176" s="73"/>
      <c r="Q176" s="73"/>
      <c r="R176" s="73"/>
      <c r="S176" s="73"/>
      <c r="U176" s="74"/>
    </row>
    <row r="177" spans="1:21" hidden="1" x14ac:dyDescent="0.25">
      <c r="A177" s="22"/>
      <c r="B177" s="22"/>
      <c r="C177" s="73"/>
      <c r="D177" s="74"/>
      <c r="E177" s="74"/>
      <c r="F177" s="74"/>
      <c r="G177" s="74"/>
      <c r="H177" s="73"/>
      <c r="K177" s="74"/>
      <c r="L177" s="708"/>
      <c r="M177" s="709"/>
      <c r="N177" s="665"/>
      <c r="O177" s="710"/>
      <c r="P177" s="73"/>
      <c r="Q177" s="73"/>
      <c r="R177" s="73"/>
      <c r="S177" s="73"/>
      <c r="U177" s="74"/>
    </row>
    <row r="178" spans="1:21" hidden="1" x14ac:dyDescent="0.25">
      <c r="A178" s="322" t="s">
        <v>437</v>
      </c>
      <c r="B178" s="22"/>
      <c r="C178" s="73"/>
      <c r="D178" s="75"/>
      <c r="E178" s="74"/>
      <c r="F178" s="74"/>
      <c r="G178" s="74"/>
      <c r="H178" s="73"/>
      <c r="K178" s="74"/>
      <c r="L178" s="708"/>
      <c r="M178" s="709"/>
      <c r="N178" s="665"/>
      <c r="O178" s="710"/>
      <c r="P178" s="73"/>
      <c r="Q178" s="73"/>
      <c r="R178" s="73"/>
      <c r="S178" s="73"/>
      <c r="U178" s="74"/>
    </row>
    <row r="179" spans="1:21" hidden="1" x14ac:dyDescent="0.25">
      <c r="A179" s="321" t="s">
        <v>435</v>
      </c>
      <c r="B179" s="56" t="str">
        <f>+'4. Dr Gáspár HSZK'!A1</f>
        <v>Dr. Gáspár István HSZK</v>
      </c>
      <c r="C179" s="73">
        <f>+'4. Dr Gáspár HSZK'!C5</f>
        <v>41408310.030000001</v>
      </c>
      <c r="D179" s="73">
        <f>+'4. Dr Gáspár HSZK'!D5</f>
        <v>41408310</v>
      </c>
      <c r="E179" s="73">
        <f>+'4. Dr Gáspár HSZK'!E5</f>
        <v>41408310</v>
      </c>
      <c r="F179" s="73">
        <f>+'4. Dr Gáspár HSZK'!F5</f>
        <v>0</v>
      </c>
      <c r="G179" s="73"/>
      <c r="H179" s="73">
        <f>+'4. Dr Gáspár HSZK'!H5</f>
        <v>17506348</v>
      </c>
      <c r="I179" s="73">
        <f>+'4. Dr Gáspár HSZK'!I5</f>
        <v>27535325</v>
      </c>
      <c r="J179" s="73">
        <f>+'4. Dr Gáspár HSZK'!J5</f>
        <v>0</v>
      </c>
      <c r="K179" s="73">
        <f>+'4. Dr Gáspár HSZK'!K5</f>
        <v>0</v>
      </c>
      <c r="L179" s="710"/>
      <c r="M179" s="710"/>
      <c r="N179" s="710"/>
      <c r="O179" s="710">
        <f>+'4. Dr Gáspár HSZK'!O5</f>
        <v>0</v>
      </c>
      <c r="P179" s="73">
        <f>+'4. Dr Gáspár HSZK'!P5</f>
        <v>-3.0000001192092896E-2</v>
      </c>
      <c r="Q179" s="73">
        <f>+'4. Dr Gáspár HSZK'!Q5</f>
        <v>0</v>
      </c>
      <c r="R179" s="73">
        <f>+'4. Dr Gáspár HSZK'!R5</f>
        <v>0</v>
      </c>
      <c r="S179" s="73">
        <f>+'4. Dr Gáspár HSZK'!S5</f>
        <v>-3.0000001192092896E-2</v>
      </c>
      <c r="U179" s="74"/>
    </row>
    <row r="180" spans="1:21" hidden="1" x14ac:dyDescent="0.25">
      <c r="A180" s="22"/>
      <c r="B180" s="56" t="str">
        <f>+'5. Csicsergő'!A1</f>
        <v>SÜLYSÁPI CSICSERGŐ ÓVODA</v>
      </c>
      <c r="C180" s="73">
        <f>+'5. Csicsergő'!C5</f>
        <v>193219000</v>
      </c>
      <c r="D180" s="73">
        <f>+'5. Csicsergő'!D5</f>
        <v>193219000</v>
      </c>
      <c r="E180" s="73">
        <f>+'5. Csicsergő'!E5</f>
        <v>193219000</v>
      </c>
      <c r="F180" s="73">
        <f>+'5. Csicsergő'!F5</f>
        <v>0</v>
      </c>
      <c r="G180" s="73"/>
      <c r="H180" s="73">
        <f>+'5. Csicsergő'!H5</f>
        <v>91525357</v>
      </c>
      <c r="I180" s="73">
        <f>+'5. Csicsergő'!I5</f>
        <v>138520194</v>
      </c>
      <c r="J180" s="73">
        <f>+'5. Csicsergő'!J5</f>
        <v>0</v>
      </c>
      <c r="K180" s="73">
        <f>+'5. Csicsergő'!K5</f>
        <v>0</v>
      </c>
      <c r="L180" s="710"/>
      <c r="M180" s="710"/>
      <c r="N180" s="710"/>
      <c r="O180" s="710">
        <f>+'5. Csicsergő'!O5</f>
        <v>0</v>
      </c>
      <c r="P180" s="73">
        <f>+'5. Csicsergő'!P5</f>
        <v>0</v>
      </c>
      <c r="Q180" s="73">
        <f>+'5. Csicsergő'!Q5</f>
        <v>0</v>
      </c>
      <c r="R180" s="73">
        <f>+'5. Csicsergő'!R5</f>
        <v>0</v>
      </c>
      <c r="S180" s="73">
        <f>+'5. Csicsergő'!S5</f>
        <v>0</v>
      </c>
      <c r="U180" s="74"/>
    </row>
    <row r="181" spans="1:21" hidden="1" x14ac:dyDescent="0.25">
      <c r="A181" s="22"/>
      <c r="B181" s="22" t="str">
        <f>+'6. Gólyahír'!A1</f>
        <v>GÓLYAHÍR BÖLCSŐDE</v>
      </c>
      <c r="C181" s="73">
        <f>+'6. Gólyahír'!C5</f>
        <v>65578000</v>
      </c>
      <c r="D181" s="73">
        <f>+'6. Gólyahír'!D5</f>
        <v>65578000</v>
      </c>
      <c r="E181" s="73">
        <f>+'6. Gólyahír'!E5</f>
        <v>65578000</v>
      </c>
      <c r="F181" s="73">
        <f>+'6. Gólyahír'!F5</f>
        <v>0</v>
      </c>
      <c r="G181" s="73"/>
      <c r="H181" s="73">
        <f>+'6. Gólyahír'!H5</f>
        <v>31656497</v>
      </c>
      <c r="I181" s="73">
        <f>+'6. Gólyahír'!I5</f>
        <v>46781710</v>
      </c>
      <c r="J181" s="73">
        <f>+'6. Gólyahír'!J5</f>
        <v>0</v>
      </c>
      <c r="K181" s="73">
        <f>+'6. Gólyahír'!K5</f>
        <v>0</v>
      </c>
      <c r="L181" s="710"/>
      <c r="M181" s="710"/>
      <c r="N181" s="710"/>
      <c r="O181" s="710">
        <f>+'6. Gólyahír'!O5</f>
        <v>0</v>
      </c>
      <c r="P181" s="73">
        <f>+'6. Gólyahír'!P5</f>
        <v>0</v>
      </c>
      <c r="Q181" s="73">
        <f>+'6. Gólyahír'!Q5</f>
        <v>0</v>
      </c>
      <c r="R181" s="73">
        <f>+'6. Gólyahír'!R5</f>
        <v>0</v>
      </c>
      <c r="S181" s="73">
        <f>+'6. Gólyahír'!S5</f>
        <v>0</v>
      </c>
      <c r="U181" s="74"/>
    </row>
    <row r="182" spans="1:21" hidden="1" x14ac:dyDescent="0.25">
      <c r="A182" s="22"/>
      <c r="B182" s="73" t="str">
        <f>+'7. Polg.Hiv.'!A1</f>
        <v>POLGÁRMESTERI HIVATAL</v>
      </c>
      <c r="C182" s="73">
        <f>+'7. Polg.Hiv.'!C5</f>
        <v>135435600</v>
      </c>
      <c r="D182" s="73">
        <f>+'7. Polg.Hiv.'!D5</f>
        <v>146640948</v>
      </c>
      <c r="E182" s="73">
        <f>+'7. Polg.Hiv.'!E5</f>
        <v>146887797</v>
      </c>
      <c r="F182" s="73">
        <f>+'7. Polg.Hiv.'!F5</f>
        <v>0</v>
      </c>
      <c r="G182" s="73"/>
      <c r="H182" s="73">
        <f>+'7. Polg.Hiv.'!H5</f>
        <v>68909669</v>
      </c>
      <c r="I182" s="73">
        <f>+'7. Polg.Hiv.'!I5</f>
        <v>101383740</v>
      </c>
      <c r="J182" s="73">
        <f>+'7. Polg.Hiv.'!J5</f>
        <v>0</v>
      </c>
      <c r="K182" s="73">
        <f>+'7. Polg.Hiv.'!K5</f>
        <v>0</v>
      </c>
      <c r="L182" s="710"/>
      <c r="M182" s="710"/>
      <c r="N182" s="710"/>
      <c r="O182" s="710">
        <f>+'7. Polg.Hiv.'!O5</f>
        <v>0</v>
      </c>
      <c r="P182" s="73">
        <f>+'7. Polg.Hiv.'!P5</f>
        <v>11205348</v>
      </c>
      <c r="Q182" s="73">
        <f>+'7. Polg.Hiv.'!Q5</f>
        <v>246849</v>
      </c>
      <c r="R182" s="73">
        <f>+'7. Polg.Hiv.'!R5</f>
        <v>0</v>
      </c>
      <c r="S182" s="73">
        <f>+'7. Polg.Hiv.'!S5</f>
        <v>11452197</v>
      </c>
      <c r="U182" s="74"/>
    </row>
    <row r="183" spans="1:21" hidden="1" x14ac:dyDescent="0.25">
      <c r="A183" s="22"/>
      <c r="B183" s="73" t="str">
        <f>+'8. WAMKK'!A1</f>
        <v>Wass Albert Művelődési Központ és Könyvtár</v>
      </c>
      <c r="C183" s="73">
        <f>+'8. WAMKK'!C5</f>
        <v>30262000</v>
      </c>
      <c r="D183" s="73">
        <f>+'8. WAMKK'!D5</f>
        <v>30262000</v>
      </c>
      <c r="E183" s="73">
        <f>+'8. WAMKK'!E5</f>
        <v>33536000</v>
      </c>
      <c r="F183" s="73">
        <f>+'8. WAMKK'!F5</f>
        <v>0</v>
      </c>
      <c r="G183" s="73"/>
      <c r="H183" s="73">
        <f>+'8. WAMKK'!H5</f>
        <v>12553765</v>
      </c>
      <c r="I183" s="73">
        <f>+'8. WAMKK'!I5</f>
        <v>23234951</v>
      </c>
      <c r="J183" s="73">
        <f>+'8. WAMKK'!J5</f>
        <v>0</v>
      </c>
      <c r="K183" s="73">
        <f>+'8. WAMKK'!K5</f>
        <v>0</v>
      </c>
      <c r="L183" s="710"/>
      <c r="M183" s="710"/>
      <c r="N183" s="710"/>
      <c r="O183" s="710">
        <f>+'8. WAMKK'!O5</f>
        <v>0</v>
      </c>
      <c r="P183" s="73">
        <f>+'8. WAMKK'!P5</f>
        <v>0</v>
      </c>
      <c r="Q183" s="73">
        <f>+'8. WAMKK'!Q5</f>
        <v>3274000</v>
      </c>
      <c r="R183" s="73">
        <f>+'8. WAMKK'!R5</f>
        <v>0</v>
      </c>
      <c r="S183" s="73">
        <f>+'8. WAMKK'!S5</f>
        <v>3274000</v>
      </c>
      <c r="U183" s="74"/>
    </row>
    <row r="184" spans="1:21" hidden="1" x14ac:dyDescent="0.25">
      <c r="A184" s="22"/>
      <c r="B184" s="73" t="str">
        <f>+'9. Közp. Konyha'!A1</f>
        <v>Központi Konyha</v>
      </c>
      <c r="C184" s="73">
        <f>+'9. Közp. Konyha'!C5</f>
        <v>106343000</v>
      </c>
      <c r="D184" s="73">
        <f>+'9. Közp. Konyha'!D5</f>
        <v>106343000</v>
      </c>
      <c r="E184" s="73">
        <f>+'9. Közp. Konyha'!E5</f>
        <v>106343000</v>
      </c>
      <c r="F184" s="73">
        <f>+'9. Közp. Konyha'!F5</f>
        <v>0</v>
      </c>
      <c r="G184" s="73"/>
      <c r="H184" s="73">
        <f>+'9. Közp. Konyha'!H5</f>
        <v>53458479</v>
      </c>
      <c r="I184" s="73">
        <f>+'9. Közp. Konyha'!I5</f>
        <v>71780982</v>
      </c>
      <c r="J184" s="73">
        <f>+'9. Közp. Konyha'!J5</f>
        <v>0</v>
      </c>
      <c r="K184" s="73">
        <f>+'9. Közp. Konyha'!K5</f>
        <v>0</v>
      </c>
      <c r="L184" s="710"/>
      <c r="M184" s="710"/>
      <c r="N184" s="710"/>
      <c r="O184" s="710">
        <f>+'9. Közp. Konyha'!O5</f>
        <v>0</v>
      </c>
      <c r="P184" s="73">
        <f>+'9. Közp. Konyha'!P5</f>
        <v>0</v>
      </c>
      <c r="Q184" s="73">
        <f>+'9. Közp. Konyha'!Q5</f>
        <v>0</v>
      </c>
      <c r="R184" s="73">
        <f>+'9. Közp. Konyha'!R5</f>
        <v>0</v>
      </c>
      <c r="S184" s="73">
        <f>+'9. Közp. Konyha'!S5</f>
        <v>0</v>
      </c>
      <c r="U184" s="74"/>
    </row>
    <row r="185" spans="1:21" hidden="1" x14ac:dyDescent="0.25">
      <c r="A185" s="322" t="s">
        <v>436</v>
      </c>
      <c r="B185" s="73"/>
      <c r="C185" s="73"/>
      <c r="D185" s="74"/>
      <c r="E185" s="74"/>
      <c r="F185" s="74"/>
      <c r="G185" s="74"/>
      <c r="H185" s="73"/>
      <c r="I185" s="73"/>
      <c r="J185" s="73"/>
      <c r="K185" s="73"/>
      <c r="L185" s="710"/>
      <c r="M185" s="710"/>
      <c r="N185" s="710"/>
      <c r="O185" s="710"/>
      <c r="P185" s="73"/>
      <c r="Q185" s="73"/>
      <c r="R185" s="73"/>
      <c r="S185" s="73"/>
      <c r="U185" s="74"/>
    </row>
    <row r="186" spans="1:21" hidden="1" x14ac:dyDescent="0.25">
      <c r="A186" s="323">
        <v>0</v>
      </c>
      <c r="B186" s="73" t="str">
        <f t="shared" ref="B186:B191" si="126">+B179</f>
        <v>Dr. Gáspár István HSZK</v>
      </c>
      <c r="C186" s="73">
        <v>0</v>
      </c>
      <c r="D186" s="74"/>
      <c r="E186" s="74"/>
      <c r="F186" s="74"/>
      <c r="G186" s="74"/>
      <c r="H186" s="73"/>
      <c r="I186" s="73"/>
      <c r="J186" s="73"/>
      <c r="K186" s="73"/>
      <c r="L186" s="710"/>
      <c r="M186" s="710"/>
      <c r="N186" s="710"/>
      <c r="O186" s="710"/>
      <c r="P186" s="73"/>
      <c r="Q186" s="73"/>
      <c r="R186" s="73"/>
      <c r="S186" s="73"/>
      <c r="U186" s="74"/>
    </row>
    <row r="187" spans="1:21" hidden="1" x14ac:dyDescent="0.25">
      <c r="A187" s="324">
        <v>1</v>
      </c>
      <c r="B187" s="325" t="str">
        <f t="shared" si="126"/>
        <v>SÜLYSÁPI CSICSERGŐ ÓVODA</v>
      </c>
      <c r="C187" s="73">
        <f>-'5. Csicsergő'!C84*$A187</f>
        <v>-1650000</v>
      </c>
      <c r="D187" s="73">
        <f>-'5. Csicsergő'!D84*$A187</f>
        <v>-1650000</v>
      </c>
      <c r="E187" s="73">
        <f>-'5. Csicsergő'!E84*$A187</f>
        <v>-1650000</v>
      </c>
      <c r="F187" s="73">
        <f>-'5. Csicsergő'!F84*$A187</f>
        <v>0</v>
      </c>
      <c r="G187" s="73">
        <f>-'5. Csicsergő'!G84*$A187</f>
        <v>0</v>
      </c>
      <c r="H187" s="73">
        <f>-'5. Csicsergő'!H84*$A187</f>
        <v>-1297203</v>
      </c>
      <c r="I187" s="73">
        <f>-'5. Csicsergő'!I84*$A187</f>
        <v>-1398983</v>
      </c>
      <c r="J187" s="73">
        <f>-'5. Csicsergő'!J84*$A187</f>
        <v>0</v>
      </c>
      <c r="K187" s="73">
        <f>-'5. Csicsergő'!K84*$A187</f>
        <v>0</v>
      </c>
      <c r="L187" s="710"/>
      <c r="M187" s="710"/>
      <c r="N187" s="710"/>
      <c r="O187" s="710">
        <f>-'5. Csicsergő'!O84*$A187</f>
        <v>0</v>
      </c>
      <c r="P187" s="73">
        <f>-'5. Csicsergő'!P84*$A187</f>
        <v>0</v>
      </c>
      <c r="Q187" s="73">
        <f>-'5. Csicsergő'!Q84*$A187</f>
        <v>0</v>
      </c>
      <c r="R187" s="73">
        <f>-'5. Csicsergő'!R84*$A187</f>
        <v>0</v>
      </c>
      <c r="S187" s="73">
        <f>-'5. Csicsergő'!S84*$A187</f>
        <v>0</v>
      </c>
      <c r="U187" s="74"/>
    </row>
    <row r="188" spans="1:21" hidden="1" x14ac:dyDescent="0.25">
      <c r="A188" s="323">
        <v>0</v>
      </c>
      <c r="B188" s="73" t="str">
        <f t="shared" si="126"/>
        <v>GÓLYAHÍR BÖLCSŐDE</v>
      </c>
      <c r="C188" s="73">
        <v>0</v>
      </c>
      <c r="D188" s="74"/>
      <c r="E188" s="74"/>
      <c r="F188" s="74"/>
      <c r="G188" s="74"/>
      <c r="H188" s="73"/>
      <c r="I188" s="73"/>
      <c r="J188" s="73"/>
      <c r="K188" s="73"/>
      <c r="L188" s="710"/>
      <c r="M188" s="710"/>
      <c r="N188" s="710"/>
      <c r="O188" s="710"/>
      <c r="P188" s="73"/>
      <c r="Q188" s="73"/>
      <c r="R188" s="73"/>
      <c r="S188" s="73"/>
      <c r="U188" s="74"/>
    </row>
    <row r="189" spans="1:21" hidden="1" x14ac:dyDescent="0.25">
      <c r="A189" s="324">
        <v>1</v>
      </c>
      <c r="B189" s="327" t="str">
        <f t="shared" si="126"/>
        <v>POLGÁRMESTERI HIVATAL</v>
      </c>
      <c r="C189" s="73" t="e">
        <f>-'7. Polg.Hiv.'!#REF!*$A189</f>
        <v>#REF!</v>
      </c>
      <c r="D189" s="73" t="e">
        <f>-'7. Polg.Hiv.'!#REF!*$A189</f>
        <v>#REF!</v>
      </c>
      <c r="E189" s="73" t="e">
        <f>-'7. Polg.Hiv.'!#REF!*$A189</f>
        <v>#REF!</v>
      </c>
      <c r="F189" s="73" t="e">
        <f>-'7. Polg.Hiv.'!#REF!*$A189</f>
        <v>#REF!</v>
      </c>
      <c r="G189" s="73" t="e">
        <f>-'7. Polg.Hiv.'!#REF!*$A189</f>
        <v>#REF!</v>
      </c>
      <c r="H189" s="73" t="e">
        <f>-'7. Polg.Hiv.'!#REF!*$A189</f>
        <v>#REF!</v>
      </c>
      <c r="I189" s="73" t="e">
        <f>-'7. Polg.Hiv.'!#REF!*$A189</f>
        <v>#REF!</v>
      </c>
      <c r="J189" s="73" t="e">
        <f>-'7. Polg.Hiv.'!#REF!*$A189</f>
        <v>#REF!</v>
      </c>
      <c r="K189" s="73" t="e">
        <f>-'7. Polg.Hiv.'!#REF!*$A189</f>
        <v>#REF!</v>
      </c>
      <c r="L189" s="710"/>
      <c r="M189" s="710"/>
      <c r="N189" s="710"/>
      <c r="O189" s="710" t="e">
        <f>-'7. Polg.Hiv.'!#REF!*$A189</f>
        <v>#REF!</v>
      </c>
      <c r="P189" s="73" t="e">
        <f>-'7. Polg.Hiv.'!#REF!*$A189</f>
        <v>#REF!</v>
      </c>
      <c r="Q189" s="73" t="e">
        <f>-'7. Polg.Hiv.'!#REF!*$A189</f>
        <v>#REF!</v>
      </c>
      <c r="R189" s="73" t="e">
        <f>-'7. Polg.Hiv.'!#REF!*$A189</f>
        <v>#REF!</v>
      </c>
      <c r="S189" s="73" t="e">
        <f>-'7. Polg.Hiv.'!#REF!*$A189</f>
        <v>#REF!</v>
      </c>
      <c r="U189" s="74"/>
    </row>
    <row r="190" spans="1:21" hidden="1" x14ac:dyDescent="0.25">
      <c r="A190" s="323">
        <v>0</v>
      </c>
      <c r="B190" s="73" t="str">
        <f t="shared" si="126"/>
        <v>Wass Albert Művelődési Központ és Könyvtár</v>
      </c>
      <c r="C190" s="73">
        <v>0</v>
      </c>
      <c r="D190" s="74"/>
      <c r="E190" s="74"/>
      <c r="F190" s="74"/>
      <c r="G190" s="74"/>
      <c r="H190" s="73"/>
      <c r="I190" s="73"/>
      <c r="J190" s="73"/>
      <c r="K190" s="73"/>
      <c r="L190" s="710"/>
      <c r="M190" s="710"/>
      <c r="N190" s="710"/>
      <c r="O190" s="710"/>
      <c r="P190" s="73"/>
      <c r="Q190" s="73"/>
      <c r="R190" s="73"/>
      <c r="S190" s="73"/>
      <c r="U190" s="74"/>
    </row>
    <row r="191" spans="1:21" hidden="1" x14ac:dyDescent="0.25">
      <c r="A191" s="323">
        <v>0</v>
      </c>
      <c r="B191" s="73" t="str">
        <f t="shared" si="126"/>
        <v>Központi Konyha</v>
      </c>
      <c r="C191" s="73">
        <v>0</v>
      </c>
      <c r="D191" s="74"/>
      <c r="E191" s="74"/>
      <c r="F191" s="74"/>
      <c r="G191" s="74"/>
      <c r="H191" s="73"/>
      <c r="I191" s="73"/>
      <c r="J191" s="73"/>
      <c r="K191" s="73"/>
      <c r="L191" s="710"/>
      <c r="M191" s="710"/>
      <c r="N191" s="710"/>
      <c r="O191" s="710"/>
      <c r="P191" s="73"/>
      <c r="Q191" s="73"/>
      <c r="R191" s="73"/>
      <c r="S191" s="73"/>
      <c r="U191" s="74"/>
    </row>
    <row r="192" spans="1:21" hidden="1" x14ac:dyDescent="0.25">
      <c r="A192" s="73"/>
      <c r="B192" s="73"/>
      <c r="C192" s="73"/>
      <c r="D192" s="74"/>
      <c r="E192" s="74"/>
      <c r="F192" s="74"/>
      <c r="G192" s="74"/>
      <c r="H192" s="73"/>
      <c r="I192" s="73"/>
      <c r="J192" s="73"/>
      <c r="K192" s="73"/>
      <c r="L192" s="710"/>
      <c r="M192" s="710"/>
      <c r="N192" s="710"/>
      <c r="O192" s="710"/>
      <c r="P192" s="73"/>
      <c r="Q192" s="73"/>
      <c r="R192" s="73"/>
      <c r="S192" s="73"/>
      <c r="U192" s="74"/>
    </row>
    <row r="193" spans="1:21" hidden="1" x14ac:dyDescent="0.25">
      <c r="A193" s="323">
        <v>1</v>
      </c>
      <c r="B193" s="56" t="s">
        <v>432</v>
      </c>
      <c r="C193" s="73"/>
      <c r="D193" s="73" t="e">
        <f>+#REF!*$A193</f>
        <v>#REF!</v>
      </c>
      <c r="E193" s="73" t="e">
        <f>+#REF!*$A193</f>
        <v>#REF!</v>
      </c>
      <c r="F193" s="73" t="e">
        <f>+#REF!*$A193</f>
        <v>#REF!</v>
      </c>
      <c r="G193" s="74"/>
      <c r="H193" s="73"/>
      <c r="I193" s="73"/>
      <c r="J193" s="73"/>
      <c r="K193" s="73"/>
      <c r="L193" s="710"/>
      <c r="M193" s="710"/>
      <c r="N193" s="710"/>
      <c r="O193" s="710"/>
      <c r="P193" s="73"/>
      <c r="Q193" s="73"/>
      <c r="R193" s="73"/>
      <c r="S193" s="73"/>
      <c r="U193" s="74"/>
    </row>
    <row r="194" spans="1:21" hidden="1" x14ac:dyDescent="0.25">
      <c r="A194" s="323">
        <v>1</v>
      </c>
      <c r="B194" s="56" t="s">
        <v>433</v>
      </c>
      <c r="C194" s="73">
        <f>+C120*$A194</f>
        <v>792250000</v>
      </c>
      <c r="D194" s="73">
        <f>+D120</f>
        <v>793165620</v>
      </c>
      <c r="E194" s="73">
        <f>+E120</f>
        <v>742381620</v>
      </c>
      <c r="F194" s="73">
        <f>+F120</f>
        <v>0</v>
      </c>
      <c r="G194" s="73"/>
      <c r="H194" s="73">
        <f>+H120</f>
        <v>97143389</v>
      </c>
      <c r="I194" s="73">
        <f>+I120</f>
        <v>175947301</v>
      </c>
      <c r="J194" s="73">
        <f>+J120</f>
        <v>0</v>
      </c>
      <c r="K194" s="73">
        <f>+K120</f>
        <v>0</v>
      </c>
      <c r="L194" s="710"/>
      <c r="M194" s="710"/>
      <c r="N194" s="710"/>
      <c r="O194" s="710">
        <f>+O120</f>
        <v>0</v>
      </c>
      <c r="P194" s="73">
        <f>+P120</f>
        <v>915620</v>
      </c>
      <c r="Q194" s="73">
        <f>+Q120</f>
        <v>-50784000</v>
      </c>
      <c r="R194" s="73">
        <f>+R120</f>
        <v>0</v>
      </c>
      <c r="S194" s="73">
        <f>+S120</f>
        <v>-49868380</v>
      </c>
      <c r="U194" s="74"/>
    </row>
    <row r="195" spans="1:21" hidden="1" x14ac:dyDescent="0.25">
      <c r="A195" s="323">
        <v>1</v>
      </c>
      <c r="B195" s="320" t="s">
        <v>434</v>
      </c>
      <c r="C195" s="73">
        <f>+C129*A195</f>
        <v>198800000</v>
      </c>
      <c r="D195" s="73">
        <f>+D129</f>
        <v>198800000</v>
      </c>
      <c r="E195" s="73">
        <f>+E129</f>
        <v>197263000</v>
      </c>
      <c r="F195" s="73">
        <f>+F129</f>
        <v>0</v>
      </c>
      <c r="G195" s="73"/>
      <c r="H195" s="73">
        <f>+H129</f>
        <v>15737344</v>
      </c>
      <c r="I195" s="73">
        <f>+I129</f>
        <v>68275190</v>
      </c>
      <c r="J195" s="73">
        <f>+J129</f>
        <v>0</v>
      </c>
      <c r="K195" s="73">
        <f>+K129</f>
        <v>0</v>
      </c>
      <c r="L195" s="710"/>
      <c r="M195" s="710"/>
      <c r="N195" s="710"/>
      <c r="O195" s="710">
        <f>+O129</f>
        <v>0</v>
      </c>
      <c r="P195" s="73">
        <f>+P129</f>
        <v>0</v>
      </c>
      <c r="Q195" s="73">
        <f>+Q129</f>
        <v>-1537000</v>
      </c>
      <c r="R195" s="73">
        <f>+R129</f>
        <v>0</v>
      </c>
      <c r="S195" s="73">
        <f>+S129</f>
        <v>-1537000</v>
      </c>
      <c r="U195" s="74"/>
    </row>
    <row r="196" spans="1:21" hidden="1" x14ac:dyDescent="0.25">
      <c r="A196" s="73"/>
      <c r="B196" s="73"/>
      <c r="C196" s="73"/>
      <c r="D196" s="74"/>
      <c r="E196" s="74"/>
      <c r="F196" s="74"/>
      <c r="G196" s="74"/>
      <c r="H196" s="73"/>
      <c r="I196" s="73"/>
      <c r="J196" s="73"/>
      <c r="K196" s="73"/>
      <c r="L196" s="710"/>
      <c r="M196" s="710"/>
      <c r="N196" s="710"/>
      <c r="O196" s="710"/>
      <c r="P196" s="73"/>
      <c r="Q196" s="73"/>
      <c r="R196" s="73"/>
      <c r="S196" s="73"/>
      <c r="U196" s="74"/>
    </row>
    <row r="197" spans="1:21" hidden="1" x14ac:dyDescent="0.25">
      <c r="A197" s="326">
        <v>1</v>
      </c>
      <c r="B197" s="56" t="s">
        <v>431</v>
      </c>
      <c r="C197" s="73">
        <f>+C145</f>
        <v>535243607.02999997</v>
      </c>
      <c r="D197" s="73">
        <f t="shared" ref="D197:E197" si="127">+D145</f>
        <v>544090785</v>
      </c>
      <c r="E197" s="73">
        <f t="shared" si="127"/>
        <v>547364785</v>
      </c>
      <c r="F197" s="73">
        <f>+F145</f>
        <v>0</v>
      </c>
      <c r="G197" s="73"/>
      <c r="H197" s="73">
        <f>+H145</f>
        <v>277698930</v>
      </c>
      <c r="I197" s="73">
        <f>+I145</f>
        <v>402220672</v>
      </c>
      <c r="J197" s="73">
        <f>+J145</f>
        <v>0</v>
      </c>
      <c r="K197" s="73"/>
      <c r="L197" s="710"/>
      <c r="M197" s="710"/>
      <c r="N197" s="710"/>
      <c r="O197" s="710"/>
      <c r="P197" s="73">
        <f>+P145</f>
        <v>8847177.9700000286</v>
      </c>
      <c r="Q197" s="73">
        <f>+Q145</f>
        <v>3274000</v>
      </c>
      <c r="R197" s="73">
        <f>+R145</f>
        <v>0</v>
      </c>
      <c r="S197" s="73">
        <f>+S145</f>
        <v>12121177.970000029</v>
      </c>
      <c r="U197" s="74"/>
    </row>
    <row r="198" spans="1:21" hidden="1" x14ac:dyDescent="0.25">
      <c r="A198" s="22"/>
      <c r="B198" s="328" t="s">
        <v>439</v>
      </c>
      <c r="C198" s="73" t="e">
        <f>SUM(C179:C197)</f>
        <v>#REF!</v>
      </c>
      <c r="D198" s="73" t="e">
        <f>SUM(D179:D197)</f>
        <v>#REF!</v>
      </c>
      <c r="E198" s="73" t="e">
        <f>SUM(E179:E197)</f>
        <v>#REF!</v>
      </c>
      <c r="F198" s="73" t="e">
        <f>SUM(F179:F197)</f>
        <v>#REF!</v>
      </c>
      <c r="G198" s="73"/>
      <c r="H198" s="73" t="e">
        <f>SUM(H179:H197)</f>
        <v>#REF!</v>
      </c>
      <c r="I198" s="73" t="e">
        <f>SUM(I179:I197)</f>
        <v>#REF!</v>
      </c>
      <c r="J198" s="73" t="e">
        <f>SUM(J179:J197)</f>
        <v>#REF!</v>
      </c>
      <c r="K198" s="73"/>
      <c r="L198" s="710"/>
      <c r="M198" s="710"/>
      <c r="N198" s="710"/>
      <c r="O198" s="710"/>
      <c r="P198" s="73" t="e">
        <f>SUM(P179:P197)</f>
        <v>#REF!</v>
      </c>
      <c r="Q198" s="73" t="e">
        <f>SUM(Q179:Q197)</f>
        <v>#REF!</v>
      </c>
      <c r="R198" s="73" t="e">
        <f>SUM(R179:R197)</f>
        <v>#REF!</v>
      </c>
      <c r="S198" s="73" t="e">
        <f>SUM(S179:S197)</f>
        <v>#REF!</v>
      </c>
      <c r="U198" s="74"/>
    </row>
    <row r="199" spans="1:21" hidden="1" x14ac:dyDescent="0.25">
      <c r="A199" s="22"/>
      <c r="B199" s="22"/>
      <c r="C199" s="73"/>
      <c r="D199" s="74"/>
      <c r="E199" s="74"/>
      <c r="F199" s="74"/>
      <c r="G199" s="74"/>
      <c r="H199" s="73"/>
      <c r="L199" s="710"/>
      <c r="M199" s="710"/>
      <c r="N199" s="710"/>
      <c r="O199" s="710"/>
      <c r="P199" s="23"/>
      <c r="Q199" s="23"/>
      <c r="R199" s="23"/>
      <c r="S199" s="23"/>
      <c r="U199" s="74"/>
    </row>
    <row r="200" spans="1:21" hidden="1" x14ac:dyDescent="0.25">
      <c r="A200" s="22"/>
      <c r="B200" s="329" t="s">
        <v>440</v>
      </c>
      <c r="C200" s="330" t="e">
        <f>+C198-C9</f>
        <v>#REF!</v>
      </c>
      <c r="D200" s="330" t="e">
        <f>+D198-D9</f>
        <v>#REF!</v>
      </c>
      <c r="E200" s="330" t="e">
        <f>+E198-E9</f>
        <v>#REF!</v>
      </c>
      <c r="F200" s="330" t="e">
        <f>+F198-F9</f>
        <v>#REF!</v>
      </c>
      <c r="G200" s="330"/>
      <c r="H200" s="330" t="e">
        <f>+H198-H9</f>
        <v>#REF!</v>
      </c>
      <c r="I200" s="330" t="e">
        <f>+I198-I9</f>
        <v>#REF!</v>
      </c>
      <c r="J200" s="330" t="e">
        <f>+J198-J9</f>
        <v>#REF!</v>
      </c>
      <c r="K200" s="330"/>
      <c r="L200" s="711"/>
      <c r="M200" s="711"/>
      <c r="N200" s="711"/>
      <c r="O200" s="711"/>
      <c r="P200" s="330" t="e">
        <f>+P198-P9</f>
        <v>#REF!</v>
      </c>
      <c r="Q200" s="330" t="e">
        <f>+Q198-Q9</f>
        <v>#REF!</v>
      </c>
      <c r="R200" s="330" t="e">
        <f>+R198-R9</f>
        <v>#REF!</v>
      </c>
      <c r="S200" s="330" t="e">
        <f>+S198-S9</f>
        <v>#REF!</v>
      </c>
      <c r="T200" s="331"/>
      <c r="U200" s="74"/>
    </row>
    <row r="201" spans="1:21" ht="3.6" hidden="1" customHeight="1" x14ac:dyDescent="0.25">
      <c r="A201" s="335"/>
      <c r="B201" s="335"/>
      <c r="C201" s="336"/>
      <c r="D201" s="337"/>
      <c r="E201" s="337"/>
      <c r="F201" s="337"/>
      <c r="G201" s="337"/>
      <c r="H201" s="336"/>
      <c r="I201" s="338"/>
      <c r="J201" s="338"/>
      <c r="K201" s="337"/>
      <c r="L201" s="712"/>
      <c r="M201" s="713"/>
      <c r="N201" s="714"/>
      <c r="O201" s="715"/>
      <c r="P201" s="336"/>
      <c r="Q201" s="336"/>
      <c r="R201" s="336"/>
      <c r="S201" s="336"/>
      <c r="T201" s="339"/>
      <c r="U201" s="74"/>
    </row>
    <row r="202" spans="1:21" hidden="1" x14ac:dyDescent="0.25">
      <c r="A202"/>
      <c r="B202"/>
      <c r="C202"/>
      <c r="D202"/>
      <c r="E202"/>
      <c r="F202"/>
      <c r="G202"/>
      <c r="H202"/>
      <c r="I202"/>
      <c r="J202"/>
      <c r="K202"/>
      <c r="L202" s="716"/>
      <c r="M202" s="716"/>
      <c r="N202" s="716"/>
      <c r="O202" s="716"/>
      <c r="P202"/>
      <c r="Q202"/>
      <c r="R202"/>
      <c r="S202"/>
      <c r="T202"/>
      <c r="U202"/>
    </row>
    <row r="203" spans="1:21" hidden="1" x14ac:dyDescent="0.25">
      <c r="A203" s="56" t="s">
        <v>441</v>
      </c>
      <c r="B203" s="22"/>
      <c r="C203" s="73"/>
      <c r="D203" s="74"/>
      <c r="E203" s="74"/>
      <c r="F203" s="74"/>
      <c r="G203" s="74"/>
      <c r="H203" s="73"/>
      <c r="K203" s="74"/>
      <c r="L203" s="708"/>
      <c r="M203" s="709"/>
      <c r="N203" s="665"/>
      <c r="O203" s="710"/>
      <c r="P203" s="73"/>
      <c r="Q203" s="73"/>
      <c r="R203" s="73"/>
      <c r="S203" s="73"/>
      <c r="U203" s="74"/>
    </row>
    <row r="204" spans="1:21" hidden="1" x14ac:dyDescent="0.25">
      <c r="A204" s="22"/>
      <c r="B204" s="22"/>
      <c r="C204" s="73"/>
      <c r="D204" s="74"/>
      <c r="E204" s="74"/>
      <c r="F204" s="74"/>
      <c r="G204" s="74"/>
      <c r="H204" s="73"/>
      <c r="K204" s="74"/>
      <c r="L204" s="708"/>
      <c r="M204" s="709"/>
      <c r="N204" s="665"/>
      <c r="O204" s="710"/>
      <c r="P204" s="73"/>
      <c r="Q204" s="73"/>
      <c r="R204" s="73"/>
      <c r="S204" s="73"/>
      <c r="U204" s="74"/>
    </row>
    <row r="205" spans="1:21" hidden="1" x14ac:dyDescent="0.25">
      <c r="A205" s="22"/>
      <c r="B205" s="56" t="s">
        <v>444</v>
      </c>
      <c r="C205" s="73" t="e">
        <f>SUM(C179:C191)</f>
        <v>#REF!</v>
      </c>
      <c r="D205" s="73" t="e">
        <f>SUM(D179:D191)</f>
        <v>#REF!</v>
      </c>
      <c r="E205" s="73" t="e">
        <f>SUM(E179:E191)</f>
        <v>#REF!</v>
      </c>
      <c r="F205" s="73" t="e">
        <f>SUM(F179:F191)</f>
        <v>#REF!</v>
      </c>
      <c r="G205" s="73"/>
      <c r="H205" s="73" t="e">
        <f>SUM(H179:H191)</f>
        <v>#REF!</v>
      </c>
      <c r="I205" s="73" t="e">
        <f>SUM(I179:I191)</f>
        <v>#REF!</v>
      </c>
      <c r="J205" s="73" t="e">
        <f>SUM(J179:J191)</f>
        <v>#REF!</v>
      </c>
      <c r="K205" s="74"/>
      <c r="L205" s="708"/>
      <c r="M205" s="709"/>
      <c r="N205" s="665"/>
      <c r="O205" s="710"/>
      <c r="P205" s="73" t="e">
        <f t="shared" ref="P205:S205" si="128">SUM(P179:P191)</f>
        <v>#REF!</v>
      </c>
      <c r="Q205" s="73" t="e">
        <f t="shared" si="128"/>
        <v>#REF!</v>
      </c>
      <c r="R205" s="73" t="e">
        <f t="shared" si="128"/>
        <v>#REF!</v>
      </c>
      <c r="S205" s="73" t="e">
        <f t="shared" si="128"/>
        <v>#REF!</v>
      </c>
      <c r="U205" s="74"/>
    </row>
    <row r="206" spans="1:21" hidden="1" x14ac:dyDescent="0.25">
      <c r="A206" s="22"/>
      <c r="B206" s="332" t="s">
        <v>442</v>
      </c>
      <c r="C206" s="333" t="e">
        <f>+C205-C197</f>
        <v>#REF!</v>
      </c>
      <c r="D206" s="333" t="e">
        <f>+D205-D197</f>
        <v>#REF!</v>
      </c>
      <c r="E206" s="333" t="e">
        <f>+E205-E197</f>
        <v>#REF!</v>
      </c>
      <c r="F206" s="333" t="e">
        <f>+F205-F197</f>
        <v>#REF!</v>
      </c>
      <c r="G206" s="333"/>
      <c r="H206" s="333" t="e">
        <f>+H205-H197</f>
        <v>#REF!</v>
      </c>
      <c r="I206" s="333" t="e">
        <f>+I205-I197</f>
        <v>#REF!</v>
      </c>
      <c r="J206" s="333" t="e">
        <f>+J205-J197</f>
        <v>#REF!</v>
      </c>
      <c r="K206" s="334"/>
      <c r="L206" s="717"/>
      <c r="M206" s="718"/>
      <c r="N206" s="718"/>
      <c r="O206" s="717"/>
      <c r="P206" s="333" t="e">
        <f t="shared" ref="P206:S206" si="129">+P205-P197</f>
        <v>#REF!</v>
      </c>
      <c r="Q206" s="333" t="e">
        <f t="shared" si="129"/>
        <v>#REF!</v>
      </c>
      <c r="R206" s="333" t="e">
        <f t="shared" si="129"/>
        <v>#REF!</v>
      </c>
      <c r="S206" s="333" t="e">
        <f t="shared" si="129"/>
        <v>#REF!</v>
      </c>
      <c r="U206" s="74"/>
    </row>
    <row r="207" spans="1:21" hidden="1" x14ac:dyDescent="0.25">
      <c r="A207" s="22"/>
      <c r="B207" s="22"/>
      <c r="C207" s="73"/>
      <c r="D207" s="74"/>
      <c r="E207" s="74"/>
      <c r="F207" s="74"/>
      <c r="G207" s="74"/>
      <c r="H207" s="73"/>
      <c r="K207" s="74"/>
      <c r="L207" s="708"/>
      <c r="M207" s="709"/>
      <c r="N207" s="665"/>
      <c r="O207" s="710"/>
      <c r="P207" s="23"/>
      <c r="Q207" s="23"/>
      <c r="R207" s="23"/>
      <c r="S207" s="23"/>
      <c r="U207" s="74"/>
    </row>
    <row r="208" spans="1:21" hidden="1" x14ac:dyDescent="0.25">
      <c r="A208" s="22"/>
      <c r="B208" s="56" t="s">
        <v>438</v>
      </c>
      <c r="C208" s="73" t="e">
        <f>+C205-C182-C189</f>
        <v>#REF!</v>
      </c>
      <c r="D208" s="73" t="e">
        <f>+D205-D182-D189</f>
        <v>#REF!</v>
      </c>
      <c r="E208" s="73" t="e">
        <f>+E205-E182-E189</f>
        <v>#REF!</v>
      </c>
      <c r="F208" s="73" t="e">
        <f>+F205-F182-F189</f>
        <v>#REF!</v>
      </c>
      <c r="G208" s="73"/>
      <c r="H208" s="73" t="e">
        <f>+H205-H182-H189</f>
        <v>#REF!</v>
      </c>
      <c r="I208" s="73" t="e">
        <f>+I205-I182-I189</f>
        <v>#REF!</v>
      </c>
      <c r="J208" s="73" t="e">
        <f>+J205-J182-J189</f>
        <v>#REF!</v>
      </c>
      <c r="K208" s="74"/>
      <c r="L208" s="708"/>
      <c r="M208" s="709"/>
      <c r="N208" s="665"/>
      <c r="O208" s="710"/>
      <c r="P208" s="73" t="e">
        <f t="shared" ref="P208:S208" si="130">+P205-P182-P189</f>
        <v>#REF!</v>
      </c>
      <c r="Q208" s="73" t="e">
        <f t="shared" si="130"/>
        <v>#REF!</v>
      </c>
      <c r="R208" s="73" t="e">
        <f t="shared" si="130"/>
        <v>#REF!</v>
      </c>
      <c r="S208" s="73" t="e">
        <f t="shared" si="130"/>
        <v>#REF!</v>
      </c>
      <c r="U208" s="74"/>
    </row>
    <row r="209" spans="1:21" hidden="1" x14ac:dyDescent="0.25">
      <c r="A209" s="22"/>
      <c r="B209" s="332" t="s">
        <v>443</v>
      </c>
      <c r="C209" s="333" t="e">
        <f>+C208-C197</f>
        <v>#REF!</v>
      </c>
      <c r="D209" s="333" t="e">
        <f>+D208-D197</f>
        <v>#REF!</v>
      </c>
      <c r="E209" s="333" t="e">
        <f>+E208-E197</f>
        <v>#REF!</v>
      </c>
      <c r="F209" s="333" t="e">
        <f>+F208-F197</f>
        <v>#REF!</v>
      </c>
      <c r="G209" s="333"/>
      <c r="H209" s="333" t="e">
        <f>+H208-H197</f>
        <v>#REF!</v>
      </c>
      <c r="I209" s="333" t="e">
        <f>+I208-I197</f>
        <v>#REF!</v>
      </c>
      <c r="J209" s="333" t="e">
        <f>+J208-J197</f>
        <v>#REF!</v>
      </c>
      <c r="K209" s="334"/>
      <c r="L209" s="717"/>
      <c r="M209" s="718"/>
      <c r="N209" s="718"/>
      <c r="O209" s="717"/>
      <c r="P209" s="333" t="e">
        <f t="shared" ref="P209:S209" si="131">+P208-P197</f>
        <v>#REF!</v>
      </c>
      <c r="Q209" s="333" t="e">
        <f t="shared" si="131"/>
        <v>#REF!</v>
      </c>
      <c r="R209" s="333" t="e">
        <f t="shared" si="131"/>
        <v>#REF!</v>
      </c>
      <c r="S209" s="333" t="e">
        <f t="shared" si="131"/>
        <v>#REF!</v>
      </c>
      <c r="U209" s="74"/>
    </row>
    <row r="210" spans="1:21" hidden="1" x14ac:dyDescent="0.25">
      <c r="A210" s="22"/>
      <c r="B210" s="22"/>
      <c r="C210" s="73"/>
      <c r="D210" s="74"/>
      <c r="E210" s="74"/>
      <c r="F210" s="74"/>
      <c r="G210" s="74"/>
      <c r="H210" s="73"/>
      <c r="K210" s="74"/>
      <c r="L210" s="708"/>
      <c r="M210" s="709"/>
      <c r="N210" s="665"/>
      <c r="O210" s="710"/>
      <c r="P210" s="73"/>
      <c r="Q210" s="73"/>
      <c r="R210" s="73"/>
      <c r="S210" s="73"/>
      <c r="U210" s="74"/>
    </row>
    <row r="211" spans="1:21" hidden="1" x14ac:dyDescent="0.25">
      <c r="A211" s="22"/>
      <c r="B211" s="22"/>
      <c r="C211" s="73"/>
      <c r="D211" s="74"/>
      <c r="E211" s="74"/>
      <c r="F211" s="74"/>
      <c r="G211" s="74"/>
      <c r="H211" s="73"/>
      <c r="K211" s="74"/>
      <c r="L211" s="708"/>
      <c r="M211" s="709"/>
      <c r="N211" s="665"/>
      <c r="O211" s="710"/>
      <c r="P211" s="73"/>
      <c r="Q211" s="73"/>
      <c r="R211" s="73"/>
      <c r="S211" s="73"/>
      <c r="U211" s="74"/>
    </row>
    <row r="212" spans="1:21" hidden="1" x14ac:dyDescent="0.25">
      <c r="A212" s="56" t="s">
        <v>0</v>
      </c>
      <c r="B212" s="22"/>
      <c r="C212" s="73">
        <f>+C13</f>
        <v>66622000</v>
      </c>
      <c r="D212" s="74"/>
      <c r="E212" s="74"/>
      <c r="F212" s="74"/>
      <c r="G212" s="74"/>
      <c r="H212" s="73"/>
      <c r="K212" s="74"/>
      <c r="L212" s="708"/>
      <c r="M212" s="709"/>
      <c r="N212" s="665"/>
      <c r="O212" s="710"/>
      <c r="P212" s="73"/>
      <c r="Q212" s="73"/>
      <c r="R212" s="73"/>
      <c r="S212" s="73"/>
      <c r="U212" s="74"/>
    </row>
    <row r="213" spans="1:21" hidden="1" x14ac:dyDescent="0.25">
      <c r="B213" s="56" t="str">
        <f>+'4. Dr Gáspár HSZK'!A1</f>
        <v>Dr. Gáspár István HSZK</v>
      </c>
      <c r="C213" s="73">
        <f>+'4. Dr Gáspár HSZK'!C13</f>
        <v>26281954</v>
      </c>
      <c r="D213" s="73">
        <f>+'4. Dr Gáspár HSZK'!D13</f>
        <v>26281954</v>
      </c>
      <c r="E213" s="73">
        <f>+'4. Dr Gáspár HSZK'!E13</f>
        <v>26281954</v>
      </c>
      <c r="F213" s="73">
        <f>+'4. Dr Gáspár HSZK'!F13</f>
        <v>0</v>
      </c>
      <c r="G213" s="73"/>
      <c r="H213" s="73">
        <f>+'4. Dr Gáspár HSZK'!H13</f>
        <v>11842617</v>
      </c>
      <c r="I213" s="73">
        <f>+'4. Dr Gáspár HSZK'!I13</f>
        <v>18141800</v>
      </c>
      <c r="J213" s="73">
        <f>+'4. Dr Gáspár HSZK'!J13</f>
        <v>0</v>
      </c>
      <c r="K213" s="73"/>
      <c r="L213" s="710"/>
      <c r="M213" s="710"/>
      <c r="N213" s="710"/>
      <c r="O213" s="710"/>
      <c r="P213" s="73">
        <f>+'4. Dr Gáspár HSZK'!P13</f>
        <v>0</v>
      </c>
      <c r="Q213" s="73">
        <f>+'4. Dr Gáspár HSZK'!Q13</f>
        <v>0</v>
      </c>
      <c r="R213" s="73">
        <f>+'4. Dr Gáspár HSZK'!R13</f>
        <v>0</v>
      </c>
      <c r="S213" s="73">
        <f>+'4. Dr Gáspár HSZK'!S13</f>
        <v>0</v>
      </c>
      <c r="U213" s="74"/>
    </row>
    <row r="214" spans="1:21" hidden="1" x14ac:dyDescent="0.25">
      <c r="A214" s="22"/>
      <c r="B214" s="56" t="str">
        <f>+'5. Csicsergő'!A1</f>
        <v>SÜLYSÁPI CSICSERGŐ ÓVODA</v>
      </c>
      <c r="C214" s="73">
        <f>+'5. Csicsergő'!C13</f>
        <v>145684000</v>
      </c>
      <c r="D214" s="73">
        <f>+'5. Csicsergő'!D13</f>
        <v>145684000</v>
      </c>
      <c r="E214" s="73">
        <f>+'5. Csicsergő'!E13</f>
        <v>145684000</v>
      </c>
      <c r="F214" s="73">
        <f>+'5. Csicsergő'!F13</f>
        <v>0</v>
      </c>
      <c r="G214" s="73"/>
      <c r="H214" s="73">
        <f>+'5. Csicsergő'!H13</f>
        <v>69259443</v>
      </c>
      <c r="I214" s="73">
        <f>+'5. Csicsergő'!I13</f>
        <v>106851886</v>
      </c>
      <c r="J214" s="73">
        <f>+'5. Csicsergő'!J13</f>
        <v>0</v>
      </c>
      <c r="K214" s="73"/>
      <c r="L214" s="710"/>
      <c r="M214" s="710"/>
      <c r="N214" s="710"/>
      <c r="O214" s="710"/>
      <c r="P214" s="73">
        <f>+'5. Csicsergő'!P13</f>
        <v>0</v>
      </c>
      <c r="Q214" s="73">
        <f>+'5. Csicsergő'!Q13</f>
        <v>0</v>
      </c>
      <c r="R214" s="73">
        <f>+'5. Csicsergő'!R13</f>
        <v>0</v>
      </c>
      <c r="S214" s="73">
        <f>+'5. Csicsergő'!S13</f>
        <v>0</v>
      </c>
      <c r="U214" s="74"/>
    </row>
    <row r="215" spans="1:21" hidden="1" x14ac:dyDescent="0.25">
      <c r="A215" s="22"/>
      <c r="B215" s="22" t="str">
        <f>+'6. Gólyahír'!A1</f>
        <v>GÓLYAHÍR BÖLCSŐDE</v>
      </c>
      <c r="C215" s="73">
        <f>+'6. Gólyahír'!C13</f>
        <v>43340000</v>
      </c>
      <c r="D215" s="73">
        <f>+'6. Gólyahír'!D13</f>
        <v>43340000</v>
      </c>
      <c r="E215" s="73">
        <f>+'6. Gólyahír'!E13</f>
        <v>43340000</v>
      </c>
      <c r="F215" s="73">
        <f>+'6. Gólyahír'!F13</f>
        <v>0</v>
      </c>
      <c r="G215" s="73"/>
      <c r="H215" s="73">
        <f>+'6. Gólyahír'!H13</f>
        <v>20669168</v>
      </c>
      <c r="I215" s="73">
        <f>+'6. Gólyahír'!I13</f>
        <v>31333670</v>
      </c>
      <c r="J215" s="73">
        <f>+'6. Gólyahír'!J13</f>
        <v>0</v>
      </c>
      <c r="K215" s="73"/>
      <c r="L215" s="710"/>
      <c r="M215" s="710"/>
      <c r="N215" s="710"/>
      <c r="O215" s="710"/>
      <c r="P215" s="73">
        <f>+'6. Gólyahír'!P13</f>
        <v>0</v>
      </c>
      <c r="Q215" s="73">
        <f>+'6. Gólyahír'!Q13</f>
        <v>0</v>
      </c>
      <c r="R215" s="73">
        <f>+'6. Gólyahír'!R13</f>
        <v>0</v>
      </c>
      <c r="S215" s="73">
        <f>+'6. Gólyahír'!S13</f>
        <v>0</v>
      </c>
      <c r="U215" s="74"/>
    </row>
    <row r="216" spans="1:21" hidden="1" x14ac:dyDescent="0.25">
      <c r="A216" s="22"/>
      <c r="B216" s="73" t="str">
        <f>+'7. Polg.Hiv.'!A1</f>
        <v>POLGÁRMESTERI HIVATAL</v>
      </c>
      <c r="C216" s="73">
        <f>+'7. Polg.Hiv.'!C13</f>
        <v>102325600</v>
      </c>
      <c r="D216" s="73">
        <f>+'7. Polg.Hiv.'!D13</f>
        <v>113400700</v>
      </c>
      <c r="E216" s="73">
        <f>+'7. Polg.Hiv.'!E13</f>
        <v>113400700</v>
      </c>
      <c r="F216" s="73">
        <f>+'7. Polg.Hiv.'!F13</f>
        <v>0</v>
      </c>
      <c r="G216" s="73"/>
      <c r="H216" s="73">
        <f>+'7. Polg.Hiv.'!H13</f>
        <v>51012328</v>
      </c>
      <c r="I216" s="73">
        <f>+'7. Polg.Hiv.'!I13</f>
        <v>76482976</v>
      </c>
      <c r="J216" s="73">
        <f>+'7. Polg.Hiv.'!J13</f>
        <v>0</v>
      </c>
      <c r="K216" s="73"/>
      <c r="L216" s="710"/>
      <c r="M216" s="710"/>
      <c r="N216" s="710"/>
      <c r="O216" s="710"/>
      <c r="P216" s="73">
        <f>+'7. Polg.Hiv.'!P13</f>
        <v>11075100</v>
      </c>
      <c r="Q216" s="73">
        <f>+'7. Polg.Hiv.'!Q13</f>
        <v>0</v>
      </c>
      <c r="R216" s="73">
        <f>+'7. Polg.Hiv.'!R13</f>
        <v>0</v>
      </c>
      <c r="S216" s="73">
        <f>+'7. Polg.Hiv.'!S13</f>
        <v>11075100</v>
      </c>
      <c r="U216" s="74"/>
    </row>
    <row r="217" spans="1:21" hidden="1" x14ac:dyDescent="0.25">
      <c r="A217" s="22"/>
      <c r="B217" s="73" t="str">
        <f>+'8. WAMKK'!A1</f>
        <v>Wass Albert Művelődési Központ és Könyvtár</v>
      </c>
      <c r="C217" s="73">
        <f>+'8. WAMKK'!C13</f>
        <v>13970000</v>
      </c>
      <c r="D217" s="73">
        <f>+'8. WAMKK'!D13</f>
        <v>13970000</v>
      </c>
      <c r="E217" s="73">
        <f>+'8. WAMKK'!E13</f>
        <v>13970000</v>
      </c>
      <c r="F217" s="73">
        <f>+'8. WAMKK'!F13</f>
        <v>0</v>
      </c>
      <c r="G217" s="73"/>
      <c r="H217" s="73">
        <f>+'8. WAMKK'!H13</f>
        <v>6042177</v>
      </c>
      <c r="I217" s="73">
        <f>+'8. WAMKK'!I13</f>
        <v>9018873</v>
      </c>
      <c r="J217" s="73">
        <f>+'8. WAMKK'!J13</f>
        <v>0</v>
      </c>
      <c r="K217" s="73"/>
      <c r="L217" s="710"/>
      <c r="M217" s="710"/>
      <c r="N217" s="710"/>
      <c r="O217" s="710"/>
      <c r="P217" s="73">
        <f>+'8. WAMKK'!P13</f>
        <v>0</v>
      </c>
      <c r="Q217" s="73">
        <f>+'8. WAMKK'!Q13</f>
        <v>0</v>
      </c>
      <c r="R217" s="73">
        <f>+'8. WAMKK'!R13</f>
        <v>0</v>
      </c>
      <c r="S217" s="73">
        <f>+'8. WAMKK'!S13</f>
        <v>0</v>
      </c>
      <c r="U217" s="74"/>
    </row>
    <row r="218" spans="1:21" hidden="1" x14ac:dyDescent="0.25">
      <c r="A218" s="22"/>
      <c r="B218" s="73" t="str">
        <f>+'9. Közp. Konyha'!A1</f>
        <v>Központi Konyha</v>
      </c>
      <c r="C218" s="73">
        <f>+'9. Közp. Konyha'!C13</f>
        <v>29372000</v>
      </c>
      <c r="D218" s="73">
        <f>+'9. Közp. Konyha'!D13</f>
        <v>29372000</v>
      </c>
      <c r="E218" s="73">
        <f>+'9. Közp. Konyha'!E13</f>
        <v>29372000</v>
      </c>
      <c r="F218" s="73">
        <f>+'9. Közp. Konyha'!F13</f>
        <v>0</v>
      </c>
      <c r="G218" s="73"/>
      <c r="H218" s="73">
        <f>+'9. Közp. Konyha'!H13</f>
        <v>14524060</v>
      </c>
      <c r="I218" s="73">
        <f>+'9. Közp. Konyha'!I13</f>
        <v>22067739</v>
      </c>
      <c r="J218" s="73">
        <f>+'9. Közp. Konyha'!J13</f>
        <v>0</v>
      </c>
      <c r="K218" s="73"/>
      <c r="L218" s="710"/>
      <c r="M218" s="710"/>
      <c r="N218" s="710"/>
      <c r="O218" s="710"/>
      <c r="P218" s="73">
        <f>+'9. Közp. Konyha'!P13</f>
        <v>0</v>
      </c>
      <c r="Q218" s="73">
        <f>+'9. Közp. Konyha'!Q13</f>
        <v>0</v>
      </c>
      <c r="R218" s="73">
        <f>+'9. Közp. Konyha'!R13</f>
        <v>0</v>
      </c>
      <c r="S218" s="73">
        <f>+'9. Közp. Konyha'!S13</f>
        <v>0</v>
      </c>
      <c r="U218" s="74"/>
    </row>
    <row r="219" spans="1:21" hidden="1" x14ac:dyDescent="0.25">
      <c r="A219" s="22"/>
      <c r="B219" s="340" t="s">
        <v>447</v>
      </c>
      <c r="C219" s="341">
        <f>SUM(C213:C218)</f>
        <v>360973554</v>
      </c>
      <c r="D219" s="341">
        <f>SUM(D213:D218)</f>
        <v>372048654</v>
      </c>
      <c r="E219" s="341">
        <f>SUM(E213:E218)</f>
        <v>372048654</v>
      </c>
      <c r="F219" s="341">
        <f>SUM(F213:F218)</f>
        <v>0</v>
      </c>
      <c r="G219" s="341"/>
      <c r="H219" s="341">
        <f>SUM(H213:H218)</f>
        <v>173349793</v>
      </c>
      <c r="I219" s="341">
        <f>SUM(I213:I218)</f>
        <v>263896944</v>
      </c>
      <c r="J219" s="341">
        <f>SUM(J213:J218)</f>
        <v>0</v>
      </c>
      <c r="K219" s="341"/>
      <c r="L219" s="719"/>
      <c r="M219" s="719"/>
      <c r="N219" s="719"/>
      <c r="O219" s="719"/>
      <c r="P219" s="341">
        <f>SUM(P213:P218)</f>
        <v>11075100</v>
      </c>
      <c r="Q219" s="341">
        <f>SUM(Q213:Q218)</f>
        <v>0</v>
      </c>
      <c r="R219" s="341">
        <f>SUM(R213:R218)</f>
        <v>0</v>
      </c>
      <c r="S219" s="342">
        <f>SUM(S213:S218)</f>
        <v>11075100</v>
      </c>
      <c r="U219" s="74"/>
    </row>
    <row r="220" spans="1:21" hidden="1" x14ac:dyDescent="0.25">
      <c r="A220" s="22"/>
      <c r="B220" s="22"/>
      <c r="C220" s="73"/>
      <c r="D220" s="74"/>
      <c r="E220" s="74"/>
      <c r="F220" s="74"/>
      <c r="G220" s="74"/>
      <c r="H220" s="73"/>
      <c r="K220" s="74"/>
      <c r="L220" s="708"/>
      <c r="M220" s="709"/>
      <c r="N220" s="665"/>
      <c r="O220" s="710"/>
      <c r="P220" s="73"/>
      <c r="Q220" s="73"/>
      <c r="R220" s="73"/>
      <c r="S220" s="73"/>
      <c r="U220" s="74"/>
    </row>
    <row r="221" spans="1:21" hidden="1" x14ac:dyDescent="0.25">
      <c r="A221" s="56" t="s">
        <v>26</v>
      </c>
      <c r="B221" s="56" t="str">
        <f>+B213</f>
        <v>Dr. Gáspár István HSZK</v>
      </c>
      <c r="C221" s="73">
        <f>+'4. Dr Gáspár HSZK'!C29</f>
        <v>4876356.03</v>
      </c>
      <c r="D221" s="73">
        <f>+'4. Dr Gáspár HSZK'!D29</f>
        <v>4876356</v>
      </c>
      <c r="E221" s="73">
        <f>+'4. Dr Gáspár HSZK'!E29</f>
        <v>4876356</v>
      </c>
      <c r="F221" s="73">
        <f>+'4. Dr Gáspár HSZK'!F29</f>
        <v>0</v>
      </c>
      <c r="G221" s="73"/>
      <c r="H221" s="73">
        <f>+'4. Dr Gáspár HSZK'!H29</f>
        <v>2545934</v>
      </c>
      <c r="I221" s="73">
        <f>+'4. Dr Gáspár HSZK'!I29</f>
        <v>3690717</v>
      </c>
      <c r="J221" s="73">
        <f>+'4. Dr Gáspár HSZK'!J29</f>
        <v>0</v>
      </c>
      <c r="K221" s="73"/>
      <c r="L221" s="710"/>
      <c r="M221" s="710"/>
      <c r="N221" s="710"/>
      <c r="O221" s="710"/>
      <c r="P221" s="73">
        <f>+'4. Dr Gáspár HSZK'!P29</f>
        <v>-3.0000000260770321E-2</v>
      </c>
      <c r="Q221" s="73">
        <f>+'4. Dr Gáspár HSZK'!Q29</f>
        <v>0</v>
      </c>
      <c r="R221" s="73">
        <f>+'4. Dr Gáspár HSZK'!R29</f>
        <v>0</v>
      </c>
      <c r="S221" s="73">
        <f>+'4. Dr Gáspár HSZK'!S29</f>
        <v>-3.0000000260770321E-2</v>
      </c>
      <c r="U221" s="74"/>
    </row>
    <row r="222" spans="1:21" hidden="1" x14ac:dyDescent="0.25">
      <c r="A222" s="22"/>
      <c r="B222" s="56" t="str">
        <f t="shared" ref="B222:B226" si="132">+B214</f>
        <v>SÜLYSÁPI CSICSERGŐ ÓVODA</v>
      </c>
      <c r="C222" s="73">
        <f>+'5. Csicsergő'!C30</f>
        <v>30000000</v>
      </c>
      <c r="D222" s="73">
        <f>+'5. Csicsergő'!D30</f>
        <v>30000000</v>
      </c>
      <c r="E222" s="73">
        <f>+'5. Csicsergő'!E30</f>
        <v>30000000</v>
      </c>
      <c r="F222" s="73">
        <f>+'5. Csicsergő'!F30</f>
        <v>0</v>
      </c>
      <c r="G222" s="73"/>
      <c r="H222" s="73">
        <f>+'5. Csicsergő'!H30</f>
        <v>14696128</v>
      </c>
      <c r="I222" s="73">
        <f>+'5. Csicsergő'!I30</f>
        <v>21528393</v>
      </c>
      <c r="J222" s="73">
        <f>+'5. Csicsergő'!J30</f>
        <v>0</v>
      </c>
      <c r="K222" s="73"/>
      <c r="L222" s="710"/>
      <c r="M222" s="710"/>
      <c r="N222" s="710"/>
      <c r="O222" s="710"/>
      <c r="P222" s="73">
        <f>+'5. Csicsergő'!P30</f>
        <v>0</v>
      </c>
      <c r="Q222" s="73">
        <f>+'5. Csicsergő'!Q30</f>
        <v>0</v>
      </c>
      <c r="R222" s="73">
        <f>+'5. Csicsergő'!R30</f>
        <v>0</v>
      </c>
      <c r="S222" s="73">
        <f>+'5. Csicsergő'!S30</f>
        <v>0</v>
      </c>
      <c r="U222" s="74"/>
    </row>
    <row r="223" spans="1:21" hidden="1" x14ac:dyDescent="0.25">
      <c r="A223" s="22"/>
      <c r="B223" s="56" t="str">
        <f t="shared" si="132"/>
        <v>GÓLYAHÍR BÖLCSŐDE</v>
      </c>
      <c r="C223" s="73">
        <f>+'6. Gólyahír'!C29</f>
        <v>8153000</v>
      </c>
      <c r="D223" s="73">
        <f>+'6. Gólyahír'!D29</f>
        <v>8153000</v>
      </c>
      <c r="E223" s="73">
        <f>+'6. Gólyahír'!E29</f>
        <v>8153000</v>
      </c>
      <c r="F223" s="73">
        <f>+'6. Gólyahír'!F29</f>
        <v>0</v>
      </c>
      <c r="G223" s="73"/>
      <c r="H223" s="73">
        <f>+'6. Gólyahír'!H29</f>
        <v>4692885</v>
      </c>
      <c r="I223" s="73">
        <f>+'6. Gólyahír'!I29</f>
        <v>6664922</v>
      </c>
      <c r="J223" s="73">
        <f>+'6. Gólyahír'!J29</f>
        <v>0</v>
      </c>
      <c r="K223" s="73"/>
      <c r="L223" s="710"/>
      <c r="M223" s="710"/>
      <c r="N223" s="710"/>
      <c r="O223" s="710"/>
      <c r="P223" s="73">
        <f>+'6. Gólyahír'!P29</f>
        <v>0</v>
      </c>
      <c r="Q223" s="73">
        <f>+'6. Gólyahír'!Q29</f>
        <v>0</v>
      </c>
      <c r="R223" s="73">
        <f>+'6. Gólyahír'!R29</f>
        <v>0</v>
      </c>
      <c r="S223" s="73">
        <f>+'6. Gólyahír'!S29</f>
        <v>0</v>
      </c>
      <c r="U223" s="74"/>
    </row>
    <row r="224" spans="1:21" hidden="1" x14ac:dyDescent="0.25">
      <c r="A224" s="22"/>
      <c r="B224" s="56" t="str">
        <f t="shared" si="132"/>
        <v>POLGÁRMESTERI HIVATAL</v>
      </c>
      <c r="C224" s="73">
        <f>+'7. Polg.Hiv.'!C29</f>
        <v>20252000</v>
      </c>
      <c r="D224" s="73">
        <f>+'7. Polg.Hiv.'!D29</f>
        <v>20498675</v>
      </c>
      <c r="E224" s="73">
        <f>+'7. Polg.Hiv.'!E29</f>
        <v>20521473</v>
      </c>
      <c r="F224" s="73">
        <f>+'7. Polg.Hiv.'!F29</f>
        <v>0</v>
      </c>
      <c r="G224" s="73"/>
      <c r="H224" s="73">
        <f>+'7. Polg.Hiv.'!H29</f>
        <v>11664414</v>
      </c>
      <c r="I224" s="73">
        <f>+'7. Polg.Hiv.'!I29</f>
        <v>16279513</v>
      </c>
      <c r="J224" s="73">
        <f>+'7. Polg.Hiv.'!J29</f>
        <v>0</v>
      </c>
      <c r="K224" s="73"/>
      <c r="L224" s="710"/>
      <c r="M224" s="710"/>
      <c r="N224" s="710"/>
      <c r="O224" s="710"/>
      <c r="P224" s="73">
        <f>+'7. Polg.Hiv.'!P29</f>
        <v>246675</v>
      </c>
      <c r="Q224" s="73">
        <f>+'7. Polg.Hiv.'!Q29</f>
        <v>22798</v>
      </c>
      <c r="R224" s="73">
        <f>+'7. Polg.Hiv.'!R29</f>
        <v>0</v>
      </c>
      <c r="S224" s="73">
        <f>+'7. Polg.Hiv.'!S29</f>
        <v>269473</v>
      </c>
      <c r="U224" s="74"/>
    </row>
    <row r="225" spans="1:21" hidden="1" x14ac:dyDescent="0.25">
      <c r="A225" s="22"/>
      <c r="B225" s="56" t="str">
        <f t="shared" si="132"/>
        <v>Wass Albert Művelődési Központ és Könyvtár</v>
      </c>
      <c r="C225" s="73">
        <f>+'8. WAMKK'!C29</f>
        <v>3000000</v>
      </c>
      <c r="D225" s="73">
        <f>+'8. WAMKK'!D29</f>
        <v>3000000</v>
      </c>
      <c r="E225" s="73">
        <f>+'8. WAMKK'!E29</f>
        <v>3000000</v>
      </c>
      <c r="F225" s="73">
        <f>+'8. WAMKK'!F29</f>
        <v>0</v>
      </c>
      <c r="G225" s="73"/>
      <c r="H225" s="73">
        <f>+'8. WAMKK'!H29</f>
        <v>1315967</v>
      </c>
      <c r="I225" s="73">
        <f>+'8. WAMKK'!I29</f>
        <v>1869747</v>
      </c>
      <c r="J225" s="73">
        <f>+'8. WAMKK'!J29</f>
        <v>0</v>
      </c>
      <c r="K225" s="73"/>
      <c r="L225" s="710"/>
      <c r="M225" s="710"/>
      <c r="N225" s="710"/>
      <c r="O225" s="710"/>
      <c r="P225" s="73">
        <f>+'8. WAMKK'!P29</f>
        <v>0</v>
      </c>
      <c r="Q225" s="73">
        <f>+'8. WAMKK'!Q29</f>
        <v>0</v>
      </c>
      <c r="R225" s="73">
        <f>+'8. WAMKK'!R29</f>
        <v>0</v>
      </c>
      <c r="S225" s="73">
        <f>+'8. WAMKK'!S29</f>
        <v>0</v>
      </c>
      <c r="U225" s="74"/>
    </row>
    <row r="226" spans="1:21" hidden="1" x14ac:dyDescent="0.25">
      <c r="A226" s="22"/>
      <c r="B226" s="56" t="str">
        <f t="shared" si="132"/>
        <v>Központi Konyha</v>
      </c>
      <c r="C226" s="73">
        <f>+'9. Közp. Konyha'!C29</f>
        <v>5600000</v>
      </c>
      <c r="D226" s="73">
        <f>+'9. Közp. Konyha'!D29</f>
        <v>5600000</v>
      </c>
      <c r="E226" s="73">
        <f>+'9. Közp. Konyha'!E29</f>
        <v>5600000</v>
      </c>
      <c r="F226" s="73">
        <f>+'9. Közp. Konyha'!F29</f>
        <v>0</v>
      </c>
      <c r="G226" s="73"/>
      <c r="H226" s="73">
        <f>+'9. Közp. Konyha'!H29</f>
        <v>3351913</v>
      </c>
      <c r="I226" s="73">
        <f>+'9. Közp. Konyha'!I29</f>
        <v>4719990</v>
      </c>
      <c r="J226" s="73">
        <f>+'9. Közp. Konyha'!J29</f>
        <v>0</v>
      </c>
      <c r="K226" s="73"/>
      <c r="L226" s="710"/>
      <c r="M226" s="710"/>
      <c r="N226" s="710"/>
      <c r="O226" s="710"/>
      <c r="P226" s="73">
        <f>+'9. Közp. Konyha'!P29</f>
        <v>0</v>
      </c>
      <c r="Q226" s="73">
        <f>+'9. Közp. Konyha'!Q29</f>
        <v>0</v>
      </c>
      <c r="R226" s="73">
        <f>+'9. Közp. Konyha'!R29</f>
        <v>0</v>
      </c>
      <c r="S226" s="73">
        <f>+'9. Közp. Konyha'!S29</f>
        <v>0</v>
      </c>
      <c r="U226" s="74"/>
    </row>
    <row r="227" spans="1:21" hidden="1" x14ac:dyDescent="0.25">
      <c r="A227" s="22"/>
      <c r="B227" s="340" t="s">
        <v>447</v>
      </c>
      <c r="C227" s="341">
        <f>SUM(C221:C226)</f>
        <v>71881356.030000001</v>
      </c>
      <c r="D227" s="341">
        <f>SUM(D221:D226)</f>
        <v>72128031</v>
      </c>
      <c r="E227" s="341">
        <f>SUM(E221:E226)</f>
        <v>72150829</v>
      </c>
      <c r="F227" s="341">
        <f>SUM(F221:F226)</f>
        <v>0</v>
      </c>
      <c r="G227" s="341"/>
      <c r="H227" s="341">
        <f>SUM(H221:H226)</f>
        <v>38267241</v>
      </c>
      <c r="I227" s="341">
        <f>SUM(I221:I226)</f>
        <v>54753282</v>
      </c>
      <c r="J227" s="341">
        <f>SUM(J221:J226)</f>
        <v>0</v>
      </c>
      <c r="K227" s="341"/>
      <c r="L227" s="719"/>
      <c r="M227" s="719"/>
      <c r="N227" s="719"/>
      <c r="O227" s="719"/>
      <c r="P227" s="341">
        <f>SUM(P221:P226)</f>
        <v>246674.96999999974</v>
      </c>
      <c r="Q227" s="341">
        <f>SUM(Q221:Q226)</f>
        <v>22798</v>
      </c>
      <c r="R227" s="341">
        <f>SUM(R221:R226)</f>
        <v>0</v>
      </c>
      <c r="S227" s="342">
        <f>SUM(S221:S226)</f>
        <v>269472.96999999974</v>
      </c>
      <c r="U227" s="74"/>
    </row>
    <row r="228" spans="1:21" hidden="1" x14ac:dyDescent="0.25">
      <c r="A228" s="22"/>
      <c r="B228" s="22"/>
      <c r="C228" s="73"/>
      <c r="D228" s="74"/>
      <c r="E228" s="74"/>
      <c r="F228" s="74"/>
      <c r="G228" s="74"/>
      <c r="H228" s="73"/>
      <c r="K228" s="74"/>
      <c r="L228" s="708"/>
      <c r="M228" s="709"/>
      <c r="N228" s="665"/>
      <c r="O228" s="710"/>
      <c r="P228" s="73"/>
      <c r="Q228" s="73"/>
      <c r="R228" s="73"/>
      <c r="S228" s="73"/>
      <c r="U228" s="74"/>
    </row>
    <row r="229" spans="1:21" hidden="1" x14ac:dyDescent="0.25">
      <c r="A229" s="56" t="s">
        <v>29</v>
      </c>
      <c r="B229" s="56" t="str">
        <f>+B221</f>
        <v>Dr. Gáspár István HSZK</v>
      </c>
      <c r="C229" s="73">
        <f>+'4. Dr Gáspár HSZK'!C32</f>
        <v>10130000</v>
      </c>
      <c r="D229" s="73">
        <f>+'4. Dr Gáspár HSZK'!D32</f>
        <v>10130000</v>
      </c>
      <c r="E229" s="73">
        <f>+'4. Dr Gáspár HSZK'!E32</f>
        <v>10130000</v>
      </c>
      <c r="F229" s="73">
        <f>+'4. Dr Gáspár HSZK'!F32</f>
        <v>0</v>
      </c>
      <c r="G229" s="73"/>
      <c r="H229" s="73">
        <f>+'4. Dr Gáspár HSZK'!H32</f>
        <v>3117797</v>
      </c>
      <c r="I229" s="73">
        <f>+'4. Dr Gáspár HSZK'!I32</f>
        <v>5702808</v>
      </c>
      <c r="J229" s="73">
        <f>+'4. Dr Gáspár HSZK'!J32</f>
        <v>0</v>
      </c>
      <c r="K229" s="73"/>
      <c r="L229" s="710"/>
      <c r="M229" s="710"/>
      <c r="N229" s="710"/>
      <c r="O229" s="710"/>
      <c r="P229" s="73">
        <f>+'4. Dr Gáspár HSZK'!P32</f>
        <v>0</v>
      </c>
      <c r="Q229" s="73">
        <f>+'4. Dr Gáspár HSZK'!Q32</f>
        <v>0</v>
      </c>
      <c r="R229" s="73">
        <f>+'4. Dr Gáspár HSZK'!R32</f>
        <v>0</v>
      </c>
      <c r="S229" s="73">
        <f>+'4. Dr Gáspár HSZK'!S32</f>
        <v>0</v>
      </c>
      <c r="U229" s="74"/>
    </row>
    <row r="230" spans="1:21" hidden="1" x14ac:dyDescent="0.25">
      <c r="A230" s="22"/>
      <c r="B230" s="56" t="str">
        <f t="shared" ref="B230:B234" si="133">+B222</f>
        <v>SÜLYSÁPI CSICSERGŐ ÓVODA</v>
      </c>
      <c r="C230" s="73">
        <f>+'5. Csicsergő'!C33</f>
        <v>15885000</v>
      </c>
      <c r="D230" s="73">
        <f>+'5. Csicsergő'!D33</f>
        <v>15885000</v>
      </c>
      <c r="E230" s="73">
        <f>+'5. Csicsergő'!E33</f>
        <v>15885000</v>
      </c>
      <c r="F230" s="73">
        <f>+'5. Csicsergő'!F33</f>
        <v>0</v>
      </c>
      <c r="G230" s="73"/>
      <c r="H230" s="73">
        <f>+'5. Csicsergő'!H33</f>
        <v>6272583</v>
      </c>
      <c r="I230" s="73">
        <f>+'5. Csicsergő'!I33</f>
        <v>8740932</v>
      </c>
      <c r="J230" s="73">
        <f>+'5. Csicsergő'!J33</f>
        <v>0</v>
      </c>
      <c r="K230" s="73"/>
      <c r="L230" s="710"/>
      <c r="M230" s="710"/>
      <c r="N230" s="710"/>
      <c r="O230" s="710"/>
      <c r="P230" s="73">
        <f>+'5. Csicsergő'!P33</f>
        <v>0</v>
      </c>
      <c r="Q230" s="73">
        <f>+'5. Csicsergő'!Q33</f>
        <v>0</v>
      </c>
      <c r="R230" s="73">
        <f>+'5. Csicsergő'!R33</f>
        <v>0</v>
      </c>
      <c r="S230" s="73">
        <f>+'5. Csicsergő'!S33</f>
        <v>0</v>
      </c>
      <c r="U230" s="74"/>
    </row>
    <row r="231" spans="1:21" hidden="1" x14ac:dyDescent="0.25">
      <c r="A231" s="22"/>
      <c r="B231" s="56" t="str">
        <f t="shared" si="133"/>
        <v>GÓLYAHÍR BÖLCSŐDE</v>
      </c>
      <c r="C231" s="73">
        <f>+'6. Gólyahír'!C32</f>
        <v>13785000</v>
      </c>
      <c r="D231" s="73">
        <f>+'6. Gólyahír'!D32</f>
        <v>13305000</v>
      </c>
      <c r="E231" s="73">
        <f>+'6. Gólyahír'!E32</f>
        <v>13305000</v>
      </c>
      <c r="F231" s="73">
        <f>+'6. Gólyahír'!F32</f>
        <v>0</v>
      </c>
      <c r="G231" s="73"/>
      <c r="H231" s="73">
        <f>+'6. Gólyahír'!H32</f>
        <v>5536614</v>
      </c>
      <c r="I231" s="73">
        <f>+'6. Gólyahír'!I32</f>
        <v>8025288</v>
      </c>
      <c r="J231" s="73">
        <f>+'6. Gólyahír'!J32</f>
        <v>0</v>
      </c>
      <c r="K231" s="73"/>
      <c r="L231" s="710"/>
      <c r="M231" s="710"/>
      <c r="N231" s="710"/>
      <c r="O231" s="710"/>
      <c r="P231" s="73">
        <f>+'6. Gólyahír'!P32</f>
        <v>-480000</v>
      </c>
      <c r="Q231" s="73">
        <f>+'6. Gólyahír'!Q32</f>
        <v>0</v>
      </c>
      <c r="R231" s="73">
        <f>+'6. Gólyahír'!R32</f>
        <v>0</v>
      </c>
      <c r="S231" s="73">
        <f>+'6. Gólyahír'!S32</f>
        <v>-480000</v>
      </c>
      <c r="U231" s="74"/>
    </row>
    <row r="232" spans="1:21" hidden="1" x14ac:dyDescent="0.25">
      <c r="A232" s="22"/>
      <c r="B232" s="56" t="str">
        <f t="shared" si="133"/>
        <v>POLGÁRMESTERI HIVATAL</v>
      </c>
      <c r="C232" s="73">
        <f>+'7. Polg.Hiv.'!C32</f>
        <v>11128000</v>
      </c>
      <c r="D232" s="73">
        <f>+'7. Polg.Hiv.'!D32</f>
        <v>11011573</v>
      </c>
      <c r="E232" s="73">
        <f>+'7. Polg.Hiv.'!E32</f>
        <v>11235624</v>
      </c>
      <c r="F232" s="73">
        <f>+'7. Polg.Hiv.'!F32</f>
        <v>0</v>
      </c>
      <c r="G232" s="73"/>
      <c r="H232" s="73">
        <f>+'7. Polg.Hiv.'!H32</f>
        <v>4746493</v>
      </c>
      <c r="I232" s="73">
        <f>+'7. Polg.Hiv.'!I32</f>
        <v>7111916</v>
      </c>
      <c r="J232" s="73">
        <f>+'7. Polg.Hiv.'!J32</f>
        <v>0</v>
      </c>
      <c r="K232" s="73"/>
      <c r="L232" s="710"/>
      <c r="M232" s="710"/>
      <c r="N232" s="710"/>
      <c r="O232" s="710"/>
      <c r="P232" s="73">
        <f>+'7. Polg.Hiv.'!P32</f>
        <v>-116427</v>
      </c>
      <c r="Q232" s="73">
        <f>+'7. Polg.Hiv.'!Q32</f>
        <v>224051</v>
      </c>
      <c r="R232" s="73">
        <f>+'7. Polg.Hiv.'!R32</f>
        <v>0</v>
      </c>
      <c r="S232" s="73">
        <f>+'7. Polg.Hiv.'!S32</f>
        <v>107624</v>
      </c>
      <c r="U232" s="74"/>
    </row>
    <row r="233" spans="1:21" hidden="1" x14ac:dyDescent="0.25">
      <c r="A233" s="22"/>
      <c r="B233" s="56" t="str">
        <f t="shared" si="133"/>
        <v>Wass Albert Művelődési Központ és Könyvtár</v>
      </c>
      <c r="C233" s="73">
        <f>+'8. WAMKK'!C32</f>
        <v>13092000</v>
      </c>
      <c r="D233" s="73">
        <f>+'8. WAMKK'!D32</f>
        <v>13019600</v>
      </c>
      <c r="E233" s="73">
        <f>+'8. WAMKK'!E32</f>
        <v>16293600</v>
      </c>
      <c r="F233" s="73">
        <f>+'8. WAMKK'!F32</f>
        <v>0</v>
      </c>
      <c r="G233" s="73"/>
      <c r="H233" s="73">
        <f>+'8. WAMKK'!H32</f>
        <v>4969781</v>
      </c>
      <c r="I233" s="73">
        <f>+'8. WAMKK'!I32</f>
        <v>12120491</v>
      </c>
      <c r="J233" s="73">
        <f>+'8. WAMKK'!J32</f>
        <v>0</v>
      </c>
      <c r="K233" s="73"/>
      <c r="L233" s="710"/>
      <c r="M233" s="710"/>
      <c r="N233" s="710"/>
      <c r="O233" s="710"/>
      <c r="P233" s="73">
        <f>+'8. WAMKK'!P32</f>
        <v>-72400</v>
      </c>
      <c r="Q233" s="73">
        <f>+'8. WAMKK'!Q32</f>
        <v>3274000</v>
      </c>
      <c r="R233" s="73">
        <f>+'8. WAMKK'!R32</f>
        <v>0</v>
      </c>
      <c r="S233" s="73">
        <f>+'8. WAMKK'!S32</f>
        <v>3201600</v>
      </c>
      <c r="U233" s="74"/>
    </row>
    <row r="234" spans="1:21" hidden="1" x14ac:dyDescent="0.25">
      <c r="A234" s="22"/>
      <c r="B234" s="56" t="str">
        <f t="shared" si="133"/>
        <v>Központi Konyha</v>
      </c>
      <c r="C234" s="73">
        <f>+'9. Közp. Konyha'!C32</f>
        <v>71371000</v>
      </c>
      <c r="D234" s="73">
        <f>+'9. Közp. Konyha'!D32</f>
        <v>71371000</v>
      </c>
      <c r="E234" s="73">
        <f>+'9. Közp. Konyha'!E32</f>
        <v>71371000</v>
      </c>
      <c r="F234" s="73">
        <f>+'9. Közp. Konyha'!F32</f>
        <v>0</v>
      </c>
      <c r="G234" s="73"/>
      <c r="H234" s="73">
        <f>+'9. Közp. Konyha'!H32</f>
        <v>35582506</v>
      </c>
      <c r="I234" s="73">
        <f>+'9. Közp. Konyha'!I32</f>
        <v>44993253</v>
      </c>
      <c r="J234" s="73">
        <f>+'9. Közp. Konyha'!J32</f>
        <v>0</v>
      </c>
      <c r="K234" s="73"/>
      <c r="L234" s="710"/>
      <c r="M234" s="710"/>
      <c r="N234" s="710"/>
      <c r="O234" s="710"/>
      <c r="P234" s="73">
        <f>+'9. Közp. Konyha'!P32</f>
        <v>0</v>
      </c>
      <c r="Q234" s="73">
        <f>+'9. Közp. Konyha'!Q32</f>
        <v>0</v>
      </c>
      <c r="R234" s="73">
        <f>+'9. Közp. Konyha'!R32</f>
        <v>0</v>
      </c>
      <c r="S234" s="73">
        <f>+'9. Közp. Konyha'!S32</f>
        <v>0</v>
      </c>
      <c r="U234" s="74"/>
    </row>
    <row r="235" spans="1:21" hidden="1" x14ac:dyDescent="0.25">
      <c r="A235" s="22"/>
      <c r="B235" s="340" t="s">
        <v>447</v>
      </c>
      <c r="C235" s="341">
        <f>SUM(C229:C234)</f>
        <v>135391000</v>
      </c>
      <c r="D235" s="341">
        <f>SUM(D229:D234)</f>
        <v>134722173</v>
      </c>
      <c r="E235" s="341">
        <f>SUM(E229:E234)</f>
        <v>138220224</v>
      </c>
      <c r="F235" s="341">
        <f>SUM(F229:F234)</f>
        <v>0</v>
      </c>
      <c r="G235" s="341"/>
      <c r="H235" s="341">
        <f>SUM(H229:H234)</f>
        <v>60225774</v>
      </c>
      <c r="I235" s="341">
        <f>SUM(I229:I234)</f>
        <v>86694688</v>
      </c>
      <c r="J235" s="341">
        <f>SUM(J229:J234)</f>
        <v>0</v>
      </c>
      <c r="K235" s="341"/>
      <c r="L235" s="719"/>
      <c r="M235" s="719"/>
      <c r="N235" s="719"/>
      <c r="O235" s="719"/>
      <c r="P235" s="341">
        <f>SUM(P229:P234)</f>
        <v>-668827</v>
      </c>
      <c r="Q235" s="341">
        <f>SUM(Q229:Q234)</f>
        <v>3498051</v>
      </c>
      <c r="R235" s="341">
        <f>SUM(R229:R234)</f>
        <v>0</v>
      </c>
      <c r="S235" s="342">
        <f>SUM(S229:S234)</f>
        <v>2829224</v>
      </c>
      <c r="U235" s="74"/>
    </row>
    <row r="236" spans="1:21" hidden="1" x14ac:dyDescent="0.25">
      <c r="A236" s="22"/>
      <c r="B236" s="22"/>
      <c r="C236" s="73"/>
      <c r="D236" s="74"/>
      <c r="E236" s="74"/>
      <c r="F236" s="74"/>
      <c r="G236" s="74"/>
      <c r="H236" s="73"/>
      <c r="K236" s="74"/>
      <c r="L236" s="708"/>
      <c r="M236" s="709"/>
      <c r="N236" s="665"/>
      <c r="O236" s="710"/>
      <c r="P236" s="73"/>
      <c r="Q236" s="73"/>
      <c r="R236" s="73"/>
      <c r="S236" s="73"/>
      <c r="U236" s="74"/>
    </row>
    <row r="237" spans="1:21" hidden="1" x14ac:dyDescent="0.25">
      <c r="A237" s="22"/>
      <c r="B237" s="22"/>
      <c r="C237" s="73">
        <f>+C227+C219</f>
        <v>432854910.02999997</v>
      </c>
      <c r="D237" s="74"/>
      <c r="E237" s="74"/>
      <c r="F237" s="74"/>
      <c r="G237" s="74"/>
      <c r="H237" s="73"/>
      <c r="K237" s="74"/>
      <c r="L237" s="708"/>
      <c r="M237" s="709"/>
      <c r="N237" s="665"/>
      <c r="O237" s="710"/>
      <c r="P237" s="73"/>
      <c r="Q237" s="73"/>
      <c r="R237" s="73"/>
      <c r="S237" s="73"/>
      <c r="U237" s="74"/>
    </row>
    <row r="238" spans="1:21" hidden="1" x14ac:dyDescent="0.25">
      <c r="A238" s="22"/>
      <c r="B238" s="22"/>
      <c r="C238" s="73"/>
      <c r="D238" s="74"/>
      <c r="E238" s="74"/>
      <c r="F238" s="74"/>
      <c r="G238" s="74"/>
      <c r="H238" s="73"/>
      <c r="K238" s="74"/>
      <c r="L238" s="708"/>
      <c r="M238" s="709"/>
      <c r="N238" s="665"/>
      <c r="O238" s="710"/>
      <c r="P238" s="73"/>
      <c r="Q238" s="73"/>
      <c r="R238" s="73"/>
      <c r="S238" s="73"/>
      <c r="U238" s="74"/>
    </row>
    <row r="239" spans="1:21" hidden="1" x14ac:dyDescent="0.25">
      <c r="A239" s="22"/>
      <c r="B239" s="22"/>
      <c r="C239" s="73"/>
      <c r="D239" s="74"/>
      <c r="E239" s="74"/>
      <c r="F239" s="74"/>
      <c r="G239" s="74"/>
      <c r="H239" s="73"/>
      <c r="K239" s="74"/>
      <c r="L239" s="708"/>
      <c r="M239" s="709"/>
      <c r="N239" s="665"/>
      <c r="O239" s="710"/>
      <c r="P239" s="73"/>
      <c r="Q239" s="73"/>
      <c r="R239" s="73"/>
      <c r="S239" s="73"/>
      <c r="U239" s="74"/>
    </row>
    <row r="240" spans="1:21" hidden="1" x14ac:dyDescent="0.25">
      <c r="A240" s="22"/>
      <c r="B240" s="22"/>
      <c r="C240" s="22"/>
      <c r="D240" s="23"/>
      <c r="H240" s="22"/>
      <c r="L240" s="708"/>
      <c r="M240" s="709"/>
      <c r="N240" s="665"/>
      <c r="O240" s="710"/>
      <c r="P240" s="22"/>
      <c r="Q240" s="22"/>
      <c r="R240" s="22"/>
      <c r="S240" s="22"/>
    </row>
    <row r="241" spans="1:19" hidden="1" x14ac:dyDescent="0.25">
      <c r="A241" s="22"/>
      <c r="B241" s="22"/>
      <c r="C241" s="22"/>
      <c r="D241" s="23"/>
      <c r="H241" s="22"/>
      <c r="L241" s="710"/>
      <c r="M241" s="665"/>
      <c r="N241" s="665"/>
      <c r="O241" s="710"/>
      <c r="P241" s="22"/>
      <c r="Q241" s="22"/>
      <c r="R241" s="22"/>
      <c r="S241" s="22"/>
    </row>
    <row r="242" spans="1:19" hidden="1" x14ac:dyDescent="0.25">
      <c r="A242" s="22"/>
      <c r="B242" s="22"/>
      <c r="C242" s="22"/>
      <c r="D242" s="23"/>
      <c r="H242" s="22"/>
      <c r="L242" s="710"/>
      <c r="M242" s="665"/>
      <c r="N242" s="665"/>
      <c r="O242" s="710"/>
      <c r="P242" s="22"/>
      <c r="Q242" s="22"/>
      <c r="R242" s="22"/>
      <c r="S242" s="22"/>
    </row>
    <row r="243" spans="1:19" hidden="1" x14ac:dyDescent="0.25">
      <c r="A243" s="22"/>
      <c r="B243" s="22"/>
      <c r="C243" s="22"/>
      <c r="D243" s="23"/>
      <c r="H243" s="22"/>
      <c r="L243" s="710"/>
      <c r="M243" s="665"/>
      <c r="N243" s="665"/>
      <c r="O243" s="710"/>
      <c r="P243" s="22"/>
      <c r="Q243" s="22"/>
      <c r="R243" s="22"/>
      <c r="S243" s="22"/>
    </row>
    <row r="244" spans="1:19" hidden="1" x14ac:dyDescent="0.25">
      <c r="A244" s="22"/>
      <c r="B244" s="22"/>
      <c r="C244" s="22"/>
      <c r="D244" s="23"/>
      <c r="H244" s="22"/>
      <c r="L244" s="710"/>
      <c r="M244" s="665"/>
      <c r="N244" s="665"/>
      <c r="O244" s="710"/>
      <c r="P244" s="22"/>
      <c r="Q244" s="22"/>
      <c r="R244" s="22"/>
      <c r="S244" s="22"/>
    </row>
    <row r="245" spans="1:19" hidden="1" x14ac:dyDescent="0.25">
      <c r="A245" s="22"/>
      <c r="B245" s="22"/>
      <c r="C245" s="22"/>
      <c r="D245" s="23"/>
      <c r="H245" s="22"/>
      <c r="L245" s="710"/>
      <c r="M245" s="665"/>
      <c r="N245" s="665"/>
      <c r="O245" s="710"/>
      <c r="P245" s="22"/>
      <c r="Q245" s="22"/>
      <c r="R245" s="22"/>
      <c r="S245" s="22"/>
    </row>
    <row r="246" spans="1:19" hidden="1" x14ac:dyDescent="0.25">
      <c r="A246" s="22"/>
      <c r="B246" s="22"/>
      <c r="C246" s="22"/>
      <c r="D246" s="23"/>
      <c r="H246" s="22"/>
      <c r="L246" s="710"/>
      <c r="M246" s="665"/>
      <c r="N246" s="665"/>
      <c r="O246" s="710"/>
      <c r="P246" s="22"/>
      <c r="Q246" s="22"/>
      <c r="R246" s="22"/>
      <c r="S246" s="22"/>
    </row>
    <row r="247" spans="1:19" hidden="1" x14ac:dyDescent="0.25">
      <c r="A247" s="22"/>
      <c r="B247" s="22"/>
      <c r="C247" s="22"/>
      <c r="D247" s="23"/>
      <c r="H247" s="22"/>
      <c r="L247" s="710"/>
      <c r="M247" s="665"/>
      <c r="N247" s="665"/>
      <c r="O247" s="710"/>
      <c r="P247" s="22"/>
      <c r="Q247" s="22"/>
      <c r="R247" s="22"/>
      <c r="S247" s="22"/>
    </row>
    <row r="248" spans="1:19" hidden="1" x14ac:dyDescent="0.25">
      <c r="A248" s="22"/>
      <c r="B248" s="22"/>
      <c r="C248" s="22"/>
      <c r="D248" s="23"/>
      <c r="H248" s="22"/>
      <c r="L248" s="710"/>
      <c r="M248" s="665"/>
      <c r="N248" s="665"/>
      <c r="O248" s="710"/>
      <c r="P248" s="22"/>
      <c r="Q248" s="22"/>
      <c r="R248" s="22"/>
      <c r="S248" s="22"/>
    </row>
    <row r="249" spans="1:19" hidden="1" x14ac:dyDescent="0.25">
      <c r="A249" s="22"/>
      <c r="B249" s="22"/>
      <c r="C249" s="22"/>
      <c r="D249" s="23"/>
      <c r="H249" s="22"/>
      <c r="L249" s="710"/>
      <c r="M249" s="665"/>
      <c r="N249" s="665"/>
      <c r="O249" s="710"/>
      <c r="P249" s="22"/>
      <c r="Q249" s="22"/>
      <c r="R249" s="22"/>
      <c r="S249" s="22"/>
    </row>
    <row r="250" spans="1:19" hidden="1" x14ac:dyDescent="0.25">
      <c r="A250" s="22"/>
      <c r="B250" s="22"/>
      <c r="C250" s="22"/>
      <c r="D250" s="23"/>
      <c r="H250" s="22"/>
      <c r="L250" s="710"/>
      <c r="M250" s="665"/>
      <c r="N250" s="665"/>
      <c r="O250" s="710"/>
      <c r="P250" s="22"/>
      <c r="Q250" s="22"/>
      <c r="R250" s="22"/>
      <c r="S250" s="22"/>
    </row>
    <row r="251" spans="1:19" hidden="1" x14ac:dyDescent="0.25">
      <c r="A251" s="22"/>
      <c r="B251" s="22"/>
      <c r="C251" s="22"/>
      <c r="D251" s="23"/>
      <c r="H251" s="22"/>
      <c r="L251" s="710"/>
      <c r="M251" s="665"/>
      <c r="N251" s="665"/>
      <c r="O251" s="710"/>
      <c r="P251" s="22"/>
      <c r="Q251" s="22"/>
      <c r="R251" s="22"/>
      <c r="S251" s="22"/>
    </row>
    <row r="252" spans="1:19" hidden="1" x14ac:dyDescent="0.25">
      <c r="A252" s="22"/>
      <c r="B252" s="22"/>
      <c r="C252" s="22"/>
      <c r="D252" s="23"/>
      <c r="H252" s="22"/>
      <c r="L252" s="710"/>
      <c r="M252" s="665"/>
      <c r="N252" s="665"/>
      <c r="O252" s="710"/>
      <c r="P252" s="22"/>
      <c r="Q252" s="22"/>
      <c r="R252" s="22"/>
      <c r="S252" s="22"/>
    </row>
    <row r="253" spans="1:19" hidden="1" x14ac:dyDescent="0.25">
      <c r="A253" s="22"/>
      <c r="B253" s="22"/>
      <c r="C253" s="22"/>
      <c r="D253" s="23"/>
      <c r="H253" s="22"/>
      <c r="L253" s="710"/>
      <c r="M253" s="665"/>
      <c r="N253" s="665"/>
      <c r="O253" s="710"/>
      <c r="P253" s="22"/>
      <c r="Q253" s="22"/>
      <c r="R253" s="22"/>
      <c r="S253" s="22"/>
    </row>
    <row r="254" spans="1:19" hidden="1" x14ac:dyDescent="0.25">
      <c r="A254" s="22"/>
      <c r="B254" s="22"/>
      <c r="C254" s="22"/>
      <c r="D254" s="23"/>
      <c r="H254" s="22"/>
      <c r="L254" s="710"/>
      <c r="M254" s="665"/>
      <c r="N254" s="665"/>
      <c r="O254" s="710"/>
      <c r="P254" s="22"/>
      <c r="Q254" s="22"/>
      <c r="R254" s="22"/>
      <c r="S254" s="22"/>
    </row>
    <row r="255" spans="1:19" hidden="1" x14ac:dyDescent="0.25">
      <c r="A255" s="22"/>
      <c r="B255" s="22"/>
      <c r="C255" s="22"/>
      <c r="D255" s="23"/>
      <c r="H255" s="22"/>
      <c r="L255" s="710"/>
      <c r="M255" s="665"/>
      <c r="N255" s="665"/>
      <c r="O255" s="710"/>
      <c r="P255" s="22"/>
      <c r="Q255" s="22"/>
      <c r="R255" s="22"/>
      <c r="S255" s="22"/>
    </row>
    <row r="256" spans="1:19" hidden="1" x14ac:dyDescent="0.25">
      <c r="A256" s="22"/>
      <c r="B256" s="22"/>
      <c r="C256" s="22"/>
      <c r="D256" s="23"/>
      <c r="H256" s="22"/>
      <c r="L256" s="710"/>
      <c r="M256" s="665"/>
      <c r="N256" s="665"/>
      <c r="O256" s="710"/>
      <c r="P256" s="22"/>
      <c r="Q256" s="22"/>
      <c r="R256" s="22"/>
      <c r="S256" s="22"/>
    </row>
    <row r="257" spans="1:19" hidden="1" x14ac:dyDescent="0.25">
      <c r="A257" s="22"/>
      <c r="B257" s="22"/>
      <c r="C257" s="22"/>
      <c r="D257" s="23"/>
      <c r="H257" s="22"/>
      <c r="L257" s="710"/>
      <c r="M257" s="665"/>
      <c r="N257" s="665"/>
      <c r="O257" s="710"/>
      <c r="P257" s="22"/>
      <c r="Q257" s="22"/>
      <c r="R257" s="22"/>
      <c r="S257" s="22"/>
    </row>
    <row r="258" spans="1:19" hidden="1" x14ac:dyDescent="0.25">
      <c r="A258" s="22"/>
      <c r="B258" s="22"/>
      <c r="C258" s="22"/>
      <c r="D258" s="23"/>
      <c r="H258" s="22"/>
      <c r="L258" s="710"/>
      <c r="M258" s="665"/>
      <c r="N258" s="665"/>
      <c r="O258" s="710"/>
      <c r="P258" s="22"/>
      <c r="Q258" s="22"/>
      <c r="R258" s="22"/>
      <c r="S258" s="22"/>
    </row>
    <row r="259" spans="1:19" hidden="1" x14ac:dyDescent="0.25">
      <c r="A259" s="22"/>
      <c r="B259" s="22"/>
      <c r="C259" s="22"/>
      <c r="D259" s="23"/>
      <c r="H259" s="22"/>
      <c r="L259" s="710"/>
      <c r="M259" s="665"/>
      <c r="N259" s="665"/>
      <c r="O259" s="710"/>
      <c r="P259" s="22"/>
      <c r="Q259" s="22"/>
      <c r="R259" s="22"/>
      <c r="S259" s="22"/>
    </row>
    <row r="260" spans="1:19" hidden="1" x14ac:dyDescent="0.25">
      <c r="A260" s="22"/>
      <c r="B260" s="22"/>
      <c r="C260" s="22"/>
      <c r="D260" s="23"/>
      <c r="H260" s="22"/>
      <c r="L260" s="710"/>
      <c r="M260" s="665"/>
      <c r="N260" s="665"/>
      <c r="O260" s="710"/>
      <c r="P260" s="22"/>
      <c r="Q260" s="22"/>
      <c r="R260" s="22"/>
      <c r="S260" s="22"/>
    </row>
    <row r="261" spans="1:19" hidden="1" x14ac:dyDescent="0.25">
      <c r="A261" s="22"/>
      <c r="B261" s="22"/>
      <c r="C261" s="22"/>
      <c r="D261" s="23"/>
      <c r="H261" s="22"/>
      <c r="L261" s="710"/>
      <c r="M261" s="665"/>
      <c r="N261" s="665"/>
      <c r="O261" s="710"/>
      <c r="P261" s="22"/>
      <c r="Q261" s="22"/>
      <c r="R261" s="22"/>
      <c r="S261" s="22"/>
    </row>
    <row r="262" spans="1:19" hidden="1" x14ac:dyDescent="0.25">
      <c r="A262" s="22"/>
      <c r="B262" s="22"/>
      <c r="C262" s="22"/>
      <c r="D262" s="23"/>
      <c r="H262" s="22"/>
      <c r="L262" s="710"/>
      <c r="M262" s="665"/>
      <c r="N262" s="665"/>
      <c r="O262" s="710"/>
      <c r="P262" s="22"/>
      <c r="Q262" s="22"/>
      <c r="R262" s="22"/>
      <c r="S262" s="22"/>
    </row>
    <row r="263" spans="1:19" hidden="1" x14ac:dyDescent="0.25">
      <c r="A263" s="22"/>
      <c r="B263" s="22"/>
      <c r="C263" s="22"/>
      <c r="D263" s="23"/>
      <c r="H263" s="22"/>
      <c r="L263" s="710"/>
      <c r="M263" s="665"/>
      <c r="N263" s="665"/>
      <c r="O263" s="710"/>
      <c r="P263" s="22"/>
      <c r="Q263" s="22"/>
      <c r="R263" s="22"/>
      <c r="S263" s="22"/>
    </row>
    <row r="264" spans="1:19" hidden="1" x14ac:dyDescent="0.25">
      <c r="A264" s="22"/>
      <c r="B264" s="22"/>
      <c r="C264" s="22"/>
      <c r="D264" s="23"/>
      <c r="H264" s="22"/>
      <c r="L264" s="710"/>
      <c r="M264" s="665"/>
      <c r="N264" s="665"/>
      <c r="O264" s="710"/>
      <c r="P264" s="22"/>
      <c r="Q264" s="22"/>
      <c r="R264" s="22"/>
      <c r="S264" s="22"/>
    </row>
    <row r="265" spans="1:19" hidden="1" x14ac:dyDescent="0.25">
      <c r="A265" s="22"/>
      <c r="B265" s="22"/>
      <c r="C265" s="22"/>
      <c r="D265" s="23"/>
      <c r="H265" s="22"/>
      <c r="L265" s="710"/>
      <c r="M265" s="665"/>
      <c r="N265" s="665"/>
      <c r="O265" s="710"/>
      <c r="P265" s="22"/>
      <c r="Q265" s="22"/>
      <c r="R265" s="22"/>
      <c r="S265" s="22"/>
    </row>
    <row r="266" spans="1:19" hidden="1" x14ac:dyDescent="0.25">
      <c r="A266" s="22"/>
      <c r="B266" s="22"/>
      <c r="C266" s="22"/>
      <c r="D266" s="23"/>
      <c r="H266" s="22"/>
      <c r="L266" s="710"/>
      <c r="M266" s="665"/>
      <c r="N266" s="665"/>
      <c r="O266" s="710"/>
      <c r="P266" s="22"/>
      <c r="Q266" s="22"/>
      <c r="R266" s="22"/>
      <c r="S266" s="22"/>
    </row>
    <row r="267" spans="1:19" hidden="1" x14ac:dyDescent="0.25">
      <c r="A267" s="22"/>
      <c r="B267" s="22"/>
      <c r="C267" s="22"/>
      <c r="D267" s="23"/>
      <c r="H267" s="22"/>
      <c r="L267" s="710"/>
      <c r="M267" s="665"/>
      <c r="N267" s="665"/>
      <c r="O267" s="710"/>
      <c r="P267" s="22"/>
      <c r="Q267" s="22"/>
      <c r="R267" s="22"/>
      <c r="S267" s="22"/>
    </row>
    <row r="268" spans="1:19" hidden="1" x14ac:dyDescent="0.25">
      <c r="A268" s="22"/>
      <c r="B268" s="22"/>
      <c r="C268" s="22"/>
      <c r="D268" s="23"/>
      <c r="H268" s="22"/>
      <c r="L268" s="710"/>
      <c r="M268" s="665"/>
      <c r="N268" s="665"/>
      <c r="O268" s="710"/>
      <c r="P268" s="22"/>
      <c r="Q268" s="22"/>
      <c r="R268" s="22"/>
      <c r="S268" s="22"/>
    </row>
    <row r="269" spans="1:19" hidden="1" x14ac:dyDescent="0.25">
      <c r="A269" s="22"/>
      <c r="B269" s="22"/>
      <c r="C269" s="22"/>
      <c r="D269" s="23"/>
      <c r="H269" s="22"/>
      <c r="L269" s="710"/>
      <c r="M269" s="665"/>
      <c r="N269" s="665"/>
      <c r="O269" s="710"/>
      <c r="P269" s="22"/>
      <c r="Q269" s="22"/>
      <c r="R269" s="22"/>
      <c r="S269" s="22"/>
    </row>
    <row r="270" spans="1:19" hidden="1" x14ac:dyDescent="0.25">
      <c r="A270" s="22"/>
      <c r="B270" s="22"/>
      <c r="C270" s="22"/>
      <c r="D270" s="23"/>
      <c r="H270" s="22"/>
      <c r="L270" s="710"/>
      <c r="M270" s="665"/>
      <c r="N270" s="665"/>
      <c r="O270" s="710"/>
      <c r="P270" s="22"/>
      <c r="Q270" s="22"/>
      <c r="R270" s="22"/>
      <c r="S270" s="22"/>
    </row>
    <row r="271" spans="1:19" hidden="1" x14ac:dyDescent="0.25">
      <c r="A271" s="22"/>
      <c r="B271" s="22"/>
      <c r="C271" s="22"/>
      <c r="D271" s="23"/>
      <c r="H271" s="22"/>
      <c r="L271" s="710"/>
      <c r="M271" s="665"/>
      <c r="N271" s="665"/>
      <c r="O271" s="710"/>
      <c r="P271" s="22"/>
      <c r="Q271" s="22"/>
      <c r="R271" s="22"/>
      <c r="S271" s="22"/>
    </row>
    <row r="272" spans="1:19" hidden="1" x14ac:dyDescent="0.25">
      <c r="A272" s="22"/>
      <c r="B272" s="22"/>
      <c r="C272" s="22"/>
      <c r="D272" s="23"/>
      <c r="H272" s="22"/>
      <c r="L272" s="710"/>
      <c r="M272" s="665"/>
      <c r="N272" s="665"/>
      <c r="O272" s="710"/>
      <c r="P272" s="22"/>
      <c r="Q272" s="22"/>
      <c r="R272" s="22"/>
      <c r="S272" s="22"/>
    </row>
    <row r="273" spans="1:19" hidden="1" x14ac:dyDescent="0.25">
      <c r="A273" s="22"/>
      <c r="B273" s="22"/>
      <c r="C273" s="22"/>
      <c r="D273" s="23"/>
      <c r="H273" s="22"/>
      <c r="L273" s="710"/>
      <c r="M273" s="665"/>
      <c r="N273" s="665"/>
      <c r="O273" s="710"/>
      <c r="P273" s="22"/>
      <c r="Q273" s="22"/>
      <c r="R273" s="22"/>
      <c r="S273" s="22"/>
    </row>
    <row r="274" spans="1:19" hidden="1" x14ac:dyDescent="0.25">
      <c r="A274" s="22"/>
      <c r="B274" s="22"/>
      <c r="C274" s="22"/>
      <c r="D274" s="23"/>
      <c r="H274" s="22"/>
      <c r="L274" s="710"/>
      <c r="M274" s="665"/>
      <c r="N274" s="665"/>
      <c r="O274" s="710"/>
      <c r="P274" s="22"/>
      <c r="Q274" s="22"/>
      <c r="R274" s="22"/>
      <c r="S274" s="22"/>
    </row>
    <row r="275" spans="1:19" hidden="1" x14ac:dyDescent="0.25">
      <c r="A275" s="22"/>
      <c r="B275" s="22"/>
      <c r="C275" s="22"/>
      <c r="D275" s="23"/>
      <c r="H275" s="22"/>
      <c r="L275" s="710"/>
      <c r="M275" s="665"/>
      <c r="N275" s="665"/>
      <c r="O275" s="710"/>
      <c r="P275" s="22"/>
      <c r="Q275" s="22"/>
      <c r="R275" s="22"/>
      <c r="S275" s="22"/>
    </row>
    <row r="276" spans="1:19" hidden="1" x14ac:dyDescent="0.25">
      <c r="A276" s="22"/>
      <c r="B276" s="22"/>
      <c r="C276" s="22"/>
      <c r="D276" s="23"/>
      <c r="H276" s="22"/>
      <c r="L276" s="710"/>
      <c r="M276" s="665"/>
      <c r="N276" s="665"/>
      <c r="O276" s="710"/>
      <c r="P276" s="22"/>
      <c r="Q276" s="22"/>
      <c r="R276" s="22"/>
      <c r="S276" s="22"/>
    </row>
    <row r="277" spans="1:19" hidden="1" x14ac:dyDescent="0.25">
      <c r="A277" s="22"/>
      <c r="B277" s="22"/>
      <c r="C277" s="22"/>
      <c r="D277" s="23"/>
      <c r="H277" s="22"/>
      <c r="L277" s="710"/>
      <c r="M277" s="665"/>
      <c r="N277" s="665"/>
      <c r="O277" s="710"/>
      <c r="P277" s="22"/>
      <c r="Q277" s="22"/>
      <c r="R277" s="22"/>
      <c r="S277" s="22"/>
    </row>
    <row r="278" spans="1:19" hidden="1" x14ac:dyDescent="0.25">
      <c r="A278" s="22"/>
      <c r="B278" s="22"/>
      <c r="C278" s="22"/>
      <c r="D278" s="23"/>
      <c r="H278" s="22"/>
      <c r="L278" s="710"/>
      <c r="M278" s="665"/>
      <c r="N278" s="665"/>
      <c r="O278" s="710"/>
      <c r="P278" s="22"/>
      <c r="Q278" s="22"/>
      <c r="R278" s="22"/>
      <c r="S278" s="22"/>
    </row>
    <row r="279" spans="1:19" hidden="1" x14ac:dyDescent="0.25">
      <c r="A279" s="22"/>
      <c r="B279" s="22"/>
      <c r="C279" s="22"/>
      <c r="D279" s="23"/>
      <c r="H279" s="22"/>
      <c r="L279" s="710"/>
      <c r="M279" s="665"/>
      <c r="N279" s="665"/>
      <c r="O279" s="710"/>
      <c r="P279" s="22"/>
      <c r="Q279" s="22"/>
      <c r="R279" s="22"/>
      <c r="S279" s="22"/>
    </row>
    <row r="280" spans="1:19" hidden="1" x14ac:dyDescent="0.25">
      <c r="A280" s="22"/>
      <c r="B280" s="22"/>
      <c r="C280" s="22"/>
      <c r="D280" s="23"/>
      <c r="H280" s="22"/>
      <c r="L280" s="710"/>
      <c r="M280" s="665"/>
      <c r="N280" s="665"/>
      <c r="O280" s="710"/>
      <c r="P280" s="22"/>
      <c r="Q280" s="22"/>
      <c r="R280" s="22"/>
      <c r="S280" s="22"/>
    </row>
    <row r="281" spans="1:19" hidden="1" x14ac:dyDescent="0.25">
      <c r="A281" s="22"/>
      <c r="B281" s="22"/>
      <c r="C281" s="22"/>
      <c r="D281" s="23"/>
      <c r="H281" s="22"/>
      <c r="L281" s="710"/>
      <c r="M281" s="665"/>
      <c r="N281" s="665"/>
      <c r="O281" s="710"/>
      <c r="P281" s="22"/>
      <c r="Q281" s="22"/>
      <c r="R281" s="22"/>
      <c r="S281" s="22"/>
    </row>
    <row r="282" spans="1:19" hidden="1" x14ac:dyDescent="0.25">
      <c r="A282" s="22"/>
      <c r="B282" s="22"/>
      <c r="C282" s="22"/>
      <c r="D282" s="23"/>
      <c r="H282" s="22"/>
      <c r="L282" s="710"/>
      <c r="M282" s="665"/>
      <c r="N282" s="665"/>
      <c r="O282" s="710"/>
      <c r="P282" s="22"/>
      <c r="Q282" s="22"/>
      <c r="R282" s="22"/>
      <c r="S282" s="22"/>
    </row>
    <row r="283" spans="1:19" hidden="1" x14ac:dyDescent="0.25">
      <c r="A283" s="22"/>
      <c r="B283" s="22"/>
      <c r="C283" s="22"/>
      <c r="D283" s="23"/>
      <c r="H283" s="22"/>
      <c r="L283" s="710"/>
      <c r="M283" s="665"/>
      <c r="N283" s="665"/>
      <c r="O283" s="710"/>
      <c r="P283" s="22"/>
      <c r="Q283" s="22"/>
      <c r="R283" s="22"/>
      <c r="S283" s="22"/>
    </row>
    <row r="284" spans="1:19" hidden="1" x14ac:dyDescent="0.25">
      <c r="A284" s="22"/>
      <c r="B284" s="22"/>
      <c r="C284" s="22"/>
      <c r="D284" s="23"/>
      <c r="H284" s="22"/>
      <c r="L284" s="710"/>
      <c r="M284" s="665"/>
      <c r="N284" s="665"/>
      <c r="O284" s="710"/>
      <c r="P284" s="22"/>
      <c r="Q284" s="22"/>
      <c r="R284" s="22"/>
      <c r="S284" s="22"/>
    </row>
    <row r="285" spans="1:19" hidden="1" x14ac:dyDescent="0.25">
      <c r="A285" s="22"/>
      <c r="B285" s="22"/>
      <c r="C285" s="22"/>
      <c r="D285" s="23"/>
      <c r="H285" s="22"/>
      <c r="L285" s="710"/>
      <c r="M285" s="665"/>
      <c r="N285" s="665"/>
      <c r="O285" s="710"/>
      <c r="P285" s="22"/>
      <c r="Q285" s="22"/>
      <c r="R285" s="22"/>
      <c r="S285" s="22"/>
    </row>
    <row r="286" spans="1:19" hidden="1" x14ac:dyDescent="0.25">
      <c r="A286" s="22"/>
      <c r="B286" s="22"/>
      <c r="C286" s="22"/>
      <c r="D286" s="23"/>
      <c r="H286" s="22"/>
      <c r="L286" s="710"/>
      <c r="M286" s="665"/>
      <c r="N286" s="665"/>
      <c r="O286" s="710"/>
      <c r="P286" s="22"/>
      <c r="Q286" s="22"/>
      <c r="R286" s="22"/>
      <c r="S286" s="22"/>
    </row>
    <row r="287" spans="1:19" hidden="1" x14ac:dyDescent="0.25">
      <c r="A287" s="22"/>
      <c r="B287" s="22"/>
      <c r="C287" s="22"/>
      <c r="D287" s="23"/>
      <c r="H287" s="22"/>
      <c r="L287" s="710"/>
      <c r="M287" s="665"/>
      <c r="N287" s="665"/>
      <c r="O287" s="710"/>
      <c r="P287" s="22"/>
      <c r="Q287" s="22"/>
      <c r="R287" s="22"/>
      <c r="S287" s="22"/>
    </row>
    <row r="288" spans="1:19" hidden="1" x14ac:dyDescent="0.25">
      <c r="A288" s="22"/>
      <c r="B288" s="22"/>
      <c r="C288" s="22"/>
      <c r="D288" s="23"/>
      <c r="H288" s="22"/>
      <c r="L288" s="710"/>
      <c r="M288" s="665"/>
      <c r="N288" s="665"/>
      <c r="O288" s="710"/>
      <c r="P288" s="22"/>
      <c r="Q288" s="22"/>
      <c r="R288" s="22"/>
      <c r="S288" s="22"/>
    </row>
    <row r="289" spans="1:19" hidden="1" x14ac:dyDescent="0.25">
      <c r="A289" s="22"/>
      <c r="B289" s="22"/>
      <c r="C289" s="22"/>
      <c r="D289" s="23"/>
      <c r="H289" s="22"/>
      <c r="L289" s="710"/>
      <c r="M289" s="665"/>
      <c r="N289" s="665"/>
      <c r="O289" s="710"/>
      <c r="P289" s="22"/>
      <c r="Q289" s="22"/>
      <c r="R289" s="22"/>
      <c r="S289" s="22"/>
    </row>
    <row r="290" spans="1:19" hidden="1" x14ac:dyDescent="0.25">
      <c r="A290" s="22"/>
      <c r="B290" s="22"/>
      <c r="C290" s="22"/>
      <c r="D290" s="23"/>
      <c r="H290" s="22"/>
      <c r="L290" s="710"/>
      <c r="M290" s="665"/>
      <c r="N290" s="665"/>
      <c r="O290" s="710"/>
      <c r="P290" s="22"/>
      <c r="Q290" s="22"/>
      <c r="R290" s="22"/>
      <c r="S290" s="22"/>
    </row>
    <row r="291" spans="1:19" x14ac:dyDescent="0.25">
      <c r="A291" s="22"/>
      <c r="B291" s="22"/>
      <c r="C291" s="22"/>
      <c r="D291" s="23"/>
      <c r="H291" s="22"/>
      <c r="L291" s="710"/>
      <c r="M291" s="665"/>
      <c r="N291" s="665"/>
      <c r="O291" s="710"/>
      <c r="P291" s="22"/>
      <c r="Q291" s="22"/>
      <c r="R291" s="22"/>
      <c r="S291" s="22"/>
    </row>
    <row r="292" spans="1:19" x14ac:dyDescent="0.25">
      <c r="A292" s="56" t="s">
        <v>608</v>
      </c>
      <c r="B292" s="22"/>
      <c r="C292" s="22"/>
      <c r="D292" s="23"/>
      <c r="H292" s="22"/>
      <c r="L292" s="695"/>
      <c r="M292" s="660"/>
      <c r="N292" s="660"/>
      <c r="O292" s="693"/>
      <c r="P292" s="22"/>
      <c r="Q292" s="22"/>
      <c r="R292" s="22"/>
      <c r="S292" s="22"/>
    </row>
    <row r="293" spans="1:19" x14ac:dyDescent="0.25">
      <c r="A293" s="22"/>
      <c r="B293" s="22"/>
      <c r="C293" s="22"/>
      <c r="D293" s="23"/>
      <c r="H293" s="22"/>
      <c r="L293" s="695"/>
      <c r="M293" s="660"/>
      <c r="N293" s="660"/>
      <c r="O293" s="693"/>
      <c r="P293" s="22"/>
      <c r="Q293" s="22"/>
      <c r="R293" s="22"/>
      <c r="S293" s="22"/>
    </row>
    <row r="294" spans="1:19" x14ac:dyDescent="0.25">
      <c r="A294" s="22"/>
      <c r="B294" s="22"/>
      <c r="C294" s="22"/>
      <c r="D294" s="23"/>
      <c r="H294" s="22"/>
      <c r="L294" s="695"/>
      <c r="M294" s="660"/>
      <c r="N294" s="660"/>
      <c r="O294" s="693"/>
      <c r="P294" s="22"/>
      <c r="Q294" s="22"/>
      <c r="R294" s="22"/>
      <c r="S294" s="22"/>
    </row>
    <row r="295" spans="1:19" x14ac:dyDescent="0.25">
      <c r="A295" s="22"/>
      <c r="B295" s="811" t="s">
        <v>606</v>
      </c>
      <c r="C295" s="22"/>
      <c r="D295" s="23"/>
      <c r="H295" s="22"/>
      <c r="L295" s="695"/>
      <c r="M295" s="660"/>
      <c r="N295" s="660"/>
      <c r="O295" s="693"/>
      <c r="P295" s="22"/>
      <c r="Q295" s="22"/>
      <c r="R295" s="22"/>
      <c r="S295" s="22"/>
    </row>
    <row r="296" spans="1:19" x14ac:dyDescent="0.25">
      <c r="A296" s="22"/>
      <c r="B296" s="811" t="s">
        <v>607</v>
      </c>
      <c r="C296" s="22"/>
      <c r="D296" s="23"/>
      <c r="H296" s="22"/>
      <c r="L296" s="695"/>
      <c r="M296" s="660"/>
      <c r="N296" s="660"/>
      <c r="O296" s="693"/>
      <c r="P296" s="22"/>
      <c r="Q296" s="22"/>
      <c r="R296" s="22"/>
      <c r="S296" s="22"/>
    </row>
    <row r="297" spans="1:19" x14ac:dyDescent="0.25">
      <c r="A297" s="22"/>
      <c r="B297" s="22"/>
      <c r="C297" s="22"/>
      <c r="D297" s="23"/>
      <c r="H297" s="22"/>
      <c r="L297" s="695"/>
      <c r="M297" s="660"/>
      <c r="N297" s="660"/>
      <c r="O297" s="693"/>
      <c r="P297" s="22"/>
      <c r="Q297" s="22"/>
      <c r="R297" s="22"/>
      <c r="S297" s="22"/>
    </row>
    <row r="298" spans="1:19" x14ac:dyDescent="0.25">
      <c r="A298" s="22"/>
      <c r="B298" s="22"/>
      <c r="C298" s="22"/>
      <c r="D298" s="23"/>
      <c r="H298" s="22"/>
      <c r="L298" s="695"/>
      <c r="M298" s="660"/>
      <c r="N298" s="660"/>
      <c r="O298" s="693"/>
      <c r="P298" s="22"/>
      <c r="Q298" s="22"/>
      <c r="R298" s="22"/>
      <c r="S298" s="22"/>
    </row>
    <row r="299" spans="1:19" x14ac:dyDescent="0.25">
      <c r="A299" s="22"/>
      <c r="B299" s="22"/>
      <c r="C299" s="22"/>
      <c r="D299" s="23"/>
      <c r="H299" s="22"/>
      <c r="L299" s="695"/>
      <c r="M299" s="660"/>
      <c r="N299" s="660"/>
      <c r="O299" s="693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3"/>
      <c r="H300" s="22"/>
      <c r="L300" s="695"/>
      <c r="M300" s="660"/>
      <c r="N300" s="660"/>
      <c r="O300" s="693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3"/>
      <c r="H301" s="22"/>
      <c r="L301" s="695"/>
      <c r="M301" s="660"/>
      <c r="N301" s="660"/>
      <c r="O301" s="693"/>
      <c r="P301" s="22"/>
      <c r="Q301" s="22"/>
      <c r="R301" s="22"/>
      <c r="S301" s="22"/>
    </row>
    <row r="302" spans="1:19" x14ac:dyDescent="0.25">
      <c r="A302" s="22"/>
      <c r="B302" s="22"/>
      <c r="C302" s="22"/>
      <c r="D302" s="23"/>
      <c r="H302" s="22"/>
      <c r="L302" s="695"/>
      <c r="M302" s="660"/>
      <c r="N302" s="660"/>
      <c r="O302" s="693"/>
      <c r="P302" s="22"/>
      <c r="Q302" s="22"/>
      <c r="R302" s="22"/>
      <c r="S302" s="22"/>
    </row>
    <row r="303" spans="1:19" x14ac:dyDescent="0.25">
      <c r="A303" s="22"/>
      <c r="B303" s="22"/>
      <c r="C303" s="22"/>
      <c r="D303" s="23"/>
      <c r="H303" s="22"/>
      <c r="L303" s="695"/>
      <c r="M303" s="660"/>
      <c r="N303" s="660"/>
      <c r="O303" s="693"/>
      <c r="P303" s="22"/>
      <c r="Q303" s="22"/>
      <c r="R303" s="22"/>
      <c r="S303" s="22"/>
    </row>
    <row r="304" spans="1:19" x14ac:dyDescent="0.25">
      <c r="A304" s="22"/>
      <c r="B304" s="22"/>
      <c r="C304" s="22"/>
      <c r="D304" s="23"/>
      <c r="H304" s="22"/>
      <c r="L304" s="695"/>
      <c r="M304" s="660"/>
      <c r="N304" s="660"/>
      <c r="O304" s="693"/>
      <c r="P304" s="22"/>
      <c r="Q304" s="22"/>
      <c r="R304" s="22"/>
      <c r="S304" s="22"/>
    </row>
    <row r="305" spans="1:19" x14ac:dyDescent="0.25">
      <c r="A305" s="22"/>
      <c r="B305" s="22"/>
      <c r="C305" s="22"/>
      <c r="D305" s="23"/>
      <c r="H305" s="22"/>
      <c r="L305" s="695"/>
      <c r="M305" s="660"/>
      <c r="N305" s="660"/>
      <c r="O305" s="693"/>
      <c r="P305" s="22"/>
      <c r="Q305" s="22"/>
      <c r="R305" s="22"/>
      <c r="S305" s="22"/>
    </row>
    <row r="306" spans="1:19" x14ac:dyDescent="0.25">
      <c r="A306" s="22"/>
      <c r="B306" s="22"/>
      <c r="C306" s="22"/>
      <c r="D306" s="23"/>
      <c r="H306" s="22"/>
      <c r="L306" s="695"/>
      <c r="M306" s="660"/>
      <c r="N306" s="660"/>
      <c r="O306" s="693"/>
      <c r="P306" s="22"/>
      <c r="Q306" s="22"/>
      <c r="R306" s="22"/>
      <c r="S306" s="22"/>
    </row>
    <row r="307" spans="1:19" x14ac:dyDescent="0.25">
      <c r="A307" s="22"/>
      <c r="B307" s="22"/>
      <c r="C307" s="22"/>
      <c r="D307" s="23"/>
      <c r="H307" s="22"/>
      <c r="L307" s="695"/>
      <c r="M307" s="660"/>
      <c r="N307" s="660"/>
      <c r="O307" s="693"/>
      <c r="P307" s="22"/>
      <c r="Q307" s="22"/>
      <c r="R307" s="22"/>
      <c r="S307" s="22"/>
    </row>
    <row r="308" spans="1:19" x14ac:dyDescent="0.25">
      <c r="A308" s="22"/>
      <c r="B308" s="22"/>
      <c r="C308" s="22"/>
      <c r="D308" s="23"/>
      <c r="H308" s="22"/>
      <c r="L308" s="695"/>
      <c r="M308" s="660"/>
      <c r="N308" s="660"/>
      <c r="O308" s="693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3"/>
      <c r="H309" s="22"/>
      <c r="L309" s="695"/>
      <c r="M309" s="660"/>
      <c r="N309" s="660"/>
      <c r="O309" s="693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3"/>
      <c r="H310" s="22"/>
      <c r="L310" s="695"/>
      <c r="M310" s="660"/>
      <c r="N310" s="660"/>
      <c r="O310" s="693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3"/>
      <c r="H311" s="22"/>
      <c r="L311" s="695"/>
      <c r="M311" s="660"/>
      <c r="N311" s="660"/>
      <c r="O311" s="693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3"/>
      <c r="H312" s="22"/>
      <c r="L312" s="695"/>
      <c r="M312" s="660"/>
      <c r="N312" s="660"/>
      <c r="O312" s="693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3"/>
      <c r="H313" s="22"/>
      <c r="L313" s="695"/>
      <c r="M313" s="660"/>
      <c r="N313" s="660"/>
      <c r="O313" s="693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3"/>
      <c r="H314" s="22"/>
      <c r="L314" s="695"/>
      <c r="M314" s="660"/>
      <c r="N314" s="660"/>
      <c r="O314" s="693"/>
      <c r="P314" s="22"/>
      <c r="Q314" s="22"/>
      <c r="R314" s="22"/>
      <c r="S314" s="22"/>
    </row>
    <row r="315" spans="1:19" x14ac:dyDescent="0.25">
      <c r="A315" s="22"/>
      <c r="B315" s="22"/>
      <c r="C315" s="22"/>
      <c r="D315" s="23"/>
      <c r="H315" s="22"/>
      <c r="L315" s="695"/>
      <c r="M315" s="660"/>
      <c r="N315" s="660"/>
      <c r="O315" s="693"/>
      <c r="P315" s="22"/>
      <c r="Q315" s="22"/>
      <c r="R315" s="22"/>
      <c r="S315" s="22"/>
    </row>
    <row r="316" spans="1:19" x14ac:dyDescent="0.25">
      <c r="A316" s="22"/>
      <c r="B316" s="22"/>
      <c r="C316" s="22"/>
      <c r="D316" s="23"/>
      <c r="H316" s="22"/>
      <c r="L316" s="695"/>
      <c r="M316" s="660"/>
      <c r="N316" s="660"/>
      <c r="O316" s="693"/>
      <c r="P316" s="22"/>
      <c r="Q316" s="22"/>
      <c r="R316" s="22"/>
      <c r="S316" s="22"/>
    </row>
    <row r="317" spans="1:19" x14ac:dyDescent="0.25">
      <c r="A317" s="22"/>
      <c r="B317" s="22"/>
      <c r="C317" s="22"/>
      <c r="D317" s="23"/>
      <c r="H317" s="22"/>
      <c r="L317" s="695"/>
      <c r="M317" s="660"/>
      <c r="N317" s="660"/>
      <c r="O317" s="693"/>
      <c r="P317" s="22"/>
      <c r="Q317" s="22"/>
      <c r="R317" s="22"/>
      <c r="S317" s="22"/>
    </row>
    <row r="318" spans="1:19" x14ac:dyDescent="0.25">
      <c r="A318" s="22"/>
      <c r="B318" s="22"/>
      <c r="C318" s="22"/>
      <c r="D318" s="23"/>
      <c r="H318" s="22"/>
      <c r="L318" s="695"/>
      <c r="M318" s="660"/>
      <c r="N318" s="660"/>
      <c r="O318" s="693"/>
      <c r="P318" s="22"/>
      <c r="Q318" s="22"/>
      <c r="R318" s="22"/>
      <c r="S318" s="22"/>
    </row>
    <row r="319" spans="1:19" x14ac:dyDescent="0.25">
      <c r="A319" s="22"/>
      <c r="B319" s="22"/>
      <c r="C319" s="22"/>
      <c r="D319" s="23"/>
      <c r="H319" s="22"/>
      <c r="L319" s="695"/>
      <c r="M319" s="660"/>
      <c r="N319" s="660"/>
      <c r="O319" s="693"/>
      <c r="P319" s="22"/>
      <c r="Q319" s="22"/>
      <c r="R319" s="22"/>
      <c r="S319" s="22"/>
    </row>
    <row r="320" spans="1:19" x14ac:dyDescent="0.25">
      <c r="A320" s="22"/>
      <c r="B320" s="22"/>
      <c r="C320" s="22"/>
      <c r="D320" s="23"/>
      <c r="H320" s="22"/>
      <c r="L320" s="695"/>
      <c r="M320" s="660"/>
      <c r="N320" s="660"/>
      <c r="O320" s="693"/>
      <c r="P320" s="22"/>
      <c r="Q320" s="22"/>
      <c r="R320" s="22"/>
      <c r="S320" s="22"/>
    </row>
    <row r="321" spans="1:19" x14ac:dyDescent="0.25">
      <c r="A321" s="22"/>
      <c r="B321" s="22"/>
      <c r="C321" s="22"/>
      <c r="D321" s="23"/>
      <c r="H321" s="22"/>
      <c r="L321" s="695"/>
      <c r="M321" s="660"/>
      <c r="N321" s="660"/>
      <c r="O321" s="693"/>
      <c r="P321" s="22"/>
      <c r="Q321" s="22"/>
      <c r="R321" s="22"/>
      <c r="S321" s="22"/>
    </row>
    <row r="322" spans="1:19" x14ac:dyDescent="0.25">
      <c r="A322" s="22"/>
      <c r="B322" s="22"/>
      <c r="C322" s="22"/>
      <c r="D322" s="23"/>
      <c r="H322" s="22"/>
      <c r="L322" s="695"/>
      <c r="M322" s="660"/>
      <c r="N322" s="660"/>
      <c r="O322" s="693"/>
      <c r="P322" s="22"/>
      <c r="Q322" s="22"/>
      <c r="R322" s="22"/>
      <c r="S322" s="22"/>
    </row>
    <row r="323" spans="1:19" x14ac:dyDescent="0.25">
      <c r="A323" s="22"/>
      <c r="B323" s="22"/>
      <c r="C323" s="22"/>
      <c r="D323" s="23"/>
      <c r="H323" s="22"/>
      <c r="L323" s="695"/>
      <c r="M323" s="660"/>
      <c r="N323" s="660"/>
      <c r="O323" s="693"/>
      <c r="P323" s="22"/>
      <c r="Q323" s="22"/>
      <c r="R323" s="22"/>
      <c r="S323" s="22"/>
    </row>
    <row r="324" spans="1:19" x14ac:dyDescent="0.25">
      <c r="A324" s="22"/>
      <c r="B324" s="22"/>
      <c r="C324" s="22"/>
      <c r="D324" s="23"/>
      <c r="H324" s="22"/>
      <c r="L324" s="695"/>
      <c r="M324" s="660"/>
      <c r="N324" s="660"/>
      <c r="O324" s="693"/>
      <c r="P324" s="22"/>
      <c r="Q324" s="22"/>
      <c r="R324" s="22"/>
      <c r="S324" s="22"/>
    </row>
    <row r="325" spans="1:19" x14ac:dyDescent="0.25">
      <c r="A325" s="22"/>
      <c r="B325" s="22"/>
      <c r="C325" s="22"/>
      <c r="D325" s="23"/>
      <c r="H325" s="22"/>
      <c r="L325" s="695"/>
      <c r="M325" s="660"/>
      <c r="N325" s="660"/>
      <c r="O325" s="693"/>
      <c r="P325" s="22"/>
      <c r="Q325" s="22"/>
      <c r="R325" s="22"/>
      <c r="S325" s="22"/>
    </row>
    <row r="326" spans="1:19" x14ac:dyDescent="0.25">
      <c r="A326" s="22"/>
      <c r="B326" s="22"/>
      <c r="C326" s="22"/>
      <c r="D326" s="23"/>
      <c r="H326" s="22"/>
      <c r="L326" s="695"/>
      <c r="M326" s="660"/>
      <c r="N326" s="660"/>
      <c r="O326" s="693"/>
      <c r="P326" s="22"/>
      <c r="Q326" s="22"/>
      <c r="R326" s="22"/>
      <c r="S326" s="22"/>
    </row>
    <row r="327" spans="1:19" x14ac:dyDescent="0.25">
      <c r="A327" s="22"/>
      <c r="B327" s="22"/>
      <c r="C327" s="22"/>
      <c r="D327" s="23"/>
      <c r="H327" s="22"/>
      <c r="L327" s="695"/>
      <c r="M327" s="660"/>
      <c r="N327" s="660"/>
      <c r="O327" s="693"/>
      <c r="P327" s="22"/>
      <c r="Q327" s="22"/>
      <c r="R327" s="22"/>
      <c r="S327" s="22"/>
    </row>
    <row r="328" spans="1:19" x14ac:dyDescent="0.25">
      <c r="A328" s="22"/>
      <c r="B328" s="22"/>
      <c r="C328" s="22"/>
      <c r="D328" s="23"/>
      <c r="H328" s="22"/>
      <c r="L328" s="695"/>
      <c r="M328" s="660"/>
      <c r="N328" s="660"/>
      <c r="O328" s="693"/>
      <c r="P328" s="22"/>
      <c r="Q328" s="22"/>
      <c r="R328" s="22"/>
      <c r="S328" s="22"/>
    </row>
    <row r="329" spans="1:19" x14ac:dyDescent="0.25">
      <c r="A329" s="22"/>
      <c r="B329" s="22"/>
      <c r="C329" s="22"/>
      <c r="D329" s="23"/>
      <c r="H329" s="22"/>
      <c r="L329" s="695"/>
      <c r="M329" s="660"/>
      <c r="N329" s="660"/>
      <c r="O329" s="693"/>
      <c r="P329" s="22"/>
      <c r="Q329" s="22"/>
      <c r="R329" s="22"/>
      <c r="S329" s="22"/>
    </row>
    <row r="330" spans="1:19" x14ac:dyDescent="0.25">
      <c r="A330" s="22"/>
      <c r="B330" s="22"/>
      <c r="C330" s="22"/>
      <c r="D330" s="23"/>
      <c r="H330" s="22"/>
      <c r="L330" s="695"/>
      <c r="M330" s="660"/>
      <c r="N330" s="660"/>
      <c r="O330" s="693"/>
      <c r="P330" s="22"/>
      <c r="Q330" s="22"/>
      <c r="R330" s="22"/>
      <c r="S330" s="22"/>
    </row>
    <row r="331" spans="1:19" x14ac:dyDescent="0.25">
      <c r="A331" s="22"/>
      <c r="B331" s="22"/>
      <c r="C331" s="22"/>
      <c r="D331" s="23"/>
      <c r="H331" s="22"/>
      <c r="L331" s="695"/>
      <c r="M331" s="660"/>
      <c r="N331" s="660"/>
      <c r="O331" s="693"/>
      <c r="P331" s="22"/>
      <c r="Q331" s="22"/>
      <c r="R331" s="22"/>
      <c r="S331" s="22"/>
    </row>
    <row r="332" spans="1:19" x14ac:dyDescent="0.25">
      <c r="A332" s="22"/>
      <c r="B332" s="22"/>
      <c r="C332" s="22"/>
      <c r="D332" s="23"/>
      <c r="H332" s="22"/>
      <c r="L332" s="695"/>
      <c r="M332" s="660"/>
      <c r="N332" s="660"/>
      <c r="O332" s="693"/>
      <c r="P332" s="22"/>
      <c r="Q332" s="22"/>
      <c r="R332" s="22"/>
      <c r="S332" s="22"/>
    </row>
    <row r="333" spans="1:19" x14ac:dyDescent="0.25">
      <c r="A333" s="22"/>
      <c r="B333" s="22"/>
      <c r="C333" s="22"/>
      <c r="D333" s="23"/>
      <c r="H333" s="22"/>
      <c r="L333" s="695"/>
      <c r="M333" s="660"/>
      <c r="N333" s="660"/>
      <c r="O333" s="693"/>
      <c r="P333" s="22"/>
      <c r="Q333" s="22"/>
      <c r="R333" s="22"/>
      <c r="S333" s="22"/>
    </row>
    <row r="334" spans="1:19" x14ac:dyDescent="0.25">
      <c r="A334" s="22"/>
      <c r="B334" s="22"/>
      <c r="C334" s="22"/>
      <c r="D334" s="23"/>
      <c r="H334" s="22"/>
      <c r="L334" s="695"/>
      <c r="M334" s="660"/>
      <c r="N334" s="660"/>
      <c r="O334" s="693"/>
      <c r="P334" s="22"/>
      <c r="Q334" s="22"/>
      <c r="R334" s="22"/>
      <c r="S334" s="22"/>
    </row>
    <row r="335" spans="1:19" x14ac:dyDescent="0.25">
      <c r="A335" s="22"/>
      <c r="B335" s="22"/>
      <c r="C335" s="22"/>
      <c r="D335" s="23"/>
      <c r="H335" s="22"/>
      <c r="L335" s="695"/>
      <c r="M335" s="660"/>
      <c r="N335" s="660"/>
      <c r="O335" s="693"/>
      <c r="P335" s="22"/>
      <c r="Q335" s="22"/>
      <c r="R335" s="22"/>
      <c r="S335" s="22"/>
    </row>
    <row r="336" spans="1:19" x14ac:dyDescent="0.25">
      <c r="A336" s="22"/>
      <c r="B336" s="22"/>
      <c r="C336" s="22"/>
      <c r="D336" s="23"/>
      <c r="H336" s="22"/>
      <c r="L336" s="695"/>
      <c r="M336" s="660"/>
      <c r="N336" s="660"/>
      <c r="O336" s="693"/>
      <c r="P336" s="22"/>
      <c r="Q336" s="22"/>
      <c r="R336" s="22"/>
      <c r="S336" s="22"/>
    </row>
    <row r="337" spans="1:19" x14ac:dyDescent="0.25">
      <c r="A337" s="22"/>
      <c r="B337" s="22"/>
      <c r="C337" s="22"/>
      <c r="D337" s="23"/>
      <c r="H337" s="22"/>
      <c r="L337" s="695"/>
      <c r="M337" s="660"/>
      <c r="N337" s="660"/>
      <c r="O337" s="693"/>
      <c r="P337" s="22"/>
      <c r="Q337" s="22"/>
      <c r="R337" s="22"/>
      <c r="S337" s="22"/>
    </row>
    <row r="338" spans="1:19" x14ac:dyDescent="0.25">
      <c r="A338" s="22"/>
      <c r="B338" s="22"/>
      <c r="C338" s="22"/>
      <c r="D338" s="23"/>
      <c r="H338" s="22"/>
      <c r="L338" s="695"/>
      <c r="M338" s="660"/>
      <c r="N338" s="660"/>
      <c r="O338" s="693"/>
      <c r="P338" s="22"/>
      <c r="Q338" s="22"/>
      <c r="R338" s="22"/>
      <c r="S338" s="22"/>
    </row>
    <row r="339" spans="1:19" x14ac:dyDescent="0.25">
      <c r="A339" s="22"/>
      <c r="B339" s="22"/>
      <c r="C339" s="22"/>
      <c r="D339" s="23"/>
      <c r="H339" s="22"/>
      <c r="L339" s="695"/>
      <c r="M339" s="660"/>
      <c r="N339" s="660"/>
      <c r="O339" s="693"/>
      <c r="P339" s="22"/>
      <c r="Q339" s="22"/>
      <c r="R339" s="22"/>
      <c r="S339" s="22"/>
    </row>
    <row r="340" spans="1:19" x14ac:dyDescent="0.25">
      <c r="A340" s="22"/>
      <c r="B340" s="22"/>
      <c r="C340" s="22"/>
      <c r="D340" s="23"/>
      <c r="H340" s="22"/>
      <c r="L340" s="695"/>
      <c r="M340" s="660"/>
      <c r="N340" s="660"/>
      <c r="O340" s="693"/>
      <c r="P340" s="22"/>
      <c r="Q340" s="22"/>
      <c r="R340" s="22"/>
      <c r="S340" s="22"/>
    </row>
    <row r="341" spans="1:19" x14ac:dyDescent="0.25">
      <c r="A341" s="22"/>
      <c r="B341" s="22"/>
      <c r="C341" s="22"/>
      <c r="D341" s="23"/>
      <c r="H341" s="22"/>
      <c r="L341" s="695"/>
      <c r="M341" s="660"/>
      <c r="N341" s="660"/>
      <c r="O341" s="693"/>
      <c r="P341" s="22"/>
      <c r="Q341" s="22"/>
      <c r="R341" s="22"/>
      <c r="S341" s="22"/>
    </row>
    <row r="342" spans="1:19" x14ac:dyDescent="0.25">
      <c r="A342" s="22"/>
      <c r="B342" s="22"/>
      <c r="C342" s="22"/>
      <c r="D342" s="23"/>
      <c r="H342" s="22"/>
      <c r="L342" s="695"/>
      <c r="M342" s="660"/>
      <c r="N342" s="660"/>
      <c r="O342" s="693"/>
      <c r="P342" s="22"/>
      <c r="Q342" s="22"/>
      <c r="R342" s="22"/>
      <c r="S342" s="22"/>
    </row>
    <row r="343" spans="1:19" x14ac:dyDescent="0.25">
      <c r="A343" s="22"/>
      <c r="B343" s="22"/>
      <c r="C343" s="22"/>
      <c r="D343" s="23"/>
      <c r="H343" s="22"/>
      <c r="L343" s="695"/>
      <c r="M343" s="660"/>
      <c r="N343" s="660"/>
      <c r="O343" s="693"/>
      <c r="P343" s="22"/>
      <c r="Q343" s="22"/>
      <c r="R343" s="22"/>
      <c r="S343" s="22"/>
    </row>
    <row r="344" spans="1:19" x14ac:dyDescent="0.25">
      <c r="A344" s="22"/>
      <c r="B344" s="22"/>
      <c r="C344" s="22"/>
      <c r="D344" s="23"/>
      <c r="H344" s="22"/>
      <c r="L344" s="695"/>
      <c r="M344" s="660"/>
      <c r="N344" s="660"/>
      <c r="O344" s="693"/>
      <c r="P344" s="22"/>
      <c r="Q344" s="22"/>
      <c r="R344" s="22"/>
      <c r="S344" s="22"/>
    </row>
    <row r="345" spans="1:19" x14ac:dyDescent="0.25">
      <c r="A345" s="22"/>
      <c r="B345" s="22"/>
      <c r="C345" s="22"/>
      <c r="D345" s="23"/>
      <c r="H345" s="22"/>
      <c r="L345" s="695"/>
      <c r="M345" s="660"/>
      <c r="N345" s="660"/>
      <c r="O345" s="693"/>
      <c r="P345" s="22"/>
      <c r="Q345" s="22"/>
      <c r="R345" s="22"/>
      <c r="S345" s="22"/>
    </row>
    <row r="346" spans="1:19" x14ac:dyDescent="0.25">
      <c r="A346" s="22"/>
      <c r="B346" s="22"/>
      <c r="C346" s="22"/>
      <c r="D346" s="23"/>
      <c r="H346" s="22"/>
      <c r="L346" s="695"/>
      <c r="M346" s="660"/>
      <c r="N346" s="660"/>
      <c r="O346" s="693"/>
      <c r="P346" s="22"/>
      <c r="Q346" s="22"/>
      <c r="R346" s="22"/>
      <c r="S346" s="22"/>
    </row>
    <row r="347" spans="1:19" x14ac:dyDescent="0.25">
      <c r="A347" s="22"/>
      <c r="B347" s="22"/>
      <c r="C347" s="22"/>
      <c r="D347" s="23"/>
      <c r="H347" s="22"/>
      <c r="L347" s="695"/>
      <c r="M347" s="660"/>
      <c r="N347" s="660"/>
      <c r="O347" s="693"/>
      <c r="P347" s="22"/>
      <c r="Q347" s="22"/>
      <c r="R347" s="22"/>
      <c r="S347" s="22"/>
    </row>
    <row r="348" spans="1:19" x14ac:dyDescent="0.25">
      <c r="A348" s="22"/>
      <c r="B348" s="22"/>
      <c r="C348" s="22"/>
      <c r="D348" s="23"/>
      <c r="H348" s="22"/>
      <c r="L348" s="695"/>
      <c r="M348" s="660"/>
      <c r="N348" s="660"/>
      <c r="O348" s="693"/>
      <c r="P348" s="22"/>
      <c r="Q348" s="22"/>
      <c r="R348" s="22"/>
      <c r="S348" s="22"/>
    </row>
    <row r="349" spans="1:19" x14ac:dyDescent="0.25">
      <c r="A349" s="22"/>
      <c r="B349" s="22"/>
      <c r="C349" s="22"/>
      <c r="D349" s="23"/>
      <c r="H349" s="22"/>
      <c r="L349" s="695"/>
      <c r="M349" s="660"/>
      <c r="N349" s="660"/>
      <c r="O349" s="693"/>
      <c r="P349" s="22"/>
      <c r="Q349" s="22"/>
      <c r="R349" s="22"/>
      <c r="S349" s="22"/>
    </row>
    <row r="350" spans="1:19" x14ac:dyDescent="0.25">
      <c r="A350" s="22"/>
      <c r="B350" s="22"/>
      <c r="C350" s="22"/>
      <c r="D350" s="23"/>
      <c r="H350" s="22"/>
      <c r="L350" s="695"/>
      <c r="M350" s="660"/>
      <c r="N350" s="660"/>
      <c r="O350" s="693"/>
      <c r="P350" s="22"/>
      <c r="Q350" s="22"/>
      <c r="R350" s="22"/>
      <c r="S350" s="22"/>
    </row>
    <row r="351" spans="1:19" x14ac:dyDescent="0.25">
      <c r="A351" s="22"/>
      <c r="B351" s="22"/>
      <c r="C351" s="22"/>
      <c r="D351" s="23"/>
      <c r="H351" s="22"/>
      <c r="L351" s="695"/>
      <c r="M351" s="660"/>
      <c r="N351" s="660"/>
      <c r="O351" s="693"/>
      <c r="P351" s="22"/>
      <c r="Q351" s="22"/>
      <c r="R351" s="22"/>
      <c r="S351" s="22"/>
    </row>
    <row r="352" spans="1:19" x14ac:dyDescent="0.25">
      <c r="A352" s="22"/>
      <c r="B352" s="22"/>
      <c r="C352" s="22"/>
      <c r="D352" s="23"/>
      <c r="H352" s="22"/>
      <c r="L352" s="695"/>
      <c r="M352" s="660"/>
      <c r="N352" s="660"/>
      <c r="O352" s="693"/>
      <c r="P352" s="22"/>
      <c r="Q352" s="22"/>
      <c r="R352" s="22"/>
      <c r="S352" s="22"/>
    </row>
    <row r="353" spans="1:19" x14ac:dyDescent="0.25">
      <c r="A353" s="22"/>
      <c r="B353" s="22"/>
      <c r="C353" s="22"/>
      <c r="D353" s="23"/>
      <c r="H353" s="22"/>
      <c r="L353" s="695"/>
      <c r="M353" s="660"/>
      <c r="N353" s="660"/>
      <c r="O353" s="693"/>
      <c r="P353" s="22"/>
      <c r="Q353" s="22"/>
      <c r="R353" s="22"/>
      <c r="S353" s="22"/>
    </row>
    <row r="354" spans="1:19" x14ac:dyDescent="0.25">
      <c r="A354" s="22"/>
      <c r="B354" s="22"/>
      <c r="C354" s="22"/>
      <c r="D354" s="23"/>
      <c r="H354" s="22"/>
      <c r="L354" s="695"/>
      <c r="M354" s="660"/>
      <c r="N354" s="660"/>
      <c r="O354" s="693"/>
      <c r="P354" s="22"/>
      <c r="Q354" s="22"/>
      <c r="R354" s="22"/>
      <c r="S354" s="22"/>
    </row>
    <row r="355" spans="1:19" x14ac:dyDescent="0.25">
      <c r="A355" s="22"/>
      <c r="B355" s="22"/>
      <c r="C355" s="22"/>
      <c r="D355" s="23"/>
      <c r="H355" s="22"/>
      <c r="L355" s="695"/>
      <c r="M355" s="660"/>
      <c r="N355" s="660"/>
      <c r="O355" s="693"/>
      <c r="P355" s="22"/>
      <c r="Q355" s="22"/>
      <c r="R355" s="22"/>
      <c r="S355" s="22"/>
    </row>
    <row r="356" spans="1:19" x14ac:dyDescent="0.25">
      <c r="A356" s="22"/>
      <c r="B356" s="22"/>
      <c r="C356" s="22"/>
      <c r="D356" s="23"/>
      <c r="H356" s="22"/>
      <c r="L356" s="695"/>
      <c r="M356" s="660"/>
      <c r="N356" s="660"/>
      <c r="O356" s="693"/>
      <c r="P356" s="22"/>
      <c r="Q356" s="22"/>
      <c r="R356" s="22"/>
      <c r="S356" s="22"/>
    </row>
    <row r="357" spans="1:19" x14ac:dyDescent="0.25">
      <c r="A357" s="22"/>
      <c r="B357" s="22"/>
      <c r="C357" s="22"/>
      <c r="D357" s="23"/>
      <c r="H357" s="22"/>
      <c r="L357" s="695"/>
      <c r="M357" s="660"/>
      <c r="N357" s="660"/>
      <c r="O357" s="693"/>
      <c r="P357" s="22"/>
      <c r="Q357" s="22"/>
      <c r="R357" s="22"/>
      <c r="S357" s="22"/>
    </row>
    <row r="358" spans="1:19" x14ac:dyDescent="0.25">
      <c r="A358" s="22"/>
      <c r="B358" s="22"/>
      <c r="C358" s="22"/>
      <c r="D358" s="23"/>
      <c r="H358" s="22"/>
      <c r="L358" s="695"/>
      <c r="M358" s="660"/>
      <c r="N358" s="660"/>
      <c r="O358" s="693"/>
      <c r="P358" s="22"/>
      <c r="Q358" s="22"/>
      <c r="R358" s="22"/>
      <c r="S358" s="22"/>
    </row>
    <row r="359" spans="1:19" x14ac:dyDescent="0.25">
      <c r="A359" s="22"/>
      <c r="B359" s="22"/>
      <c r="C359" s="22"/>
      <c r="D359" s="23"/>
      <c r="H359" s="22"/>
      <c r="L359" s="695"/>
      <c r="M359" s="660"/>
      <c r="N359" s="660"/>
      <c r="O359" s="693"/>
      <c r="P359" s="22"/>
      <c r="Q359" s="22"/>
      <c r="R359" s="22"/>
      <c r="S359" s="22"/>
    </row>
    <row r="360" spans="1:19" x14ac:dyDescent="0.25">
      <c r="A360" s="22"/>
      <c r="B360" s="22"/>
      <c r="C360" s="22"/>
      <c r="D360" s="23"/>
      <c r="H360" s="22"/>
      <c r="L360" s="695"/>
      <c r="M360" s="660"/>
      <c r="N360" s="660"/>
      <c r="O360" s="693"/>
      <c r="P360" s="22"/>
      <c r="Q360" s="22"/>
      <c r="R360" s="22"/>
      <c r="S360" s="22"/>
    </row>
    <row r="361" spans="1:19" x14ac:dyDescent="0.25">
      <c r="A361" s="22"/>
      <c r="B361" s="22"/>
      <c r="C361" s="22"/>
      <c r="D361" s="23"/>
      <c r="H361" s="22"/>
      <c r="L361" s="695"/>
      <c r="M361" s="660"/>
      <c r="N361" s="660"/>
      <c r="O361" s="693"/>
      <c r="P361" s="22"/>
      <c r="Q361" s="22"/>
      <c r="R361" s="22"/>
      <c r="S361" s="22"/>
    </row>
    <row r="362" spans="1:19" x14ac:dyDescent="0.25">
      <c r="A362" s="22"/>
      <c r="B362" s="22"/>
      <c r="C362" s="22"/>
      <c r="D362" s="23"/>
      <c r="H362" s="22"/>
      <c r="L362" s="695"/>
      <c r="M362" s="660"/>
      <c r="N362" s="660"/>
      <c r="O362" s="693"/>
      <c r="P362" s="22"/>
      <c r="Q362" s="22"/>
      <c r="R362" s="22"/>
      <c r="S362" s="22"/>
    </row>
    <row r="363" spans="1:19" x14ac:dyDescent="0.25">
      <c r="A363" s="22"/>
      <c r="B363" s="22"/>
      <c r="C363" s="22"/>
      <c r="D363" s="23"/>
      <c r="H363" s="22"/>
      <c r="L363" s="695"/>
      <c r="M363" s="660"/>
      <c r="N363" s="660"/>
      <c r="O363" s="693"/>
      <c r="P363" s="22"/>
      <c r="Q363" s="22"/>
      <c r="R363" s="22"/>
      <c r="S363" s="22"/>
    </row>
    <row r="364" spans="1:19" x14ac:dyDescent="0.25">
      <c r="A364" s="22"/>
      <c r="B364" s="22"/>
      <c r="C364" s="22"/>
      <c r="D364" s="23"/>
      <c r="H364" s="22"/>
      <c r="L364" s="695"/>
      <c r="M364" s="660"/>
      <c r="N364" s="660"/>
      <c r="O364" s="693"/>
      <c r="P364" s="22"/>
      <c r="Q364" s="22"/>
      <c r="R364" s="22"/>
      <c r="S364" s="22"/>
    </row>
    <row r="365" spans="1:19" x14ac:dyDescent="0.25">
      <c r="A365" s="22"/>
      <c r="B365" s="22"/>
      <c r="C365" s="22"/>
      <c r="D365" s="23"/>
      <c r="H365" s="22"/>
      <c r="L365" s="695"/>
      <c r="M365" s="660"/>
      <c r="N365" s="660"/>
      <c r="O365" s="693"/>
      <c r="P365" s="22"/>
      <c r="Q365" s="22"/>
      <c r="R365" s="22"/>
      <c r="S365" s="22"/>
    </row>
    <row r="366" spans="1:19" x14ac:dyDescent="0.25">
      <c r="A366" s="22"/>
      <c r="B366" s="22"/>
      <c r="C366" s="22"/>
      <c r="D366" s="23"/>
      <c r="H366" s="22"/>
      <c r="L366" s="695"/>
      <c r="M366" s="660"/>
      <c r="N366" s="660"/>
      <c r="O366" s="693"/>
      <c r="P366" s="22"/>
      <c r="Q366" s="22"/>
      <c r="R366" s="22"/>
      <c r="S366" s="22"/>
    </row>
    <row r="367" spans="1:19" x14ac:dyDescent="0.25">
      <c r="A367" s="22"/>
      <c r="B367" s="22"/>
      <c r="C367" s="22"/>
      <c r="D367" s="23"/>
      <c r="H367" s="22"/>
      <c r="L367" s="695"/>
      <c r="M367" s="660"/>
      <c r="N367" s="660"/>
      <c r="O367" s="693"/>
      <c r="P367" s="22"/>
      <c r="Q367" s="22"/>
      <c r="R367" s="22"/>
      <c r="S367" s="22"/>
    </row>
    <row r="368" spans="1:19" x14ac:dyDescent="0.25">
      <c r="A368" s="22"/>
      <c r="B368" s="22"/>
      <c r="C368" s="22"/>
      <c r="D368" s="23"/>
      <c r="H368" s="22"/>
      <c r="L368" s="695"/>
      <c r="M368" s="660"/>
      <c r="N368" s="660"/>
      <c r="O368" s="693"/>
      <c r="P368" s="22"/>
      <c r="Q368" s="22"/>
      <c r="R368" s="22"/>
      <c r="S368" s="22"/>
    </row>
    <row r="369" spans="1:19" x14ac:dyDescent="0.25">
      <c r="A369" s="22"/>
      <c r="B369" s="22"/>
      <c r="C369" s="22"/>
      <c r="D369" s="23"/>
      <c r="H369" s="22"/>
      <c r="L369" s="695"/>
      <c r="M369" s="660"/>
      <c r="N369" s="660"/>
      <c r="O369" s="693"/>
      <c r="P369" s="22"/>
      <c r="Q369" s="22"/>
      <c r="R369" s="22"/>
      <c r="S369" s="22"/>
    </row>
    <row r="370" spans="1:19" x14ac:dyDescent="0.25">
      <c r="A370" s="22"/>
      <c r="B370" s="22"/>
      <c r="C370" s="22"/>
      <c r="D370" s="23"/>
      <c r="H370" s="22"/>
      <c r="L370" s="695"/>
      <c r="M370" s="660"/>
      <c r="N370" s="660"/>
      <c r="O370" s="693"/>
      <c r="P370" s="22"/>
      <c r="Q370" s="22"/>
      <c r="R370" s="22"/>
      <c r="S370" s="22"/>
    </row>
    <row r="371" spans="1:19" x14ac:dyDescent="0.25">
      <c r="A371" s="22"/>
      <c r="B371" s="22"/>
      <c r="C371" s="22"/>
      <c r="D371" s="23"/>
      <c r="H371" s="22"/>
      <c r="L371" s="695"/>
      <c r="M371" s="660"/>
      <c r="N371" s="660"/>
      <c r="O371" s="693"/>
      <c r="P371" s="22"/>
      <c r="Q371" s="22"/>
      <c r="R371" s="22"/>
      <c r="S371" s="22"/>
    </row>
    <row r="372" spans="1:19" x14ac:dyDescent="0.25">
      <c r="A372" s="22"/>
      <c r="B372" s="22"/>
      <c r="C372" s="22"/>
      <c r="D372" s="23"/>
      <c r="H372" s="22"/>
      <c r="L372" s="695"/>
      <c r="M372" s="660"/>
      <c r="N372" s="660"/>
      <c r="O372" s="693"/>
      <c r="P372" s="22"/>
      <c r="Q372" s="22"/>
      <c r="R372" s="22"/>
      <c r="S372" s="22"/>
    </row>
    <row r="373" spans="1:19" x14ac:dyDescent="0.25">
      <c r="A373" s="22"/>
      <c r="B373" s="22"/>
      <c r="C373" s="22"/>
      <c r="D373" s="23"/>
      <c r="H373" s="22"/>
      <c r="L373" s="695"/>
      <c r="M373" s="660"/>
      <c r="N373" s="660"/>
      <c r="O373" s="693"/>
      <c r="P373" s="22"/>
      <c r="Q373" s="22"/>
      <c r="R373" s="22"/>
      <c r="S373" s="22"/>
    </row>
    <row r="374" spans="1:19" x14ac:dyDescent="0.25">
      <c r="A374" s="22"/>
      <c r="B374" s="22"/>
      <c r="C374" s="22"/>
      <c r="D374" s="23"/>
      <c r="H374" s="22"/>
      <c r="L374" s="695"/>
      <c r="M374" s="660"/>
      <c r="N374" s="660"/>
      <c r="O374" s="693"/>
      <c r="P374" s="22"/>
      <c r="Q374" s="22"/>
      <c r="R374" s="22"/>
      <c r="S374" s="22"/>
    </row>
    <row r="375" spans="1:19" x14ac:dyDescent="0.25">
      <c r="A375" s="22"/>
      <c r="B375" s="22"/>
      <c r="C375" s="22"/>
      <c r="D375" s="23"/>
      <c r="H375" s="22"/>
      <c r="L375" s="695"/>
      <c r="M375" s="660"/>
      <c r="N375" s="660"/>
      <c r="O375" s="693"/>
      <c r="P375" s="22"/>
      <c r="Q375" s="22"/>
      <c r="R375" s="22"/>
      <c r="S375" s="22"/>
    </row>
    <row r="376" spans="1:19" x14ac:dyDescent="0.25">
      <c r="A376" s="22"/>
      <c r="B376" s="22"/>
      <c r="C376" s="22"/>
      <c r="D376" s="23"/>
      <c r="H376" s="22"/>
      <c r="L376" s="695"/>
      <c r="M376" s="660"/>
      <c r="N376" s="660"/>
      <c r="O376" s="693"/>
      <c r="P376" s="22"/>
      <c r="Q376" s="22"/>
      <c r="R376" s="22"/>
      <c r="S376" s="22"/>
    </row>
    <row r="377" spans="1:19" x14ac:dyDescent="0.25">
      <c r="A377" s="22"/>
      <c r="B377" s="22"/>
      <c r="C377" s="22"/>
      <c r="D377" s="23"/>
      <c r="H377" s="22"/>
      <c r="L377" s="695"/>
      <c r="M377" s="660"/>
      <c r="N377" s="660"/>
      <c r="O377" s="693"/>
      <c r="P377" s="22"/>
      <c r="Q377" s="22"/>
      <c r="R377" s="22"/>
      <c r="S377" s="22"/>
    </row>
    <row r="378" spans="1:19" x14ac:dyDescent="0.25">
      <c r="A378" s="22"/>
      <c r="B378" s="22"/>
      <c r="C378" s="22"/>
      <c r="D378" s="23"/>
      <c r="H378" s="22"/>
      <c r="L378" s="695"/>
      <c r="M378" s="660"/>
      <c r="N378" s="660"/>
      <c r="O378" s="693"/>
      <c r="P378" s="22"/>
      <c r="Q378" s="22"/>
      <c r="R378" s="22"/>
      <c r="S378" s="22"/>
    </row>
    <row r="379" spans="1:19" x14ac:dyDescent="0.25">
      <c r="A379" s="22"/>
      <c r="B379" s="22"/>
      <c r="C379" s="22"/>
      <c r="D379" s="23"/>
      <c r="H379" s="22"/>
      <c r="L379" s="695"/>
      <c r="M379" s="660"/>
      <c r="N379" s="660"/>
      <c r="O379" s="693"/>
      <c r="P379" s="22"/>
      <c r="Q379" s="22"/>
      <c r="R379" s="22"/>
      <c r="S379" s="22"/>
    </row>
    <row r="380" spans="1:19" x14ac:dyDescent="0.25">
      <c r="A380" s="22"/>
      <c r="B380" s="22"/>
      <c r="C380" s="22"/>
      <c r="D380" s="23"/>
      <c r="H380" s="22"/>
      <c r="L380" s="695"/>
      <c r="M380" s="660"/>
      <c r="N380" s="660"/>
      <c r="O380" s="693"/>
      <c r="P380" s="22"/>
      <c r="Q380" s="22"/>
      <c r="R380" s="22"/>
      <c r="S380" s="22"/>
    </row>
    <row r="381" spans="1:19" x14ac:dyDescent="0.25">
      <c r="A381" s="22"/>
      <c r="B381" s="22"/>
      <c r="C381" s="22"/>
      <c r="D381" s="23"/>
      <c r="H381" s="22"/>
      <c r="L381" s="695"/>
      <c r="M381" s="660"/>
      <c r="N381" s="660"/>
      <c r="O381" s="693"/>
      <c r="P381" s="22"/>
      <c r="Q381" s="22"/>
      <c r="R381" s="22"/>
      <c r="S381" s="22"/>
    </row>
    <row r="382" spans="1:19" x14ac:dyDescent="0.25">
      <c r="A382" s="22"/>
      <c r="B382" s="22"/>
      <c r="C382" s="22"/>
      <c r="D382" s="23"/>
      <c r="H382" s="22"/>
      <c r="L382" s="695"/>
      <c r="M382" s="660"/>
      <c r="N382" s="660"/>
      <c r="O382" s="693"/>
      <c r="P382" s="22"/>
      <c r="Q382" s="22"/>
      <c r="R382" s="22"/>
      <c r="S382" s="22"/>
    </row>
    <row r="383" spans="1:19" x14ac:dyDescent="0.25">
      <c r="A383" s="22"/>
      <c r="B383" s="22"/>
      <c r="C383" s="22"/>
      <c r="D383" s="23"/>
      <c r="H383" s="22"/>
      <c r="L383" s="695"/>
      <c r="M383" s="660"/>
      <c r="N383" s="660"/>
      <c r="O383" s="693"/>
      <c r="P383" s="22"/>
      <c r="Q383" s="22"/>
      <c r="R383" s="22"/>
      <c r="S383" s="22"/>
    </row>
    <row r="384" spans="1:19" x14ac:dyDescent="0.25">
      <c r="A384" s="22"/>
      <c r="B384" s="22"/>
      <c r="C384" s="22"/>
      <c r="D384" s="23"/>
      <c r="H384" s="22"/>
      <c r="L384" s="695"/>
      <c r="M384" s="660"/>
      <c r="N384" s="660"/>
      <c r="O384" s="693"/>
      <c r="P384" s="22"/>
      <c r="Q384" s="22"/>
      <c r="R384" s="22"/>
      <c r="S384" s="22"/>
    </row>
    <row r="385" spans="1:19" x14ac:dyDescent="0.25">
      <c r="A385" s="22"/>
      <c r="B385" s="22"/>
      <c r="C385" s="22"/>
      <c r="D385" s="23"/>
      <c r="H385" s="22"/>
      <c r="L385" s="695"/>
      <c r="M385" s="660"/>
      <c r="N385" s="660"/>
      <c r="O385" s="693"/>
      <c r="P385" s="22"/>
      <c r="Q385" s="22"/>
      <c r="R385" s="22"/>
      <c r="S385" s="22"/>
    </row>
    <row r="386" spans="1:19" x14ac:dyDescent="0.25">
      <c r="A386" s="22"/>
      <c r="B386" s="22"/>
      <c r="C386" s="22"/>
      <c r="D386" s="23"/>
      <c r="H386" s="22"/>
      <c r="L386" s="695"/>
      <c r="M386" s="660"/>
      <c r="N386" s="660"/>
      <c r="O386" s="693"/>
      <c r="P386" s="22"/>
      <c r="Q386" s="22"/>
      <c r="R386" s="22"/>
      <c r="S386" s="22"/>
    </row>
    <row r="387" spans="1:19" x14ac:dyDescent="0.25">
      <c r="A387" s="22"/>
      <c r="B387" s="22"/>
      <c r="C387" s="22"/>
      <c r="D387" s="23"/>
      <c r="H387" s="22"/>
      <c r="L387" s="695"/>
      <c r="M387" s="660"/>
      <c r="N387" s="660"/>
      <c r="O387" s="693"/>
      <c r="P387" s="22"/>
      <c r="Q387" s="22"/>
      <c r="R387" s="22"/>
      <c r="S387" s="22"/>
    </row>
    <row r="388" spans="1:19" x14ac:dyDescent="0.25">
      <c r="A388" s="22"/>
      <c r="B388" s="22"/>
      <c r="C388" s="22"/>
      <c r="D388" s="23"/>
      <c r="H388" s="22"/>
      <c r="L388" s="695"/>
      <c r="M388" s="660"/>
      <c r="N388" s="660"/>
      <c r="O388" s="693"/>
      <c r="P388" s="22"/>
      <c r="Q388" s="22"/>
      <c r="R388" s="22"/>
      <c r="S388" s="22"/>
    </row>
    <row r="389" spans="1:19" x14ac:dyDescent="0.25">
      <c r="A389" s="22"/>
      <c r="B389" s="22"/>
      <c r="C389" s="22"/>
      <c r="D389" s="23"/>
      <c r="H389" s="22"/>
      <c r="L389" s="695"/>
      <c r="M389" s="660"/>
      <c r="N389" s="660"/>
      <c r="O389" s="693"/>
      <c r="P389" s="22"/>
      <c r="Q389" s="22"/>
      <c r="R389" s="22"/>
      <c r="S389" s="22"/>
    </row>
    <row r="390" spans="1:19" x14ac:dyDescent="0.25">
      <c r="A390" s="22"/>
      <c r="B390" s="22"/>
      <c r="C390" s="22"/>
      <c r="D390" s="23"/>
      <c r="H390" s="22"/>
      <c r="L390" s="695"/>
      <c r="M390" s="660"/>
      <c r="N390" s="660"/>
      <c r="O390" s="693"/>
      <c r="P390" s="22"/>
      <c r="Q390" s="22"/>
      <c r="R390" s="22"/>
      <c r="S390" s="22"/>
    </row>
    <row r="391" spans="1:19" x14ac:dyDescent="0.25">
      <c r="A391" s="22"/>
      <c r="B391" s="22"/>
      <c r="C391" s="22"/>
      <c r="D391" s="23"/>
      <c r="H391" s="22"/>
      <c r="L391" s="695"/>
      <c r="M391" s="660"/>
      <c r="N391" s="660"/>
      <c r="O391" s="693"/>
      <c r="P391" s="22"/>
      <c r="Q391" s="22"/>
      <c r="R391" s="22"/>
      <c r="S391" s="22"/>
    </row>
    <row r="392" spans="1:19" x14ac:dyDescent="0.25">
      <c r="A392" s="22"/>
      <c r="B392" s="22"/>
      <c r="C392" s="22"/>
      <c r="D392" s="23"/>
      <c r="H392" s="22"/>
      <c r="L392" s="695"/>
      <c r="M392" s="660"/>
      <c r="N392" s="660"/>
      <c r="O392" s="693"/>
      <c r="P392" s="22"/>
      <c r="Q392" s="22"/>
      <c r="R392" s="22"/>
      <c r="S392" s="22"/>
    </row>
    <row r="393" spans="1:19" x14ac:dyDescent="0.25">
      <c r="A393" s="22"/>
      <c r="B393" s="22"/>
      <c r="C393" s="22"/>
      <c r="D393" s="23"/>
      <c r="H393" s="22"/>
      <c r="L393" s="695"/>
      <c r="M393" s="660"/>
      <c r="N393" s="660"/>
      <c r="O393" s="693"/>
      <c r="P393" s="22"/>
      <c r="Q393" s="22"/>
      <c r="R393" s="22"/>
      <c r="S393" s="22"/>
    </row>
    <row r="394" spans="1:19" x14ac:dyDescent="0.25">
      <c r="A394" s="22"/>
      <c r="B394" s="22"/>
      <c r="C394" s="22"/>
      <c r="D394" s="23"/>
      <c r="H394" s="22"/>
      <c r="L394" s="695"/>
      <c r="M394" s="660"/>
      <c r="N394" s="660"/>
      <c r="O394" s="693"/>
      <c r="P394" s="22"/>
      <c r="Q394" s="22"/>
      <c r="R394" s="22"/>
      <c r="S394" s="22"/>
    </row>
    <row r="395" spans="1:19" x14ac:dyDescent="0.25">
      <c r="A395" s="22"/>
      <c r="B395" s="22"/>
      <c r="C395" s="22"/>
      <c r="D395" s="23"/>
      <c r="H395" s="22"/>
      <c r="L395" s="695"/>
      <c r="M395" s="660"/>
      <c r="N395" s="660"/>
      <c r="O395" s="693"/>
      <c r="P395" s="22"/>
      <c r="Q395" s="22"/>
      <c r="R395" s="22"/>
      <c r="S395" s="22"/>
    </row>
    <row r="396" spans="1:19" x14ac:dyDescent="0.25">
      <c r="A396" s="22"/>
      <c r="B396" s="22"/>
      <c r="C396" s="22"/>
      <c r="D396" s="23"/>
      <c r="H396" s="22"/>
      <c r="L396" s="695"/>
      <c r="M396" s="660"/>
      <c r="N396" s="660"/>
      <c r="O396" s="693"/>
      <c r="P396" s="22"/>
      <c r="Q396" s="22"/>
      <c r="R396" s="22"/>
      <c r="S396" s="22"/>
    </row>
    <row r="397" spans="1:19" x14ac:dyDescent="0.25">
      <c r="A397" s="22"/>
      <c r="B397" s="22"/>
      <c r="C397" s="22"/>
      <c r="D397" s="23"/>
      <c r="H397" s="22"/>
      <c r="L397" s="695"/>
      <c r="M397" s="660"/>
      <c r="N397" s="660"/>
      <c r="O397" s="693"/>
      <c r="P397" s="22"/>
      <c r="Q397" s="22"/>
      <c r="R397" s="22"/>
      <c r="S397" s="22"/>
    </row>
    <row r="398" spans="1:19" x14ac:dyDescent="0.25">
      <c r="A398" s="22"/>
      <c r="B398" s="22"/>
      <c r="C398" s="22"/>
      <c r="D398" s="23"/>
      <c r="H398" s="22"/>
      <c r="L398" s="695"/>
      <c r="M398" s="660"/>
      <c r="N398" s="660"/>
      <c r="O398" s="693"/>
      <c r="P398" s="22"/>
      <c r="Q398" s="22"/>
      <c r="R398" s="22"/>
      <c r="S398" s="22"/>
    </row>
    <row r="399" spans="1:19" x14ac:dyDescent="0.25">
      <c r="A399" s="22"/>
      <c r="B399" s="22"/>
      <c r="C399" s="22"/>
      <c r="D399" s="23"/>
      <c r="H399" s="22"/>
      <c r="L399" s="695"/>
      <c r="M399" s="660"/>
      <c r="N399" s="660"/>
      <c r="O399" s="693"/>
      <c r="P399" s="22"/>
      <c r="Q399" s="22"/>
      <c r="R399" s="22"/>
      <c r="S399" s="22"/>
    </row>
    <row r="400" spans="1:19" x14ac:dyDescent="0.25">
      <c r="A400" s="22"/>
      <c r="B400" s="22"/>
      <c r="C400" s="22"/>
      <c r="D400" s="23"/>
      <c r="H400" s="22"/>
      <c r="L400" s="695"/>
      <c r="M400" s="660"/>
      <c r="N400" s="660"/>
      <c r="O400" s="693"/>
      <c r="P400" s="22"/>
      <c r="Q400" s="22"/>
      <c r="R400" s="22"/>
      <c r="S400" s="22"/>
    </row>
    <row r="401" spans="1:19" x14ac:dyDescent="0.25">
      <c r="A401" s="22"/>
      <c r="B401" s="22"/>
      <c r="C401" s="22"/>
      <c r="D401" s="23"/>
      <c r="H401" s="22"/>
      <c r="L401" s="695"/>
      <c r="M401" s="660"/>
      <c r="N401" s="660"/>
      <c r="O401" s="693"/>
      <c r="P401" s="22"/>
      <c r="Q401" s="22"/>
      <c r="R401" s="22"/>
      <c r="S401" s="22"/>
    </row>
    <row r="402" spans="1:19" x14ac:dyDescent="0.25">
      <c r="A402" s="22"/>
      <c r="B402" s="22"/>
      <c r="C402" s="22"/>
      <c r="D402" s="23"/>
      <c r="H402" s="22"/>
      <c r="L402" s="695"/>
      <c r="M402" s="660"/>
      <c r="N402" s="660"/>
      <c r="O402" s="693"/>
      <c r="P402" s="22"/>
      <c r="Q402" s="22"/>
      <c r="R402" s="22"/>
      <c r="S402" s="22"/>
    </row>
    <row r="403" spans="1:19" x14ac:dyDescent="0.25">
      <c r="A403" s="22"/>
      <c r="B403" s="22"/>
      <c r="C403" s="22"/>
      <c r="D403" s="23"/>
      <c r="H403" s="22"/>
      <c r="L403" s="695"/>
      <c r="M403" s="660"/>
      <c r="N403" s="660"/>
      <c r="O403" s="693"/>
      <c r="P403" s="22"/>
      <c r="Q403" s="22"/>
      <c r="R403" s="22"/>
      <c r="S403" s="22"/>
    </row>
    <row r="404" spans="1:19" x14ac:dyDescent="0.25">
      <c r="A404" s="22"/>
      <c r="B404" s="22"/>
      <c r="C404" s="22"/>
      <c r="D404" s="23"/>
      <c r="H404" s="22"/>
      <c r="L404" s="695"/>
      <c r="M404" s="660"/>
      <c r="N404" s="660"/>
      <c r="O404" s="693"/>
      <c r="P404" s="22"/>
      <c r="Q404" s="22"/>
      <c r="R404" s="22"/>
      <c r="S404" s="22"/>
    </row>
    <row r="405" spans="1:19" x14ac:dyDescent="0.25">
      <c r="A405" s="22"/>
      <c r="B405" s="22"/>
      <c r="C405" s="22"/>
      <c r="D405" s="23"/>
      <c r="H405" s="22"/>
      <c r="L405" s="695"/>
      <c r="M405" s="660"/>
      <c r="N405" s="660"/>
      <c r="O405" s="693"/>
      <c r="P405" s="22"/>
      <c r="Q405" s="22"/>
      <c r="R405" s="22"/>
      <c r="S405" s="22"/>
    </row>
    <row r="406" spans="1:19" x14ac:dyDescent="0.25">
      <c r="A406" s="22"/>
      <c r="B406" s="22"/>
      <c r="C406" s="22"/>
      <c r="D406" s="23"/>
      <c r="H406" s="22"/>
      <c r="L406" s="695"/>
      <c r="M406" s="660"/>
      <c r="N406" s="660"/>
      <c r="O406" s="693"/>
      <c r="P406" s="22"/>
      <c r="Q406" s="22"/>
      <c r="R406" s="22"/>
      <c r="S406" s="22"/>
    </row>
    <row r="407" spans="1:19" x14ac:dyDescent="0.25">
      <c r="A407" s="22"/>
      <c r="B407" s="22"/>
      <c r="C407" s="22"/>
      <c r="D407" s="23"/>
      <c r="H407" s="22"/>
      <c r="L407" s="695"/>
      <c r="M407" s="660"/>
      <c r="N407" s="660"/>
      <c r="O407" s="693"/>
      <c r="P407" s="22"/>
      <c r="Q407" s="22"/>
      <c r="R407" s="22"/>
      <c r="S407" s="22"/>
    </row>
    <row r="408" spans="1:19" x14ac:dyDescent="0.25">
      <c r="A408" s="22"/>
      <c r="B408" s="22"/>
      <c r="C408" s="22"/>
      <c r="D408" s="23"/>
      <c r="H408" s="22"/>
      <c r="L408" s="695"/>
      <c r="M408" s="660"/>
      <c r="N408" s="660"/>
      <c r="O408" s="693"/>
      <c r="P408" s="22"/>
      <c r="Q408" s="22"/>
      <c r="R408" s="22"/>
      <c r="S408" s="22"/>
    </row>
    <row r="409" spans="1:19" x14ac:dyDescent="0.25">
      <c r="A409" s="22"/>
      <c r="B409" s="22"/>
      <c r="C409" s="22"/>
      <c r="D409" s="23"/>
      <c r="H409" s="22"/>
      <c r="L409" s="695"/>
      <c r="M409" s="660"/>
      <c r="N409" s="660"/>
      <c r="O409" s="693"/>
      <c r="P409" s="22"/>
      <c r="Q409" s="22"/>
      <c r="R409" s="22"/>
      <c r="S409" s="22"/>
    </row>
    <row r="410" spans="1:19" x14ac:dyDescent="0.25">
      <c r="A410" s="22"/>
      <c r="B410" s="22"/>
      <c r="C410" s="22"/>
      <c r="D410" s="23"/>
      <c r="H410" s="22"/>
      <c r="L410" s="695"/>
      <c r="M410" s="660"/>
      <c r="N410" s="660"/>
      <c r="O410" s="693"/>
      <c r="P410" s="22"/>
      <c r="Q410" s="22"/>
      <c r="R410" s="22"/>
      <c r="S410" s="22"/>
    </row>
    <row r="411" spans="1:19" x14ac:dyDescent="0.25">
      <c r="A411" s="22"/>
      <c r="B411" s="22"/>
      <c r="C411" s="22"/>
      <c r="D411" s="23"/>
      <c r="H411" s="22"/>
      <c r="L411" s="695"/>
      <c r="M411" s="660"/>
      <c r="N411" s="660"/>
      <c r="O411" s="693"/>
      <c r="P411" s="22"/>
      <c r="Q411" s="22"/>
      <c r="R411" s="22"/>
      <c r="S411" s="22"/>
    </row>
    <row r="412" spans="1:19" x14ac:dyDescent="0.25">
      <c r="A412" s="22"/>
      <c r="B412" s="22"/>
      <c r="C412" s="22"/>
      <c r="D412" s="23"/>
      <c r="H412" s="22"/>
      <c r="L412" s="695"/>
      <c r="M412" s="660"/>
      <c r="N412" s="660"/>
      <c r="O412" s="693"/>
      <c r="P412" s="22"/>
      <c r="Q412" s="22"/>
      <c r="R412" s="22"/>
      <c r="S412" s="22"/>
    </row>
    <row r="413" spans="1:19" x14ac:dyDescent="0.25">
      <c r="A413" s="22"/>
      <c r="B413" s="22"/>
      <c r="C413" s="22"/>
      <c r="D413" s="23"/>
      <c r="H413" s="22"/>
      <c r="L413" s="695"/>
      <c r="M413" s="660"/>
      <c r="N413" s="660"/>
      <c r="O413" s="693"/>
      <c r="P413" s="22"/>
      <c r="Q413" s="22"/>
      <c r="R413" s="22"/>
      <c r="S413" s="22"/>
    </row>
    <row r="414" spans="1:19" x14ac:dyDescent="0.25">
      <c r="A414" s="22"/>
      <c r="B414" s="22"/>
      <c r="C414" s="22"/>
      <c r="D414" s="23"/>
      <c r="H414" s="22"/>
      <c r="L414" s="695"/>
      <c r="M414" s="660"/>
      <c r="N414" s="660"/>
      <c r="O414" s="693"/>
      <c r="P414" s="22"/>
      <c r="Q414" s="22"/>
      <c r="R414" s="22"/>
      <c r="S414" s="22"/>
    </row>
    <row r="415" spans="1:19" x14ac:dyDescent="0.25">
      <c r="A415" s="22"/>
      <c r="B415" s="22"/>
      <c r="C415" s="22"/>
      <c r="D415" s="23"/>
      <c r="H415" s="22"/>
      <c r="L415" s="695"/>
      <c r="M415" s="660"/>
      <c r="N415" s="660"/>
      <c r="O415" s="693"/>
      <c r="P415" s="22"/>
      <c r="Q415" s="22"/>
      <c r="R415" s="22"/>
      <c r="S415" s="22"/>
    </row>
    <row r="416" spans="1:19" x14ac:dyDescent="0.25">
      <c r="A416" s="22"/>
      <c r="B416" s="22"/>
      <c r="C416" s="22"/>
      <c r="D416" s="23"/>
      <c r="H416" s="22"/>
      <c r="L416" s="695"/>
      <c r="M416" s="660"/>
      <c r="N416" s="660"/>
      <c r="O416" s="693"/>
      <c r="P416" s="22"/>
      <c r="Q416" s="22"/>
      <c r="R416" s="22"/>
      <c r="S416" s="22"/>
    </row>
    <row r="417" spans="1:19" x14ac:dyDescent="0.25">
      <c r="A417" s="22"/>
      <c r="B417" s="22"/>
      <c r="C417" s="22"/>
      <c r="D417" s="23"/>
      <c r="H417" s="22"/>
      <c r="L417" s="695"/>
      <c r="M417" s="660"/>
      <c r="N417" s="660"/>
      <c r="O417" s="693"/>
      <c r="P417" s="22"/>
      <c r="Q417" s="22"/>
      <c r="R417" s="22"/>
      <c r="S417" s="22"/>
    </row>
    <row r="418" spans="1:19" x14ac:dyDescent="0.25">
      <c r="A418" s="22"/>
      <c r="B418" s="22"/>
      <c r="C418" s="22"/>
      <c r="D418" s="23"/>
      <c r="H418" s="22"/>
      <c r="L418" s="695"/>
      <c r="M418" s="660"/>
      <c r="N418" s="660"/>
      <c r="O418" s="693"/>
      <c r="P418" s="22"/>
      <c r="Q418" s="22"/>
      <c r="R418" s="22"/>
      <c r="S418" s="22"/>
    </row>
    <row r="419" spans="1:19" x14ac:dyDescent="0.25">
      <c r="A419" s="22"/>
      <c r="B419" s="22"/>
      <c r="C419" s="22"/>
      <c r="D419" s="23"/>
      <c r="H419" s="22"/>
      <c r="L419" s="695"/>
      <c r="M419" s="660"/>
      <c r="N419" s="660"/>
      <c r="O419" s="693"/>
      <c r="P419" s="22"/>
      <c r="Q419" s="22"/>
      <c r="R419" s="22"/>
      <c r="S419" s="22"/>
    </row>
    <row r="420" spans="1:19" x14ac:dyDescent="0.25">
      <c r="A420" s="22"/>
      <c r="B420" s="22"/>
      <c r="C420" s="22"/>
      <c r="D420" s="23"/>
      <c r="H420" s="22"/>
      <c r="L420" s="695"/>
      <c r="M420" s="660"/>
      <c r="N420" s="660"/>
      <c r="O420" s="693"/>
      <c r="P420" s="22"/>
      <c r="Q420" s="22"/>
      <c r="R420" s="22"/>
      <c r="S420" s="22"/>
    </row>
    <row r="421" spans="1:19" x14ac:dyDescent="0.25">
      <c r="A421" s="22"/>
      <c r="B421" s="22"/>
      <c r="C421" s="22"/>
      <c r="D421" s="23"/>
      <c r="H421" s="22"/>
      <c r="L421" s="695"/>
      <c r="M421" s="660"/>
      <c r="N421" s="660"/>
      <c r="O421" s="693"/>
      <c r="P421" s="22"/>
      <c r="Q421" s="22"/>
      <c r="R421" s="22"/>
      <c r="S421" s="22"/>
    </row>
    <row r="422" spans="1:19" x14ac:dyDescent="0.25">
      <c r="A422" s="22"/>
      <c r="B422" s="22"/>
      <c r="C422" s="22"/>
      <c r="D422" s="23"/>
      <c r="H422" s="22"/>
      <c r="L422" s="695"/>
      <c r="M422" s="660"/>
      <c r="N422" s="660"/>
      <c r="O422" s="693"/>
      <c r="P422" s="22"/>
      <c r="Q422" s="22"/>
      <c r="R422" s="22"/>
      <c r="S422" s="22"/>
    </row>
    <row r="423" spans="1:19" x14ac:dyDescent="0.25">
      <c r="A423" s="22"/>
      <c r="B423" s="22"/>
      <c r="C423" s="22"/>
      <c r="D423" s="23"/>
      <c r="H423" s="22"/>
      <c r="L423" s="695"/>
      <c r="M423" s="660"/>
      <c r="N423" s="660"/>
      <c r="O423" s="693"/>
      <c r="P423" s="22"/>
      <c r="Q423" s="22"/>
      <c r="R423" s="22"/>
      <c r="S423" s="22"/>
    </row>
    <row r="424" spans="1:19" x14ac:dyDescent="0.25">
      <c r="A424" s="22"/>
      <c r="B424" s="22"/>
      <c r="C424" s="22"/>
      <c r="D424" s="23"/>
      <c r="H424" s="22"/>
      <c r="L424" s="695"/>
      <c r="M424" s="660"/>
      <c r="N424" s="660"/>
      <c r="O424" s="693"/>
      <c r="P424" s="22"/>
      <c r="Q424" s="22"/>
      <c r="R424" s="22"/>
      <c r="S424" s="22"/>
    </row>
    <row r="425" spans="1:19" x14ac:dyDescent="0.25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5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5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5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5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5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5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5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5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5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5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5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5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5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5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5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5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5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5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5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5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5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5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5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5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5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5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5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5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5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5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5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5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5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5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5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5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5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5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5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5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5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5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5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5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5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5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5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5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5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5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5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5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5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5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5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5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5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5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5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5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5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5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5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5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5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5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5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5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5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5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5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5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5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5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5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5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5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5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5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5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5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5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5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5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5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5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5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5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5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5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5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5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5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5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5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5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5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5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5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5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5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5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5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5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5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5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5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5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5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5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5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5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5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5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5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5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5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5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5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5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5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5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5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5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5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5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5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5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5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5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5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5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5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5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5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5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5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5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5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5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5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5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5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5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5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5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5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5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5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5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5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5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5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5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5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5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5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5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5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5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5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5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5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5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5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5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5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5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5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5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5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5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5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5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5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5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5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5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5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5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5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5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5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5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5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5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5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5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5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5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5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5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5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5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5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5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5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5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5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5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5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5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5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5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5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5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5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5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5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5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5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5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5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5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5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5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5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5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5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5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5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5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5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5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5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5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5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5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5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5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5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5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5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5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5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5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5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5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5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5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5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5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5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5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5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5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5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5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5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5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5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5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5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5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5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5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5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5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5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5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5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5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5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5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5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5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5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5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5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5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5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5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5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5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5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5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5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5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5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5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5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5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5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5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5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5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5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5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5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5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5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5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5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5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5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5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5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5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5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5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5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5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5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5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5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5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5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5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5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5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5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5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5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5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5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5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5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5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5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5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5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5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5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5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5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5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5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5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5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5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5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5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5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5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5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5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5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5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5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5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5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5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5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5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5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5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5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5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5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5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5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5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5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5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5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5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5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5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5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5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5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5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5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5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5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5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5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5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5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5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5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5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5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5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5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5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5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5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5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5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5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5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5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5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5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5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5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5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5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5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5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5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5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5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5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5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5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5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5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5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5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5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5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5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5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5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5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5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5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5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5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5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5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5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5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5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5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5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5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5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5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5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5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5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5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5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5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5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5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5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5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5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5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5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5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5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5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5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5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5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5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5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5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5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5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5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5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5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5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5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5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5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5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5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5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5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5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5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5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5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5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5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5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5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5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5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5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5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5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5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5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5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5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5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5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5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5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5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5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5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5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5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5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5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5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5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5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5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5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5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5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5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5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5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5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5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5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5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5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5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5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5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5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5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5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5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5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5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5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5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5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5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5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5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5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5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5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5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5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5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5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5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5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5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5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5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5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5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5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5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5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5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5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5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5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5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5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5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5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5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5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5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5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5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5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5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5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5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5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5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5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5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5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5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5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5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5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5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5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5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5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5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5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5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5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5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5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5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5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5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5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5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5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5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5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5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5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5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5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5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5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5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5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5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5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5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5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5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5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5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5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5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5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5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5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5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5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5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5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5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5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5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5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5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5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5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59055118110236227" bottom="0" header="0.51181102362204722" footer="0.51181102362204722"/>
  <pageSetup paperSize="8" scale="58" fitToHeight="0" orientation="portrait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zoomScale="85" zoomScaleNormal="75" zoomScaleSheetLayoutView="85" workbookViewId="0">
      <selection activeCell="F11" sqref="F11"/>
    </sheetView>
  </sheetViews>
  <sheetFormatPr defaultRowHeight="13.2" x14ac:dyDescent="0.25"/>
  <cols>
    <col min="1" max="1" width="6.44140625" style="25" bestFit="1" customWidth="1"/>
    <col min="2" max="2" width="56.44140625" style="13" customWidth="1"/>
    <col min="3" max="3" width="15.5546875" style="17" customWidth="1"/>
    <col min="4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2" width="13.5546875" style="13" bestFit="1" customWidth="1"/>
    <col min="13" max="13" width="11.33203125" style="13" bestFit="1" customWidth="1"/>
    <col min="14" max="14" width="11.3320312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0" max="20" width="10.5546875" style="13" customWidth="1"/>
    <col min="21" max="21" width="0.6640625" style="13" customWidth="1"/>
    <col min="22" max="22" width="5.5546875" style="13" customWidth="1"/>
    <col min="25" max="26" width="12.5546875" bestFit="1" customWidth="1"/>
  </cols>
  <sheetData>
    <row r="1" spans="1:26" ht="24.6" x14ac:dyDescent="0.4">
      <c r="A1" s="626" t="s">
        <v>466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65"/>
      <c r="W4" s="122"/>
      <c r="X4" s="122"/>
    </row>
    <row r="5" spans="1:26" ht="20.100000000000001" customHeight="1" x14ac:dyDescent="0.3">
      <c r="A5" s="251"/>
      <c r="B5" s="251" t="s">
        <v>377</v>
      </c>
      <c r="C5" s="252">
        <f>+C89</f>
        <v>41408310.030000001</v>
      </c>
      <c r="D5" s="252">
        <f t="shared" ref="D5:H5" si="0">+D89</f>
        <v>41408310</v>
      </c>
      <c r="E5" s="252">
        <f t="shared" si="0"/>
        <v>41408310</v>
      </c>
      <c r="F5" s="252">
        <f t="shared" ref="F5" si="1">+F89</f>
        <v>0</v>
      </c>
      <c r="G5" s="252"/>
      <c r="H5" s="252">
        <f t="shared" si="0"/>
        <v>17506348</v>
      </c>
      <c r="I5" s="252">
        <f>+I89</f>
        <v>27535325</v>
      </c>
      <c r="J5" s="252">
        <f t="shared" ref="J5" si="2">+J89</f>
        <v>0</v>
      </c>
      <c r="K5" s="89"/>
      <c r="L5" s="701">
        <f t="shared" ref="L5:N6" si="3">IF(H5&gt;0,H5/C5,0)</f>
        <v>0.42277378592163711</v>
      </c>
      <c r="M5" s="701">
        <f t="shared" si="3"/>
        <v>0.66497099253748826</v>
      </c>
      <c r="N5" s="701">
        <f t="shared" si="3"/>
        <v>0</v>
      </c>
      <c r="O5" s="701"/>
      <c r="P5" s="252">
        <f t="shared" ref="P5:S5" si="4">+P89</f>
        <v>-3.0000001192092896E-2</v>
      </c>
      <c r="Q5" s="252">
        <f t="shared" si="4"/>
        <v>0</v>
      </c>
      <c r="R5" s="252">
        <f t="shared" si="4"/>
        <v>0</v>
      </c>
      <c r="S5" s="252">
        <f t="shared" si="4"/>
        <v>-3.0000001192092896E-2</v>
      </c>
      <c r="T5" s="133">
        <f>IF(C5=0,0,+S5/C5)</f>
        <v>-7.2449228597733467E-10</v>
      </c>
      <c r="U5" s="118"/>
      <c r="V5" s="199">
        <f t="shared" ref="V5:V7" si="5">+S5-E5+C5</f>
        <v>0</v>
      </c>
      <c r="W5" s="122"/>
      <c r="X5" s="122"/>
    </row>
    <row r="6" spans="1:26" ht="20.100000000000001" customHeight="1" x14ac:dyDescent="0.3">
      <c r="A6" s="253"/>
      <c r="B6" s="253" t="s">
        <v>376</v>
      </c>
      <c r="C6" s="254">
        <f>+C102</f>
        <v>41408310.030000001</v>
      </c>
      <c r="D6" s="254">
        <f t="shared" ref="D6:H6" si="6">+D102</f>
        <v>41408310</v>
      </c>
      <c r="E6" s="254">
        <f t="shared" si="6"/>
        <v>41408310</v>
      </c>
      <c r="F6" s="254">
        <f t="shared" ref="F6" si="7">+F102</f>
        <v>0</v>
      </c>
      <c r="G6" s="254"/>
      <c r="H6" s="254">
        <f t="shared" si="6"/>
        <v>19270047</v>
      </c>
      <c r="I6" s="254">
        <f>+I102</f>
        <v>29182128</v>
      </c>
      <c r="J6" s="254">
        <f t="shared" ref="J6" si="8">+J102</f>
        <v>0</v>
      </c>
      <c r="K6" s="67"/>
      <c r="L6" s="701">
        <f t="shared" si="3"/>
        <v>0.46536666157201295</v>
      </c>
      <c r="M6" s="701">
        <f t="shared" si="3"/>
        <v>0.70474085998679981</v>
      </c>
      <c r="N6" s="701">
        <f t="shared" si="3"/>
        <v>0</v>
      </c>
      <c r="O6" s="701"/>
      <c r="P6" s="254">
        <f t="shared" ref="P6:S6" si="9">+P102</f>
        <v>-3.0000001192092896E-2</v>
      </c>
      <c r="Q6" s="254">
        <f t="shared" si="9"/>
        <v>0</v>
      </c>
      <c r="R6" s="254">
        <f t="shared" si="9"/>
        <v>0</v>
      </c>
      <c r="S6" s="254">
        <f t="shared" si="9"/>
        <v>-3.0000001192092896E-2</v>
      </c>
      <c r="T6" s="31">
        <f>IF(C6=0,0,+S6/C6)</f>
        <v>-7.2449228597733467E-10</v>
      </c>
      <c r="U6" s="118"/>
      <c r="V6" s="199">
        <f t="shared" si="5"/>
        <v>0</v>
      </c>
      <c r="W6" s="122"/>
      <c r="X6" s="122"/>
    </row>
    <row r="7" spans="1:26" ht="20.100000000000001" customHeight="1" x14ac:dyDescent="0.3">
      <c r="A7" s="253"/>
      <c r="B7" s="253" t="s">
        <v>411</v>
      </c>
      <c r="C7" s="254">
        <f>+C6-C5</f>
        <v>0</v>
      </c>
      <c r="D7" s="254">
        <f t="shared" ref="D7:H7" si="10">+D6-D5</f>
        <v>0</v>
      </c>
      <c r="E7" s="254">
        <f t="shared" si="10"/>
        <v>0</v>
      </c>
      <c r="F7" s="254">
        <f t="shared" si="10"/>
        <v>0</v>
      </c>
      <c r="G7" s="254"/>
      <c r="H7" s="254">
        <f t="shared" si="10"/>
        <v>1763699</v>
      </c>
      <c r="I7" s="254">
        <f>+I6-I5</f>
        <v>1646803</v>
      </c>
      <c r="J7" s="254">
        <f t="shared" ref="J7" si="11">+J6-J5</f>
        <v>0</v>
      </c>
      <c r="K7" s="67"/>
      <c r="L7" s="701"/>
      <c r="M7" s="701"/>
      <c r="N7" s="701"/>
      <c r="O7" s="701"/>
      <c r="P7" s="254">
        <f t="shared" ref="P7" si="12">+P6-P5</f>
        <v>0</v>
      </c>
      <c r="Q7" s="254">
        <f t="shared" ref="Q7" si="13">+Q6-Q5</f>
        <v>0</v>
      </c>
      <c r="R7" s="254">
        <f t="shared" ref="R7" si="14">+R6-R5</f>
        <v>0</v>
      </c>
      <c r="S7" s="254">
        <f t="shared" ref="S7" si="15">+S6-S5</f>
        <v>0</v>
      </c>
      <c r="T7" s="31">
        <f>IF(C7=0,0,+S7/C7)</f>
        <v>0</v>
      </c>
      <c r="U7" s="118"/>
      <c r="V7" s="199">
        <f t="shared" si="5"/>
        <v>0</v>
      </c>
      <c r="W7" s="122"/>
      <c r="X7" s="122"/>
    </row>
    <row r="8" spans="1:26" x14ac:dyDescent="0.25">
      <c r="A8" s="237"/>
      <c r="B8" s="238"/>
      <c r="C8" s="671"/>
      <c r="D8" s="672"/>
      <c r="E8" s="672"/>
      <c r="F8" s="672"/>
      <c r="G8" s="673"/>
      <c r="H8" s="673"/>
      <c r="I8" s="673"/>
      <c r="J8" s="673"/>
      <c r="K8" s="673"/>
      <c r="L8" s="653"/>
      <c r="M8" s="653"/>
      <c r="N8" s="137"/>
      <c r="O8" s="120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912" t="s">
        <v>410</v>
      </c>
      <c r="D9" s="920"/>
      <c r="E9" s="920"/>
      <c r="F9" s="921"/>
      <c r="G9" s="154"/>
      <c r="H9" s="912" t="s">
        <v>409</v>
      </c>
      <c r="I9" s="920"/>
      <c r="J9" s="920"/>
      <c r="K9" s="920"/>
      <c r="L9" s="920"/>
      <c r="M9" s="920"/>
      <c r="N9" s="921"/>
      <c r="O9" s="154"/>
      <c r="P9" s="912" t="s">
        <v>406</v>
      </c>
      <c r="Q9" s="920"/>
      <c r="R9" s="920"/>
      <c r="S9" s="920"/>
      <c r="T9" s="921"/>
      <c r="U9" s="200"/>
      <c r="V9" s="196"/>
      <c r="W9" s="122"/>
      <c r="X9" s="122"/>
    </row>
    <row r="10" spans="1:26" x14ac:dyDescent="0.25">
      <c r="A10" s="60"/>
      <c r="B10" s="61"/>
      <c r="C10" s="235"/>
      <c r="D10" s="88"/>
      <c r="E10" s="88"/>
      <c r="F10" s="236"/>
      <c r="G10" s="134"/>
      <c r="H10" s="909" t="s">
        <v>422</v>
      </c>
      <c r="I10" s="910"/>
      <c r="J10" s="911"/>
      <c r="K10" s="134"/>
      <c r="L10" s="909" t="s">
        <v>421</v>
      </c>
      <c r="M10" s="910"/>
      <c r="N10" s="911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01"/>
      <c r="W10" s="131"/>
      <c r="X10" s="131"/>
      <c r="Y10" s="131"/>
      <c r="Z10" s="131"/>
    </row>
    <row r="11" spans="1:26" ht="68.7" customHeight="1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510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  <c r="W11" s="122"/>
      <c r="X11" s="122"/>
    </row>
    <row r="12" spans="1:26" x14ac:dyDescent="0.25">
      <c r="A12" s="15"/>
      <c r="B12" s="15"/>
      <c r="C12" s="69"/>
      <c r="D12" s="93"/>
      <c r="E12" s="93"/>
      <c r="F12" s="93"/>
      <c r="G12" s="94"/>
      <c r="H12" s="94"/>
      <c r="I12" s="94"/>
      <c r="J12" s="94"/>
      <c r="K12" s="94"/>
      <c r="L12" s="653"/>
      <c r="M12" s="653"/>
      <c r="N12" s="653"/>
      <c r="O12" s="120"/>
      <c r="P12" s="81"/>
      <c r="Q12" s="81"/>
      <c r="R12" s="81"/>
      <c r="S12" s="81"/>
      <c r="T12" s="152"/>
      <c r="U12" s="120"/>
      <c r="V12" s="196"/>
      <c r="W12" s="122"/>
      <c r="X12" s="122"/>
    </row>
    <row r="13" spans="1:26" x14ac:dyDescent="0.25">
      <c r="A13" s="24" t="s">
        <v>0</v>
      </c>
      <c r="B13" s="24" t="s">
        <v>3</v>
      </c>
      <c r="C13" s="89">
        <f>SUM(C14:C28)</f>
        <v>26281954</v>
      </c>
      <c r="D13" s="89">
        <f t="shared" ref="D13:J13" si="16">SUM(D14:D28)</f>
        <v>26281954</v>
      </c>
      <c r="E13" s="89">
        <f t="shared" si="16"/>
        <v>26281954</v>
      </c>
      <c r="F13" s="89">
        <f t="shared" si="16"/>
        <v>0</v>
      </c>
      <c r="G13" s="89"/>
      <c r="H13" s="89">
        <f t="shared" si="16"/>
        <v>11842617</v>
      </c>
      <c r="I13" s="89">
        <f t="shared" si="16"/>
        <v>18141800</v>
      </c>
      <c r="J13" s="89">
        <f t="shared" si="16"/>
        <v>0</v>
      </c>
      <c r="K13" s="90"/>
      <c r="L13" s="650">
        <f>IF(H13&gt;0,H13/C13,0)</f>
        <v>0.45059880250912848</v>
      </c>
      <c r="M13" s="650">
        <f>IF(I13&gt;0,I13/D13,0)</f>
        <v>0.69027592088472567</v>
      </c>
      <c r="N13" s="650">
        <f>IF(J13&gt;0,J13/F13,0)</f>
        <v>0</v>
      </c>
      <c r="O13" s="118"/>
      <c r="P13" s="90">
        <f t="shared" ref="P13" si="17">+(D13-C13)*P$10</f>
        <v>0</v>
      </c>
      <c r="Q13" s="90">
        <f t="shared" ref="Q13" si="18">+(E13-D13)*Q$10</f>
        <v>0</v>
      </c>
      <c r="R13" s="90">
        <f t="shared" ref="R13" si="19">+(F13-E13)*R$10</f>
        <v>0</v>
      </c>
      <c r="S13" s="90">
        <f t="shared" ref="S13:S14" si="20">+P$10*P13+Q$10*Q13+R$10*R13</f>
        <v>0</v>
      </c>
      <c r="T13" s="202">
        <f t="shared" ref="T13" si="21">IF(C13=0,0,+S13/C13)</f>
        <v>0</v>
      </c>
      <c r="U13" s="118"/>
      <c r="V13" s="196">
        <f t="shared" ref="V13" si="22">+S13-E13+C13</f>
        <v>0</v>
      </c>
      <c r="W13" s="122"/>
      <c r="X13" s="122"/>
    </row>
    <row r="14" spans="1:26" x14ac:dyDescent="0.25">
      <c r="A14" s="15" t="s">
        <v>1</v>
      </c>
      <c r="B14" s="15"/>
      <c r="C14" s="304"/>
      <c r="D14" s="221"/>
      <c r="E14" s="221"/>
      <c r="F14" s="221"/>
      <c r="G14" s="92"/>
      <c r="H14" s="305"/>
      <c r="I14" s="305"/>
      <c r="J14" s="305"/>
      <c r="K14" s="92"/>
      <c r="L14" s="649"/>
      <c r="M14" s="649"/>
      <c r="N14" s="649"/>
      <c r="O14" s="119"/>
      <c r="P14" s="92"/>
      <c r="Q14" s="92"/>
      <c r="R14" s="92"/>
      <c r="S14" s="92">
        <f t="shared" si="20"/>
        <v>0</v>
      </c>
      <c r="T14" s="85"/>
      <c r="U14" s="119"/>
      <c r="V14" s="196">
        <f t="shared" ref="V14:V76" si="23">+S14-E14+C14</f>
        <v>0</v>
      </c>
      <c r="W14" s="122"/>
      <c r="X14" s="122"/>
    </row>
    <row r="15" spans="1:26" x14ac:dyDescent="0.25">
      <c r="A15" s="15" t="s">
        <v>2</v>
      </c>
      <c r="B15" s="15" t="s">
        <v>362</v>
      </c>
      <c r="C15" s="304">
        <f>24511954-110000</f>
        <v>24401954</v>
      </c>
      <c r="D15" s="222">
        <v>24401954</v>
      </c>
      <c r="E15" s="222">
        <v>24401954</v>
      </c>
      <c r="F15" s="222"/>
      <c r="G15" s="94"/>
      <c r="H15" s="306">
        <v>11366905</v>
      </c>
      <c r="I15" s="306">
        <v>17051869</v>
      </c>
      <c r="J15" s="306"/>
      <c r="K15" s="94"/>
      <c r="L15" s="653">
        <f t="shared" ref="L15:L23" si="24">IF(H15&gt;0,H15/C15,0)</f>
        <v>0.46581945855647461</v>
      </c>
      <c r="M15" s="653">
        <f t="shared" ref="M15:M23" si="25">IF(I15&gt;0,I15/D15,0)</f>
        <v>0.6987911295956053</v>
      </c>
      <c r="N15" s="653">
        <f t="shared" ref="N15:N23" si="26">IF(J15&gt;0,J15/E15,0)</f>
        <v>0</v>
      </c>
      <c r="O15" s="120"/>
      <c r="P15" s="81">
        <f t="shared" ref="P15:P23" si="27">+(D15-C15)*P$10</f>
        <v>0</v>
      </c>
      <c r="Q15" s="81">
        <f t="shared" ref="Q15:Q23" si="28">+(E15-D15)*Q$10</f>
        <v>0</v>
      </c>
      <c r="R15" s="81">
        <f t="shared" ref="R15:R23" si="29">+(F15-E15)*R$10</f>
        <v>0</v>
      </c>
      <c r="S15" s="81">
        <f>+P$10*P15+Q$10*Q15+R$10*R15</f>
        <v>0</v>
      </c>
      <c r="T15" s="85">
        <f t="shared" ref="T15:T23" si="30">IF(C15=0,0,+S15/C15)</f>
        <v>0</v>
      </c>
      <c r="U15" s="120"/>
      <c r="V15" s="196">
        <f t="shared" si="23"/>
        <v>0</v>
      </c>
      <c r="W15" s="122"/>
      <c r="X15" s="123"/>
      <c r="Y15" s="37"/>
    </row>
    <row r="16" spans="1:26" x14ac:dyDescent="0.25">
      <c r="A16" s="15" t="s">
        <v>12</v>
      </c>
      <c r="B16" s="15" t="s">
        <v>4</v>
      </c>
      <c r="C16" s="304">
        <v>0</v>
      </c>
      <c r="D16" s="222">
        <v>0</v>
      </c>
      <c r="E16" s="222"/>
      <c r="F16" s="222"/>
      <c r="G16" s="94"/>
      <c r="H16" s="306"/>
      <c r="I16" s="306"/>
      <c r="J16" s="306"/>
      <c r="K16" s="94"/>
      <c r="L16" s="653">
        <f t="shared" si="24"/>
        <v>0</v>
      </c>
      <c r="M16" s="653">
        <f t="shared" si="25"/>
        <v>0</v>
      </c>
      <c r="N16" s="653">
        <f t="shared" si="26"/>
        <v>0</v>
      </c>
      <c r="O16" s="120"/>
      <c r="P16" s="81">
        <f t="shared" si="27"/>
        <v>0</v>
      </c>
      <c r="Q16" s="81">
        <f t="shared" si="28"/>
        <v>0</v>
      </c>
      <c r="R16" s="81">
        <f t="shared" si="29"/>
        <v>0</v>
      </c>
      <c r="S16" s="81">
        <f t="shared" ref="S16:S27" si="31">+P$10*P16+Q$10*Q16+R$10*R16</f>
        <v>0</v>
      </c>
      <c r="T16" s="85">
        <f t="shared" si="30"/>
        <v>0</v>
      </c>
      <c r="U16" s="120"/>
      <c r="V16" s="196">
        <f t="shared" si="23"/>
        <v>0</v>
      </c>
      <c r="W16" s="122"/>
      <c r="X16" s="122"/>
    </row>
    <row r="17" spans="1:26" x14ac:dyDescent="0.25">
      <c r="A17" s="15" t="s">
        <v>13</v>
      </c>
      <c r="B17" s="15" t="s">
        <v>381</v>
      </c>
      <c r="C17" s="222"/>
      <c r="D17" s="222"/>
      <c r="E17" s="222"/>
      <c r="F17" s="222"/>
      <c r="G17" s="94"/>
      <c r="H17" s="306"/>
      <c r="I17" s="306"/>
      <c r="J17" s="306"/>
      <c r="K17" s="94"/>
      <c r="L17" s="653">
        <f t="shared" si="24"/>
        <v>0</v>
      </c>
      <c r="M17" s="653">
        <f t="shared" si="25"/>
        <v>0</v>
      </c>
      <c r="N17" s="653">
        <f t="shared" si="26"/>
        <v>0</v>
      </c>
      <c r="O17" s="120"/>
      <c r="P17" s="81">
        <f t="shared" si="27"/>
        <v>0</v>
      </c>
      <c r="Q17" s="81">
        <f t="shared" si="28"/>
        <v>0</v>
      </c>
      <c r="R17" s="81">
        <f t="shared" si="29"/>
        <v>0</v>
      </c>
      <c r="S17" s="81">
        <f t="shared" si="31"/>
        <v>0</v>
      </c>
      <c r="T17" s="85">
        <f t="shared" si="30"/>
        <v>0</v>
      </c>
      <c r="U17" s="120"/>
      <c r="V17" s="196">
        <f t="shared" si="23"/>
        <v>0</v>
      </c>
      <c r="W17" s="122"/>
      <c r="X17" s="122"/>
    </row>
    <row r="18" spans="1:26" x14ac:dyDescent="0.25">
      <c r="A18" s="15" t="s">
        <v>385</v>
      </c>
      <c r="B18" s="15" t="s">
        <v>6</v>
      </c>
      <c r="C18" s="304">
        <v>0</v>
      </c>
      <c r="D18" s="222">
        <v>0</v>
      </c>
      <c r="E18" s="222"/>
      <c r="F18" s="222"/>
      <c r="G18" s="94"/>
      <c r="H18" s="306"/>
      <c r="I18" s="306"/>
      <c r="J18" s="306"/>
      <c r="K18" s="94"/>
      <c r="L18" s="653">
        <f t="shared" si="24"/>
        <v>0</v>
      </c>
      <c r="M18" s="653">
        <f t="shared" si="25"/>
        <v>0</v>
      </c>
      <c r="N18" s="653">
        <f t="shared" si="26"/>
        <v>0</v>
      </c>
      <c r="O18" s="120"/>
      <c r="P18" s="81">
        <f t="shared" si="27"/>
        <v>0</v>
      </c>
      <c r="Q18" s="81">
        <f t="shared" si="28"/>
        <v>0</v>
      </c>
      <c r="R18" s="81">
        <f t="shared" si="29"/>
        <v>0</v>
      </c>
      <c r="S18" s="81">
        <f t="shared" si="31"/>
        <v>0</v>
      </c>
      <c r="T18" s="85">
        <f t="shared" si="30"/>
        <v>0</v>
      </c>
      <c r="U18" s="120"/>
      <c r="V18" s="196">
        <f t="shared" si="23"/>
        <v>0</v>
      </c>
      <c r="W18" s="122"/>
      <c r="X18" s="122"/>
    </row>
    <row r="19" spans="1:26" x14ac:dyDescent="0.25">
      <c r="A19" s="15" t="s">
        <v>14</v>
      </c>
      <c r="B19" s="15" t="s">
        <v>7</v>
      </c>
      <c r="C19" s="533">
        <v>480000</v>
      </c>
      <c r="D19" s="533">
        <v>480000</v>
      </c>
      <c r="E19" s="533">
        <f>119096+360904</f>
        <v>480000</v>
      </c>
      <c r="F19" s="222"/>
      <c r="G19" s="94"/>
      <c r="H19" s="306">
        <v>10000</v>
      </c>
      <c r="I19" s="306">
        <f>10000+360904</f>
        <v>370904</v>
      </c>
      <c r="J19" s="306"/>
      <c r="K19" s="94"/>
      <c r="L19" s="653">
        <f t="shared" si="24"/>
        <v>2.0833333333333332E-2</v>
      </c>
      <c r="M19" s="653">
        <f t="shared" si="25"/>
        <v>0.77271666666666672</v>
      </c>
      <c r="N19" s="653">
        <f t="shared" si="26"/>
        <v>0</v>
      </c>
      <c r="O19" s="120"/>
      <c r="P19" s="81">
        <f t="shared" si="27"/>
        <v>0</v>
      </c>
      <c r="Q19" s="81">
        <f t="shared" si="28"/>
        <v>0</v>
      </c>
      <c r="R19" s="81">
        <f t="shared" si="29"/>
        <v>0</v>
      </c>
      <c r="S19" s="81">
        <f t="shared" si="31"/>
        <v>0</v>
      </c>
      <c r="T19" s="85">
        <f t="shared" si="30"/>
        <v>0</v>
      </c>
      <c r="U19" s="120"/>
      <c r="V19" s="196">
        <f t="shared" si="23"/>
        <v>0</v>
      </c>
      <c r="W19" s="122"/>
      <c r="X19" s="122"/>
    </row>
    <row r="20" spans="1:26" x14ac:dyDescent="0.25">
      <c r="A20" s="15" t="s">
        <v>15</v>
      </c>
      <c r="B20" s="15" t="s">
        <v>8</v>
      </c>
      <c r="C20" s="533">
        <f>8*25000</f>
        <v>200000</v>
      </c>
      <c r="D20" s="533">
        <v>200000</v>
      </c>
      <c r="E20" s="533">
        <v>200000</v>
      </c>
      <c r="F20" s="222"/>
      <c r="G20" s="94"/>
      <c r="H20" s="306"/>
      <c r="I20" s="306"/>
      <c r="J20" s="306"/>
      <c r="K20" s="94"/>
      <c r="L20" s="653">
        <f t="shared" si="24"/>
        <v>0</v>
      </c>
      <c r="M20" s="653">
        <f t="shared" si="25"/>
        <v>0</v>
      </c>
      <c r="N20" s="653">
        <f t="shared" si="26"/>
        <v>0</v>
      </c>
      <c r="O20" s="120"/>
      <c r="P20" s="81">
        <f t="shared" si="27"/>
        <v>0</v>
      </c>
      <c r="Q20" s="81">
        <f t="shared" si="28"/>
        <v>0</v>
      </c>
      <c r="R20" s="81">
        <f t="shared" si="29"/>
        <v>0</v>
      </c>
      <c r="S20" s="81">
        <f t="shared" si="31"/>
        <v>0</v>
      </c>
      <c r="T20" s="85">
        <f t="shared" si="30"/>
        <v>0</v>
      </c>
      <c r="U20" s="120"/>
      <c r="V20" s="196">
        <f t="shared" si="23"/>
        <v>0</v>
      </c>
      <c r="W20" s="122"/>
      <c r="X20" s="122"/>
    </row>
    <row r="21" spans="1:26" x14ac:dyDescent="0.25">
      <c r="A21" s="15" t="s">
        <v>16</v>
      </c>
      <c r="B21" s="15" t="s">
        <v>9</v>
      </c>
      <c r="C21" s="533">
        <v>100000</v>
      </c>
      <c r="D21" s="533">
        <v>100000</v>
      </c>
      <c r="E21" s="533">
        <v>100000</v>
      </c>
      <c r="F21" s="222"/>
      <c r="G21" s="94"/>
      <c r="H21" s="306">
        <v>47450</v>
      </c>
      <c r="I21" s="306">
        <v>59080</v>
      </c>
      <c r="J21" s="306"/>
      <c r="K21" s="94"/>
      <c r="L21" s="653">
        <f t="shared" si="24"/>
        <v>0.47449999999999998</v>
      </c>
      <c r="M21" s="653">
        <f t="shared" si="25"/>
        <v>0.59079999999999999</v>
      </c>
      <c r="N21" s="653">
        <f t="shared" si="26"/>
        <v>0</v>
      </c>
      <c r="O21" s="120"/>
      <c r="P21" s="81">
        <f t="shared" si="27"/>
        <v>0</v>
      </c>
      <c r="Q21" s="81">
        <f t="shared" si="28"/>
        <v>0</v>
      </c>
      <c r="R21" s="81">
        <f t="shared" si="29"/>
        <v>0</v>
      </c>
      <c r="S21" s="81">
        <f t="shared" si="31"/>
        <v>0</v>
      </c>
      <c r="T21" s="85">
        <f t="shared" si="30"/>
        <v>0</v>
      </c>
      <c r="U21" s="120"/>
      <c r="V21" s="196">
        <f t="shared" si="23"/>
        <v>0</v>
      </c>
      <c r="W21" s="122"/>
      <c r="X21" s="122"/>
    </row>
    <row r="22" spans="1:26" x14ac:dyDescent="0.25">
      <c r="A22" s="15" t="s">
        <v>17</v>
      </c>
      <c r="B22" s="15" t="s">
        <v>10</v>
      </c>
      <c r="C22" s="533">
        <v>0</v>
      </c>
      <c r="D22" s="533">
        <v>0</v>
      </c>
      <c r="E22" s="533"/>
      <c r="F22" s="222"/>
      <c r="G22" s="94"/>
      <c r="H22" s="306">
        <v>0</v>
      </c>
      <c r="I22" s="306"/>
      <c r="J22" s="306"/>
      <c r="K22" s="94"/>
      <c r="L22" s="653">
        <f t="shared" si="24"/>
        <v>0</v>
      </c>
      <c r="M22" s="653">
        <f t="shared" si="25"/>
        <v>0</v>
      </c>
      <c r="N22" s="653">
        <f t="shared" si="26"/>
        <v>0</v>
      </c>
      <c r="O22" s="120"/>
      <c r="P22" s="81">
        <f t="shared" si="27"/>
        <v>0</v>
      </c>
      <c r="Q22" s="81">
        <f t="shared" si="28"/>
        <v>0</v>
      </c>
      <c r="R22" s="81">
        <f t="shared" si="29"/>
        <v>0</v>
      </c>
      <c r="S22" s="81">
        <f t="shared" si="31"/>
        <v>0</v>
      </c>
      <c r="T22" s="85">
        <f t="shared" si="30"/>
        <v>0</v>
      </c>
      <c r="U22" s="120"/>
      <c r="V22" s="196">
        <f t="shared" si="23"/>
        <v>0</v>
      </c>
      <c r="W22" s="122"/>
      <c r="X22" s="122"/>
    </row>
    <row r="23" spans="1:26" x14ac:dyDescent="0.25">
      <c r="A23" s="15" t="s">
        <v>18</v>
      </c>
      <c r="B23" s="15" t="s">
        <v>11</v>
      </c>
      <c r="C23" s="533">
        <v>1100000</v>
      </c>
      <c r="D23" s="533">
        <v>1100000</v>
      </c>
      <c r="E23" s="533">
        <v>1100000</v>
      </c>
      <c r="F23" s="222"/>
      <c r="G23" s="94"/>
      <c r="H23" s="306">
        <v>418262</v>
      </c>
      <c r="I23" s="306">
        <v>659947</v>
      </c>
      <c r="J23" s="306"/>
      <c r="K23" s="94"/>
      <c r="L23" s="653">
        <f t="shared" si="24"/>
        <v>0.38023818181818181</v>
      </c>
      <c r="M23" s="653">
        <f t="shared" si="25"/>
        <v>0.5999518181818182</v>
      </c>
      <c r="N23" s="653">
        <f t="shared" si="26"/>
        <v>0</v>
      </c>
      <c r="O23" s="120"/>
      <c r="P23" s="81">
        <f t="shared" si="27"/>
        <v>0</v>
      </c>
      <c r="Q23" s="81">
        <f t="shared" si="28"/>
        <v>0</v>
      </c>
      <c r="R23" s="81">
        <f t="shared" si="29"/>
        <v>0</v>
      </c>
      <c r="S23" s="81">
        <f t="shared" si="31"/>
        <v>0</v>
      </c>
      <c r="T23" s="85">
        <f t="shared" si="30"/>
        <v>0</v>
      </c>
      <c r="U23" s="120"/>
      <c r="V23" s="196">
        <f t="shared" si="23"/>
        <v>0</v>
      </c>
      <c r="W23" s="122"/>
      <c r="X23" s="122"/>
    </row>
    <row r="24" spans="1:26" x14ac:dyDescent="0.25">
      <c r="A24" s="15" t="s">
        <v>19</v>
      </c>
      <c r="B24" s="15"/>
      <c r="C24" s="533"/>
      <c r="D24" s="533"/>
      <c r="E24" s="533"/>
      <c r="F24" s="222"/>
      <c r="G24" s="94"/>
      <c r="H24" s="306"/>
      <c r="I24" s="306"/>
      <c r="J24" s="306"/>
      <c r="K24" s="94"/>
      <c r="L24" s="653"/>
      <c r="M24" s="653"/>
      <c r="N24" s="653"/>
      <c r="O24" s="120"/>
      <c r="P24" s="81"/>
      <c r="Q24" s="81"/>
      <c r="R24" s="81"/>
      <c r="S24" s="81">
        <f t="shared" si="31"/>
        <v>0</v>
      </c>
      <c r="T24" s="85"/>
      <c r="U24" s="120"/>
      <c r="V24" s="196">
        <f t="shared" si="23"/>
        <v>0</v>
      </c>
      <c r="W24" s="122"/>
      <c r="X24" s="122"/>
    </row>
    <row r="25" spans="1:26" x14ac:dyDescent="0.25">
      <c r="A25" s="15" t="s">
        <v>20</v>
      </c>
      <c r="B25" s="15" t="s">
        <v>21</v>
      </c>
      <c r="C25" s="533"/>
      <c r="D25" s="533"/>
      <c r="E25" s="533"/>
      <c r="F25" s="222"/>
      <c r="G25" s="94"/>
      <c r="H25" s="306"/>
      <c r="I25" s="306"/>
      <c r="J25" s="306"/>
      <c r="K25" s="94"/>
      <c r="L25" s="653">
        <f t="shared" ref="L25:M27" si="32">IF(H25&gt;0,H25/C25,0)</f>
        <v>0</v>
      </c>
      <c r="M25" s="653">
        <f t="shared" si="32"/>
        <v>0</v>
      </c>
      <c r="N25" s="653">
        <f>IF(J25&gt;0,J25/F25,0)</f>
        <v>0</v>
      </c>
      <c r="O25" s="120"/>
      <c r="P25" s="81">
        <f t="shared" ref="P25:R27" si="33">+(D25-C25)*P$10</f>
        <v>0</v>
      </c>
      <c r="Q25" s="81">
        <f t="shared" si="33"/>
        <v>0</v>
      </c>
      <c r="R25" s="81">
        <f t="shared" si="33"/>
        <v>0</v>
      </c>
      <c r="S25" s="81">
        <f t="shared" si="31"/>
        <v>0</v>
      </c>
      <c r="T25" s="85">
        <f>IF(C25=0,0,+S25/C25)</f>
        <v>0</v>
      </c>
      <c r="U25" s="120"/>
      <c r="V25" s="196">
        <f t="shared" si="23"/>
        <v>0</v>
      </c>
      <c r="W25" s="122"/>
      <c r="X25" s="122"/>
    </row>
    <row r="26" spans="1:26" x14ac:dyDescent="0.25">
      <c r="A26" s="15" t="s">
        <v>22</v>
      </c>
      <c r="B26" s="15" t="s">
        <v>23</v>
      </c>
      <c r="C26" s="533"/>
      <c r="D26" s="533"/>
      <c r="E26" s="533"/>
      <c r="F26" s="222"/>
      <c r="G26" s="94"/>
      <c r="H26" s="306">
        <v>0</v>
      </c>
      <c r="I26" s="306">
        <v>0</v>
      </c>
      <c r="J26" s="306"/>
      <c r="K26" s="94"/>
      <c r="L26" s="653">
        <f t="shared" si="32"/>
        <v>0</v>
      </c>
      <c r="M26" s="653">
        <f t="shared" si="32"/>
        <v>0</v>
      </c>
      <c r="N26" s="653">
        <f>IF(J26&gt;0,J26/F26,0)</f>
        <v>0</v>
      </c>
      <c r="O26" s="120"/>
      <c r="P26" s="81">
        <f t="shared" si="33"/>
        <v>0</v>
      </c>
      <c r="Q26" s="81">
        <f t="shared" si="33"/>
        <v>0</v>
      </c>
      <c r="R26" s="81">
        <f t="shared" si="33"/>
        <v>0</v>
      </c>
      <c r="S26" s="81">
        <f t="shared" si="31"/>
        <v>0</v>
      </c>
      <c r="T26" s="85">
        <f>IF(C26=0,0,+S26/C26)</f>
        <v>0</v>
      </c>
      <c r="U26" s="120"/>
      <c r="V26" s="196">
        <f t="shared" si="23"/>
        <v>0</v>
      </c>
      <c r="W26" s="122"/>
      <c r="X26" s="122"/>
    </row>
    <row r="27" spans="1:26" x14ac:dyDescent="0.25">
      <c r="A27" s="15" t="s">
        <v>24</v>
      </c>
      <c r="B27" s="15" t="s">
        <v>25</v>
      </c>
      <c r="C27" s="304"/>
      <c r="D27" s="222"/>
      <c r="E27" s="222"/>
      <c r="F27" s="222"/>
      <c r="G27" s="94"/>
      <c r="H27" s="306"/>
      <c r="I27" s="306"/>
      <c r="J27" s="306"/>
      <c r="K27" s="94"/>
      <c r="L27" s="653">
        <f t="shared" si="32"/>
        <v>0</v>
      </c>
      <c r="M27" s="653">
        <f t="shared" si="32"/>
        <v>0</v>
      </c>
      <c r="N27" s="653">
        <f>IF(J27&gt;0,J27/F27,0)</f>
        <v>0</v>
      </c>
      <c r="O27" s="120"/>
      <c r="P27" s="81">
        <f t="shared" si="33"/>
        <v>0</v>
      </c>
      <c r="Q27" s="81">
        <f t="shared" si="33"/>
        <v>0</v>
      </c>
      <c r="R27" s="81">
        <f t="shared" si="33"/>
        <v>0</v>
      </c>
      <c r="S27" s="81">
        <f t="shared" si="31"/>
        <v>0</v>
      </c>
      <c r="T27" s="85">
        <f>IF(C27=0,0,+S27/C27)</f>
        <v>0</v>
      </c>
      <c r="U27" s="120"/>
      <c r="V27" s="196">
        <f t="shared" si="23"/>
        <v>0</v>
      </c>
      <c r="W27" s="122"/>
      <c r="X27" s="122"/>
    </row>
    <row r="28" spans="1:26" x14ac:dyDescent="0.25">
      <c r="A28" s="20"/>
      <c r="B28" s="14"/>
      <c r="C28" s="304"/>
      <c r="D28" s="222"/>
      <c r="E28" s="222"/>
      <c r="F28" s="222"/>
      <c r="G28" s="94"/>
      <c r="H28" s="306"/>
      <c r="I28" s="306"/>
      <c r="J28" s="306"/>
      <c r="K28" s="94"/>
      <c r="L28" s="649"/>
      <c r="M28" s="649"/>
      <c r="N28" s="649"/>
      <c r="O28" s="119"/>
      <c r="P28" s="81"/>
      <c r="Q28" s="81"/>
      <c r="R28" s="81"/>
      <c r="S28" s="81"/>
      <c r="T28" s="85"/>
      <c r="U28" s="119"/>
      <c r="V28" s="196">
        <f t="shared" si="23"/>
        <v>0</v>
      </c>
      <c r="W28" s="122"/>
      <c r="X28" s="122"/>
    </row>
    <row r="29" spans="1:26" x14ac:dyDescent="0.25">
      <c r="A29" s="3" t="s">
        <v>26</v>
      </c>
      <c r="B29" s="3" t="s">
        <v>27</v>
      </c>
      <c r="C29" s="89">
        <f>SUM(C30:C31)</f>
        <v>4876356.03</v>
      </c>
      <c r="D29" s="89">
        <f t="shared" ref="D29:F29" si="34">SUM(D30:D31)</f>
        <v>4876356</v>
      </c>
      <c r="E29" s="89">
        <f t="shared" si="34"/>
        <v>4876356</v>
      </c>
      <c r="F29" s="89">
        <f t="shared" si="34"/>
        <v>0</v>
      </c>
      <c r="G29" s="90"/>
      <c r="H29" s="89">
        <f t="shared" ref="H29" si="35">SUM(H30:H31)</f>
        <v>2545934</v>
      </c>
      <c r="I29" s="89">
        <f t="shared" ref="I29" si="36">SUM(I30:I31)</f>
        <v>3690717</v>
      </c>
      <c r="J29" s="89">
        <f t="shared" ref="J29" si="37">SUM(J30:J31)</f>
        <v>0</v>
      </c>
      <c r="K29" s="90"/>
      <c r="L29" s="650">
        <f t="shared" ref="L29:N30" si="38">IF(H29&gt;0,H29/C29,0)</f>
        <v>0.52209764511390688</v>
      </c>
      <c r="M29" s="650">
        <f t="shared" si="38"/>
        <v>0.75685963042895144</v>
      </c>
      <c r="N29" s="650">
        <f t="shared" si="38"/>
        <v>0</v>
      </c>
      <c r="O29" s="118"/>
      <c r="P29" s="90">
        <f t="shared" ref="P29:R30" si="39">+(D29-C29)*P$10</f>
        <v>-3.0000000260770321E-2</v>
      </c>
      <c r="Q29" s="90">
        <f t="shared" si="39"/>
        <v>0</v>
      </c>
      <c r="R29" s="90">
        <f t="shared" si="39"/>
        <v>0</v>
      </c>
      <c r="S29" s="90">
        <f t="shared" ref="S29:S30" si="40">+P$10*P29+Q$10*Q29+R$10*R29</f>
        <v>-3.0000000260770321E-2</v>
      </c>
      <c r="T29" s="203">
        <f>IF(C29=0,0,+S29/C29)</f>
        <v>-6.1521349294855158E-9</v>
      </c>
      <c r="U29" s="118"/>
      <c r="V29" s="196">
        <f t="shared" si="23"/>
        <v>0</v>
      </c>
      <c r="W29" s="122"/>
      <c r="X29" s="122"/>
      <c r="Y29" s="2"/>
      <c r="Z29" s="2"/>
    </row>
    <row r="30" spans="1:26" x14ac:dyDescent="0.25">
      <c r="A30" s="20"/>
      <c r="B30" s="20" t="s">
        <v>28</v>
      </c>
      <c r="C30" s="274">
        <v>4876356.03</v>
      </c>
      <c r="D30" s="274">
        <v>4876356</v>
      </c>
      <c r="E30" s="274">
        <v>4876356</v>
      </c>
      <c r="F30" s="274"/>
      <c r="G30" s="303"/>
      <c r="H30" s="303">
        <v>2545934</v>
      </c>
      <c r="I30" s="303">
        <v>3690717</v>
      </c>
      <c r="J30" s="303"/>
      <c r="K30" s="94"/>
      <c r="L30" s="653">
        <f t="shared" si="38"/>
        <v>0.52209764511390688</v>
      </c>
      <c r="M30" s="653">
        <f t="shared" si="38"/>
        <v>0.75685963042895144</v>
      </c>
      <c r="N30" s="653">
        <f t="shared" si="38"/>
        <v>0</v>
      </c>
      <c r="O30" s="120"/>
      <c r="P30" s="81">
        <f t="shared" si="39"/>
        <v>-3.0000000260770321E-2</v>
      </c>
      <c r="Q30" s="81">
        <f t="shared" si="39"/>
        <v>0</v>
      </c>
      <c r="R30" s="81">
        <f t="shared" si="39"/>
        <v>0</v>
      </c>
      <c r="S30" s="81">
        <f t="shared" si="40"/>
        <v>-3.0000000260770321E-2</v>
      </c>
      <c r="T30" s="85">
        <f>IF(C30=0,0,+S30/C30)</f>
        <v>-6.1521349294855158E-9</v>
      </c>
      <c r="U30" s="120"/>
      <c r="V30" s="196">
        <f t="shared" si="23"/>
        <v>0</v>
      </c>
      <c r="W30" s="122"/>
      <c r="X30" s="122"/>
      <c r="Y30" s="57"/>
    </row>
    <row r="31" spans="1:26" x14ac:dyDescent="0.25">
      <c r="A31" s="20"/>
      <c r="B31" s="14"/>
      <c r="C31" s="68"/>
      <c r="D31" s="93"/>
      <c r="E31" s="93"/>
      <c r="F31" s="93"/>
      <c r="G31" s="94"/>
      <c r="H31" s="94"/>
      <c r="I31" s="94"/>
      <c r="J31" s="94"/>
      <c r="K31" s="94"/>
      <c r="L31" s="649"/>
      <c r="M31" s="649"/>
      <c r="N31" s="649"/>
      <c r="O31" s="119"/>
      <c r="P31" s="81"/>
      <c r="Q31" s="81"/>
      <c r="R31" s="81"/>
      <c r="S31" s="81"/>
      <c r="T31" s="85"/>
      <c r="U31" s="119"/>
      <c r="V31" s="196">
        <f t="shared" si="23"/>
        <v>0</v>
      </c>
      <c r="W31" s="122"/>
      <c r="X31" s="122"/>
    </row>
    <row r="32" spans="1:26" x14ac:dyDescent="0.25">
      <c r="A32" s="3" t="s">
        <v>29</v>
      </c>
      <c r="B32" s="3" t="s">
        <v>30</v>
      </c>
      <c r="C32" s="89">
        <f>+C33+C41+C48+C66+C71</f>
        <v>10130000</v>
      </c>
      <c r="D32" s="89">
        <f>+D33+D41+D48+D66+D71</f>
        <v>10130000</v>
      </c>
      <c r="E32" s="89">
        <f>+E33+E41+E48+E66+E71</f>
        <v>10130000</v>
      </c>
      <c r="F32" s="89">
        <f>+F33+F41+F48+F66+F71</f>
        <v>0</v>
      </c>
      <c r="G32" s="89"/>
      <c r="H32" s="89">
        <f>+H33+H41+H48+H66+H71</f>
        <v>3117797</v>
      </c>
      <c r="I32" s="89">
        <f>+I33+I41+I48+I66+I71</f>
        <v>5702808</v>
      </c>
      <c r="J32" s="89">
        <f>+J33+J41+J48+J66+J71</f>
        <v>0</v>
      </c>
      <c r="K32" s="89"/>
      <c r="L32" s="650">
        <f t="shared" ref="L32:L63" si="41">IF(H32&gt;0,H32/C32,0)</f>
        <v>0.30777857847976309</v>
      </c>
      <c r="M32" s="650">
        <f t="shared" ref="M32:M63" si="42">IF(I32&gt;0,I32/D32,0)</f>
        <v>0.56296229022704836</v>
      </c>
      <c r="N32" s="650">
        <f t="shared" ref="N32:N63" si="43">IF(J32&gt;0,J32/E32,0)</f>
        <v>0</v>
      </c>
      <c r="O32" s="31"/>
      <c r="P32" s="89">
        <f t="shared" ref="P32:P63" si="44">+(D32-C32)*P$10</f>
        <v>0</v>
      </c>
      <c r="Q32" s="89">
        <f t="shared" ref="Q32:Q63" si="45">+(E32-D32)*Q$10</f>
        <v>0</v>
      </c>
      <c r="R32" s="89">
        <f t="shared" ref="R32:R63" si="46">+(F32-E32)*R$10</f>
        <v>0</v>
      </c>
      <c r="S32" s="89">
        <f t="shared" ref="S32:S84" si="47">+P$10*P32+Q$10*Q32+R$10*R32</f>
        <v>0</v>
      </c>
      <c r="T32" s="202">
        <f t="shared" ref="T32:T63" si="48">IF(C32=0,0,+S32/C32)</f>
        <v>0</v>
      </c>
      <c r="U32" s="118"/>
      <c r="V32" s="196">
        <f t="shared" si="23"/>
        <v>0</v>
      </c>
      <c r="W32" s="122"/>
      <c r="X32" s="122"/>
    </row>
    <row r="33" spans="1:25" s="42" customFormat="1" x14ac:dyDescent="0.25">
      <c r="A33" s="39" t="s">
        <v>31</v>
      </c>
      <c r="B33" s="39" t="s">
        <v>32</v>
      </c>
      <c r="C33" s="95">
        <f t="shared" ref="C33:F33" si="49">SUM(C34:C40)</f>
        <v>500000</v>
      </c>
      <c r="D33" s="95">
        <f t="shared" si="49"/>
        <v>500000</v>
      </c>
      <c r="E33" s="95">
        <f t="shared" si="49"/>
        <v>500000</v>
      </c>
      <c r="F33" s="95">
        <f t="shared" si="49"/>
        <v>0</v>
      </c>
      <c r="G33" s="95"/>
      <c r="H33" s="95">
        <f>SUM(H34:H40)</f>
        <v>167647</v>
      </c>
      <c r="I33" s="95">
        <f t="shared" ref="I33:J33" si="50">SUM(I34:I40)</f>
        <v>240470</v>
      </c>
      <c r="J33" s="95">
        <f t="shared" si="50"/>
        <v>0</v>
      </c>
      <c r="K33" s="95"/>
      <c r="L33" s="654">
        <f t="shared" si="41"/>
        <v>0.33529399999999998</v>
      </c>
      <c r="M33" s="654">
        <f t="shared" si="42"/>
        <v>0.48093999999999998</v>
      </c>
      <c r="N33" s="654">
        <f t="shared" si="43"/>
        <v>0</v>
      </c>
      <c r="O33" s="40"/>
      <c r="P33" s="81">
        <f t="shared" si="44"/>
        <v>0</v>
      </c>
      <c r="Q33" s="81">
        <f t="shared" si="45"/>
        <v>0</v>
      </c>
      <c r="R33" s="81">
        <f t="shared" si="46"/>
        <v>0</v>
      </c>
      <c r="S33" s="81">
        <f t="shared" si="47"/>
        <v>0</v>
      </c>
      <c r="T33" s="85">
        <f t="shared" si="48"/>
        <v>0</v>
      </c>
      <c r="U33" s="121"/>
      <c r="V33" s="196">
        <f t="shared" si="23"/>
        <v>0</v>
      </c>
      <c r="W33" s="129"/>
      <c r="X33" s="129"/>
    </row>
    <row r="34" spans="1:25" x14ac:dyDescent="0.25">
      <c r="A34" s="20" t="s">
        <v>33</v>
      </c>
      <c r="B34" s="20" t="s">
        <v>35</v>
      </c>
      <c r="C34" s="143">
        <v>50000</v>
      </c>
      <c r="D34" s="143">
        <v>80000</v>
      </c>
      <c r="E34" s="143">
        <v>80000</v>
      </c>
      <c r="F34" s="68"/>
      <c r="G34" s="96"/>
      <c r="H34" s="96">
        <v>55774</v>
      </c>
      <c r="I34" s="96">
        <v>69947</v>
      </c>
      <c r="J34" s="96"/>
      <c r="K34" s="96"/>
      <c r="L34" s="653">
        <f t="shared" si="41"/>
        <v>1.11548</v>
      </c>
      <c r="M34" s="653">
        <f t="shared" si="42"/>
        <v>0.87433749999999999</v>
      </c>
      <c r="N34" s="653">
        <f t="shared" si="43"/>
        <v>0</v>
      </c>
      <c r="O34" s="120"/>
      <c r="P34" s="81">
        <f t="shared" si="44"/>
        <v>30000</v>
      </c>
      <c r="Q34" s="81">
        <f t="shared" si="45"/>
        <v>0</v>
      </c>
      <c r="R34" s="81">
        <f t="shared" si="46"/>
        <v>0</v>
      </c>
      <c r="S34" s="81">
        <f t="shared" si="47"/>
        <v>30000</v>
      </c>
      <c r="T34" s="85">
        <f t="shared" si="48"/>
        <v>0.6</v>
      </c>
      <c r="U34" s="120"/>
      <c r="V34" s="196">
        <f t="shared" si="23"/>
        <v>0</v>
      </c>
      <c r="W34" s="122"/>
      <c r="X34" s="122"/>
    </row>
    <row r="35" spans="1:25" x14ac:dyDescent="0.25">
      <c r="A35" s="20"/>
      <c r="B35" s="20" t="s">
        <v>89</v>
      </c>
      <c r="C35" s="143"/>
      <c r="D35" s="143"/>
      <c r="E35" s="143"/>
      <c r="F35" s="68"/>
      <c r="G35" s="96"/>
      <c r="H35" s="96"/>
      <c r="I35" s="96"/>
      <c r="J35" s="96"/>
      <c r="K35" s="96"/>
      <c r="L35" s="649">
        <f t="shared" si="41"/>
        <v>0</v>
      </c>
      <c r="M35" s="649">
        <f t="shared" si="42"/>
        <v>0</v>
      </c>
      <c r="N35" s="649">
        <f t="shared" si="43"/>
        <v>0</v>
      </c>
      <c r="O35" s="119"/>
      <c r="P35" s="81">
        <f t="shared" si="44"/>
        <v>0</v>
      </c>
      <c r="Q35" s="81">
        <f t="shared" si="45"/>
        <v>0</v>
      </c>
      <c r="R35" s="81">
        <f t="shared" si="46"/>
        <v>0</v>
      </c>
      <c r="S35" s="81">
        <f t="shared" si="47"/>
        <v>0</v>
      </c>
      <c r="T35" s="85">
        <f t="shared" si="48"/>
        <v>0</v>
      </c>
      <c r="U35" s="119"/>
      <c r="V35" s="196">
        <f t="shared" si="23"/>
        <v>0</v>
      </c>
      <c r="W35" s="122"/>
      <c r="X35" s="122"/>
    </row>
    <row r="36" spans="1:25" x14ac:dyDescent="0.25">
      <c r="A36" s="20" t="s">
        <v>34</v>
      </c>
      <c r="B36" s="20" t="s">
        <v>36</v>
      </c>
      <c r="C36" s="143">
        <v>450000</v>
      </c>
      <c r="D36" s="143">
        <v>420000</v>
      </c>
      <c r="E36" s="143">
        <v>420000</v>
      </c>
      <c r="F36" s="68"/>
      <c r="G36" s="96"/>
      <c r="H36" s="96">
        <v>111873</v>
      </c>
      <c r="I36" s="96">
        <v>170523</v>
      </c>
      <c r="J36" s="96"/>
      <c r="K36" s="96"/>
      <c r="L36" s="653">
        <f t="shared" si="41"/>
        <v>0.24860666666666667</v>
      </c>
      <c r="M36" s="653">
        <f t="shared" si="42"/>
        <v>0.40600714285714284</v>
      </c>
      <c r="N36" s="653">
        <f t="shared" si="43"/>
        <v>0</v>
      </c>
      <c r="O36" s="120"/>
      <c r="P36" s="81">
        <f t="shared" si="44"/>
        <v>-30000</v>
      </c>
      <c r="Q36" s="81">
        <f t="shared" si="45"/>
        <v>0</v>
      </c>
      <c r="R36" s="81">
        <f t="shared" si="46"/>
        <v>0</v>
      </c>
      <c r="S36" s="81">
        <f t="shared" si="47"/>
        <v>-30000</v>
      </c>
      <c r="T36" s="85">
        <f t="shared" si="48"/>
        <v>-6.6666666666666666E-2</v>
      </c>
      <c r="U36" s="120"/>
      <c r="V36" s="196">
        <f t="shared" si="23"/>
        <v>0</v>
      </c>
      <c r="W36" s="122"/>
      <c r="X36" s="122"/>
    </row>
    <row r="37" spans="1:25" x14ac:dyDescent="0.25">
      <c r="A37" s="20"/>
      <c r="B37" s="20" t="s">
        <v>96</v>
      </c>
      <c r="C37" s="143"/>
      <c r="D37" s="143"/>
      <c r="E37" s="143"/>
      <c r="F37" s="68"/>
      <c r="G37" s="96"/>
      <c r="H37" s="96"/>
      <c r="I37" s="96"/>
      <c r="J37" s="96"/>
      <c r="K37" s="96"/>
      <c r="L37" s="649">
        <f t="shared" si="41"/>
        <v>0</v>
      </c>
      <c r="M37" s="649">
        <f t="shared" si="42"/>
        <v>0</v>
      </c>
      <c r="N37" s="649">
        <f t="shared" si="43"/>
        <v>0</v>
      </c>
      <c r="O37" s="119"/>
      <c r="P37" s="81">
        <f t="shared" si="44"/>
        <v>0</v>
      </c>
      <c r="Q37" s="81">
        <f t="shared" si="45"/>
        <v>0</v>
      </c>
      <c r="R37" s="81">
        <f t="shared" si="46"/>
        <v>0</v>
      </c>
      <c r="S37" s="81">
        <f t="shared" si="47"/>
        <v>0</v>
      </c>
      <c r="T37" s="85">
        <f t="shared" si="48"/>
        <v>0</v>
      </c>
      <c r="U37" s="119"/>
      <c r="V37" s="196">
        <f t="shared" si="23"/>
        <v>0</v>
      </c>
      <c r="W37" s="122"/>
      <c r="X37" s="122"/>
    </row>
    <row r="38" spans="1:25" x14ac:dyDescent="0.25">
      <c r="A38" s="20"/>
      <c r="B38" s="20" t="s">
        <v>95</v>
      </c>
      <c r="C38" s="143"/>
      <c r="D38" s="143"/>
      <c r="E38" s="143"/>
      <c r="F38" s="68"/>
      <c r="G38" s="96"/>
      <c r="H38" s="96"/>
      <c r="I38" s="96"/>
      <c r="J38" s="96"/>
      <c r="K38" s="96"/>
      <c r="L38" s="649">
        <f t="shared" si="41"/>
        <v>0</v>
      </c>
      <c r="M38" s="649">
        <f t="shared" si="42"/>
        <v>0</v>
      </c>
      <c r="N38" s="649">
        <f t="shared" si="43"/>
        <v>0</v>
      </c>
      <c r="O38" s="119"/>
      <c r="P38" s="81">
        <f t="shared" si="44"/>
        <v>0</v>
      </c>
      <c r="Q38" s="81">
        <f t="shared" si="45"/>
        <v>0</v>
      </c>
      <c r="R38" s="81">
        <f t="shared" si="46"/>
        <v>0</v>
      </c>
      <c r="S38" s="81">
        <f t="shared" si="47"/>
        <v>0</v>
      </c>
      <c r="T38" s="85">
        <f t="shared" si="48"/>
        <v>0</v>
      </c>
      <c r="U38" s="119"/>
      <c r="V38" s="196">
        <f t="shared" si="23"/>
        <v>0</v>
      </c>
      <c r="W38" s="122"/>
      <c r="X38" s="122"/>
    </row>
    <row r="39" spans="1:25" x14ac:dyDescent="0.25">
      <c r="A39" s="20"/>
      <c r="B39" s="20" t="s">
        <v>94</v>
      </c>
      <c r="C39" s="143"/>
      <c r="D39" s="143"/>
      <c r="E39" s="143"/>
      <c r="F39" s="68"/>
      <c r="G39" s="96"/>
      <c r="H39" s="96"/>
      <c r="I39" s="96"/>
      <c r="J39" s="96"/>
      <c r="K39" s="96"/>
      <c r="L39" s="649">
        <f t="shared" si="41"/>
        <v>0</v>
      </c>
      <c r="M39" s="649">
        <f t="shared" si="42"/>
        <v>0</v>
      </c>
      <c r="N39" s="649">
        <f t="shared" si="43"/>
        <v>0</v>
      </c>
      <c r="O39" s="119"/>
      <c r="P39" s="81">
        <f t="shared" si="44"/>
        <v>0</v>
      </c>
      <c r="Q39" s="81">
        <f t="shared" si="45"/>
        <v>0</v>
      </c>
      <c r="R39" s="81">
        <f t="shared" si="46"/>
        <v>0</v>
      </c>
      <c r="S39" s="81">
        <f t="shared" si="47"/>
        <v>0</v>
      </c>
      <c r="T39" s="85">
        <f t="shared" si="48"/>
        <v>0</v>
      </c>
      <c r="U39" s="119"/>
      <c r="V39" s="196">
        <f t="shared" si="23"/>
        <v>0</v>
      </c>
      <c r="W39" s="122"/>
      <c r="X39" s="122"/>
    </row>
    <row r="40" spans="1:25" x14ac:dyDescent="0.25">
      <c r="A40" s="20"/>
      <c r="B40" s="20" t="s">
        <v>93</v>
      </c>
      <c r="C40" s="143">
        <v>0</v>
      </c>
      <c r="D40" s="143">
        <v>0</v>
      </c>
      <c r="E40" s="143">
        <v>0</v>
      </c>
      <c r="F40" s="68"/>
      <c r="G40" s="96"/>
      <c r="H40" s="96">
        <v>0</v>
      </c>
      <c r="I40" s="96">
        <v>0</v>
      </c>
      <c r="J40" s="96"/>
      <c r="K40" s="96"/>
      <c r="L40" s="653">
        <f t="shared" si="41"/>
        <v>0</v>
      </c>
      <c r="M40" s="653">
        <f t="shared" si="42"/>
        <v>0</v>
      </c>
      <c r="N40" s="653">
        <f t="shared" si="43"/>
        <v>0</v>
      </c>
      <c r="O40" s="120"/>
      <c r="P40" s="81">
        <f t="shared" si="44"/>
        <v>0</v>
      </c>
      <c r="Q40" s="81">
        <f t="shared" si="45"/>
        <v>0</v>
      </c>
      <c r="R40" s="81">
        <f t="shared" si="46"/>
        <v>0</v>
      </c>
      <c r="S40" s="81">
        <f t="shared" si="47"/>
        <v>0</v>
      </c>
      <c r="T40" s="85">
        <f t="shared" si="48"/>
        <v>0</v>
      </c>
      <c r="U40" s="120"/>
      <c r="V40" s="196">
        <f t="shared" si="23"/>
        <v>0</v>
      </c>
      <c r="W40" s="122"/>
      <c r="X40" s="122"/>
    </row>
    <row r="41" spans="1:25" s="42" customFormat="1" x14ac:dyDescent="0.25">
      <c r="A41" s="39" t="s">
        <v>37</v>
      </c>
      <c r="B41" s="39" t="s">
        <v>38</v>
      </c>
      <c r="C41" s="95">
        <f>SUM(C42:C47)</f>
        <v>190000</v>
      </c>
      <c r="D41" s="95">
        <f t="shared" ref="D41:F41" si="51">SUM(D42:D47)</f>
        <v>190000</v>
      </c>
      <c r="E41" s="95">
        <f t="shared" si="51"/>
        <v>190000</v>
      </c>
      <c r="F41" s="95">
        <f t="shared" si="51"/>
        <v>0</v>
      </c>
      <c r="G41" s="95"/>
      <c r="H41" s="95">
        <f t="shared" ref="H41" si="52">SUM(H42:H47)</f>
        <v>73272</v>
      </c>
      <c r="I41" s="95">
        <f t="shared" ref="I41" si="53">SUM(I42:I47)</f>
        <v>109102</v>
      </c>
      <c r="J41" s="95">
        <f t="shared" ref="J41" si="54">SUM(J42:J47)</f>
        <v>0</v>
      </c>
      <c r="K41" s="95"/>
      <c r="L41" s="654">
        <f t="shared" si="41"/>
        <v>0.3856421052631579</v>
      </c>
      <c r="M41" s="654">
        <f t="shared" si="42"/>
        <v>0.57422105263157897</v>
      </c>
      <c r="N41" s="654">
        <f t="shared" si="43"/>
        <v>0</v>
      </c>
      <c r="O41" s="121"/>
      <c r="P41" s="81">
        <f t="shared" si="44"/>
        <v>0</v>
      </c>
      <c r="Q41" s="81">
        <f t="shared" si="45"/>
        <v>0</v>
      </c>
      <c r="R41" s="81">
        <f t="shared" si="46"/>
        <v>0</v>
      </c>
      <c r="S41" s="81">
        <f t="shared" si="47"/>
        <v>0</v>
      </c>
      <c r="T41" s="85">
        <f t="shared" si="48"/>
        <v>0</v>
      </c>
      <c r="U41" s="121"/>
      <c r="V41" s="196">
        <f t="shared" si="23"/>
        <v>0</v>
      </c>
      <c r="W41" s="129"/>
      <c r="X41" s="129"/>
    </row>
    <row r="42" spans="1:25" x14ac:dyDescent="0.25">
      <c r="A42" s="20" t="s">
        <v>39</v>
      </c>
      <c r="B42" s="20" t="s">
        <v>40</v>
      </c>
      <c r="C42" s="68">
        <v>90000</v>
      </c>
      <c r="D42" s="68">
        <v>90000</v>
      </c>
      <c r="E42" s="143">
        <v>90000</v>
      </c>
      <c r="F42" s="68"/>
      <c r="G42" s="96"/>
      <c r="H42" s="96">
        <v>39000</v>
      </c>
      <c r="I42" s="96">
        <v>58500</v>
      </c>
      <c r="J42" s="96"/>
      <c r="K42" s="96"/>
      <c r="L42" s="653">
        <f t="shared" si="41"/>
        <v>0.43333333333333335</v>
      </c>
      <c r="M42" s="653">
        <f t="shared" si="42"/>
        <v>0.65</v>
      </c>
      <c r="N42" s="653">
        <f t="shared" si="43"/>
        <v>0</v>
      </c>
      <c r="O42" s="120"/>
      <c r="P42" s="81">
        <f t="shared" si="44"/>
        <v>0</v>
      </c>
      <c r="Q42" s="81">
        <f t="shared" si="45"/>
        <v>0</v>
      </c>
      <c r="R42" s="81">
        <f t="shared" si="46"/>
        <v>0</v>
      </c>
      <c r="S42" s="81">
        <f t="shared" si="47"/>
        <v>0</v>
      </c>
      <c r="T42" s="85">
        <f t="shared" si="48"/>
        <v>0</v>
      </c>
      <c r="U42" s="120"/>
      <c r="V42" s="196">
        <f t="shared" si="23"/>
        <v>0</v>
      </c>
      <c r="W42" s="122"/>
      <c r="X42" s="122"/>
      <c r="Y42" s="2"/>
    </row>
    <row r="43" spans="1:25" ht="14.25" customHeight="1" x14ac:dyDescent="0.25">
      <c r="A43" s="20"/>
      <c r="B43" s="20" t="s">
        <v>41</v>
      </c>
      <c r="C43" s="68"/>
      <c r="D43" s="68"/>
      <c r="E43" s="68"/>
      <c r="F43" s="68"/>
      <c r="G43" s="96"/>
      <c r="H43" s="96"/>
      <c r="I43" s="96"/>
      <c r="J43" s="96"/>
      <c r="K43" s="96"/>
      <c r="L43" s="649">
        <f t="shared" si="41"/>
        <v>0</v>
      </c>
      <c r="M43" s="649">
        <f t="shared" si="42"/>
        <v>0</v>
      </c>
      <c r="N43" s="649">
        <f t="shared" si="43"/>
        <v>0</v>
      </c>
      <c r="O43" s="119"/>
      <c r="P43" s="81">
        <f t="shared" si="44"/>
        <v>0</v>
      </c>
      <c r="Q43" s="81">
        <f t="shared" si="45"/>
        <v>0</v>
      </c>
      <c r="R43" s="81">
        <f t="shared" si="46"/>
        <v>0</v>
      </c>
      <c r="S43" s="81">
        <f t="shared" si="47"/>
        <v>0</v>
      </c>
      <c r="T43" s="85">
        <f t="shared" si="48"/>
        <v>0</v>
      </c>
      <c r="U43" s="119"/>
      <c r="V43" s="196">
        <f t="shared" si="23"/>
        <v>0</v>
      </c>
      <c r="W43" s="122"/>
      <c r="X43" s="122"/>
    </row>
    <row r="44" spans="1:25" ht="15.75" customHeight="1" x14ac:dyDescent="0.25">
      <c r="A44" s="20"/>
      <c r="B44" s="20" t="s">
        <v>42</v>
      </c>
      <c r="C44" s="68"/>
      <c r="D44" s="68"/>
      <c r="E44" s="68"/>
      <c r="F44" s="68"/>
      <c r="G44" s="96"/>
      <c r="H44" s="96"/>
      <c r="I44" s="96"/>
      <c r="J44" s="96"/>
      <c r="K44" s="96"/>
      <c r="L44" s="649">
        <f t="shared" si="41"/>
        <v>0</v>
      </c>
      <c r="M44" s="649">
        <f t="shared" si="42"/>
        <v>0</v>
      </c>
      <c r="N44" s="649">
        <f t="shared" si="43"/>
        <v>0</v>
      </c>
      <c r="O44" s="119"/>
      <c r="P44" s="81">
        <f t="shared" si="44"/>
        <v>0</v>
      </c>
      <c r="Q44" s="81">
        <f t="shared" si="45"/>
        <v>0</v>
      </c>
      <c r="R44" s="81">
        <f t="shared" si="46"/>
        <v>0</v>
      </c>
      <c r="S44" s="81">
        <f t="shared" si="47"/>
        <v>0</v>
      </c>
      <c r="T44" s="85">
        <f t="shared" si="48"/>
        <v>0</v>
      </c>
      <c r="U44" s="119"/>
      <c r="V44" s="196">
        <f t="shared" si="23"/>
        <v>0</v>
      </c>
      <c r="W44" s="122"/>
      <c r="X44" s="122"/>
    </row>
    <row r="45" spans="1:25" x14ac:dyDescent="0.25">
      <c r="A45" s="20"/>
      <c r="B45" s="20" t="s">
        <v>43</v>
      </c>
      <c r="C45" s="68"/>
      <c r="D45" s="68"/>
      <c r="E45" s="68"/>
      <c r="F45" s="68"/>
      <c r="G45" s="96"/>
      <c r="H45" s="96"/>
      <c r="I45" s="96"/>
      <c r="J45" s="96"/>
      <c r="K45" s="96"/>
      <c r="L45" s="649">
        <f t="shared" si="41"/>
        <v>0</v>
      </c>
      <c r="M45" s="649">
        <f t="shared" si="42"/>
        <v>0</v>
      </c>
      <c r="N45" s="649">
        <f t="shared" si="43"/>
        <v>0</v>
      </c>
      <c r="O45" s="119"/>
      <c r="P45" s="81">
        <f t="shared" si="44"/>
        <v>0</v>
      </c>
      <c r="Q45" s="81">
        <f t="shared" si="45"/>
        <v>0</v>
      </c>
      <c r="R45" s="81">
        <f t="shared" si="46"/>
        <v>0</v>
      </c>
      <c r="S45" s="81">
        <f t="shared" si="47"/>
        <v>0</v>
      </c>
      <c r="T45" s="85">
        <f t="shared" si="48"/>
        <v>0</v>
      </c>
      <c r="U45" s="119"/>
      <c r="V45" s="196">
        <f t="shared" si="23"/>
        <v>0</v>
      </c>
      <c r="W45" s="122"/>
      <c r="X45" s="122"/>
    </row>
    <row r="46" spans="1:25" x14ac:dyDescent="0.25">
      <c r="A46" s="20" t="s">
        <v>44</v>
      </c>
      <c r="B46" s="20" t="s">
        <v>45</v>
      </c>
      <c r="C46" s="68">
        <v>100000</v>
      </c>
      <c r="D46" s="68">
        <v>100000</v>
      </c>
      <c r="E46" s="143">
        <v>100000</v>
      </c>
      <c r="F46" s="68"/>
      <c r="G46" s="96"/>
      <c r="H46" s="96">
        <v>34272</v>
      </c>
      <c r="I46" s="96">
        <v>50602</v>
      </c>
      <c r="J46" s="96"/>
      <c r="K46" s="96"/>
      <c r="L46" s="653">
        <f t="shared" si="41"/>
        <v>0.34272000000000002</v>
      </c>
      <c r="M46" s="653">
        <f t="shared" si="42"/>
        <v>0.50602000000000003</v>
      </c>
      <c r="N46" s="653">
        <f t="shared" si="43"/>
        <v>0</v>
      </c>
      <c r="O46" s="120"/>
      <c r="P46" s="81">
        <f t="shared" si="44"/>
        <v>0</v>
      </c>
      <c r="Q46" s="81">
        <f t="shared" si="45"/>
        <v>0</v>
      </c>
      <c r="R46" s="81">
        <f t="shared" si="46"/>
        <v>0</v>
      </c>
      <c r="S46" s="81">
        <f t="shared" si="47"/>
        <v>0</v>
      </c>
      <c r="T46" s="85">
        <f t="shared" si="48"/>
        <v>0</v>
      </c>
      <c r="U46" s="120"/>
      <c r="V46" s="196">
        <f t="shared" si="23"/>
        <v>0</v>
      </c>
      <c r="W46" s="122"/>
      <c r="X46" s="122"/>
    </row>
    <row r="47" spans="1:25" ht="15.75" customHeight="1" x14ac:dyDescent="0.25">
      <c r="A47" s="20"/>
      <c r="B47" s="20" t="s">
        <v>46</v>
      </c>
      <c r="C47" s="68"/>
      <c r="D47" s="68"/>
      <c r="E47" s="68"/>
      <c r="F47" s="68"/>
      <c r="G47" s="96"/>
      <c r="H47" s="96"/>
      <c r="I47" s="96"/>
      <c r="J47" s="96"/>
      <c r="K47" s="96"/>
      <c r="L47" s="649">
        <f t="shared" si="41"/>
        <v>0</v>
      </c>
      <c r="M47" s="649">
        <f t="shared" si="42"/>
        <v>0</v>
      </c>
      <c r="N47" s="649">
        <f t="shared" si="43"/>
        <v>0</v>
      </c>
      <c r="O47" s="119"/>
      <c r="P47" s="81">
        <f t="shared" si="44"/>
        <v>0</v>
      </c>
      <c r="Q47" s="81">
        <f t="shared" si="45"/>
        <v>0</v>
      </c>
      <c r="R47" s="81">
        <f t="shared" si="46"/>
        <v>0</v>
      </c>
      <c r="S47" s="81">
        <f t="shared" si="47"/>
        <v>0</v>
      </c>
      <c r="T47" s="85">
        <f t="shared" si="48"/>
        <v>0</v>
      </c>
      <c r="U47" s="119"/>
      <c r="V47" s="196">
        <f t="shared" si="23"/>
        <v>0</v>
      </c>
      <c r="W47" s="122"/>
      <c r="X47" s="122"/>
    </row>
    <row r="48" spans="1:25" s="42" customFormat="1" x14ac:dyDescent="0.25">
      <c r="A48" s="39" t="s">
        <v>47</v>
      </c>
      <c r="B48" s="39" t="s">
        <v>48</v>
      </c>
      <c r="C48" s="95">
        <f>SUM(C49:C65)</f>
        <v>5560000</v>
      </c>
      <c r="D48" s="95">
        <f t="shared" ref="D48:F48" si="55">SUM(D49:D65)</f>
        <v>5560000</v>
      </c>
      <c r="E48" s="95">
        <f t="shared" si="55"/>
        <v>5560000</v>
      </c>
      <c r="F48" s="95">
        <f t="shared" si="55"/>
        <v>0</v>
      </c>
      <c r="G48" s="95"/>
      <c r="H48" s="95">
        <f t="shared" ref="H48" si="56">SUM(H49:H65)</f>
        <v>1716709</v>
      </c>
      <c r="I48" s="95">
        <f t="shared" ref="I48" si="57">SUM(I49:I65)</f>
        <v>3373799</v>
      </c>
      <c r="J48" s="95">
        <f t="shared" ref="J48" si="58">SUM(J49:J65)</f>
        <v>0</v>
      </c>
      <c r="K48" s="95"/>
      <c r="L48" s="654">
        <f t="shared" si="41"/>
        <v>0.30876061151079137</v>
      </c>
      <c r="M48" s="654">
        <f t="shared" si="42"/>
        <v>0.606798381294964</v>
      </c>
      <c r="N48" s="654">
        <f t="shared" si="43"/>
        <v>0</v>
      </c>
      <c r="O48" s="121"/>
      <c r="P48" s="81">
        <f t="shared" si="44"/>
        <v>0</v>
      </c>
      <c r="Q48" s="81">
        <f t="shared" si="45"/>
        <v>0</v>
      </c>
      <c r="R48" s="81">
        <f t="shared" si="46"/>
        <v>0</v>
      </c>
      <c r="S48" s="81">
        <f t="shared" si="47"/>
        <v>0</v>
      </c>
      <c r="T48" s="85">
        <f t="shared" si="48"/>
        <v>0</v>
      </c>
      <c r="U48" s="121"/>
      <c r="V48" s="196">
        <f t="shared" si="23"/>
        <v>0</v>
      </c>
      <c r="W48" s="129"/>
      <c r="X48" s="129"/>
    </row>
    <row r="49" spans="1:25" x14ac:dyDescent="0.25">
      <c r="A49" s="20" t="s">
        <v>49</v>
      </c>
      <c r="B49" s="579" t="s">
        <v>50</v>
      </c>
      <c r="C49" s="68">
        <v>800000</v>
      </c>
      <c r="D49" s="68">
        <v>870000</v>
      </c>
      <c r="E49" s="68">
        <v>870000</v>
      </c>
      <c r="F49" s="68"/>
      <c r="G49" s="96"/>
      <c r="H49" s="96">
        <v>253701</v>
      </c>
      <c r="I49" s="96">
        <v>337108</v>
      </c>
      <c r="J49" s="96"/>
      <c r="K49" s="96"/>
      <c r="L49" s="653">
        <f t="shared" si="41"/>
        <v>0.31712625</v>
      </c>
      <c r="M49" s="653">
        <f t="shared" si="42"/>
        <v>0.38748045977011492</v>
      </c>
      <c r="N49" s="653">
        <f t="shared" si="43"/>
        <v>0</v>
      </c>
      <c r="O49" s="120"/>
      <c r="P49" s="81">
        <f t="shared" si="44"/>
        <v>70000</v>
      </c>
      <c r="Q49" s="81">
        <f t="shared" si="45"/>
        <v>0</v>
      </c>
      <c r="R49" s="81">
        <f t="shared" si="46"/>
        <v>0</v>
      </c>
      <c r="S49" s="81">
        <f t="shared" si="47"/>
        <v>70000</v>
      </c>
      <c r="T49" s="85">
        <f t="shared" si="48"/>
        <v>8.7499999999999994E-2</v>
      </c>
      <c r="U49" s="120"/>
      <c r="V49" s="196">
        <f t="shared" si="23"/>
        <v>0</v>
      </c>
      <c r="W49" s="122"/>
      <c r="X49" s="122"/>
    </row>
    <row r="50" spans="1:25" x14ac:dyDescent="0.25">
      <c r="A50" s="20" t="s">
        <v>103</v>
      </c>
      <c r="B50" s="20" t="s">
        <v>97</v>
      </c>
      <c r="C50" s="68"/>
      <c r="D50" s="68"/>
      <c r="E50" s="68"/>
      <c r="F50" s="68"/>
      <c r="G50" s="96"/>
      <c r="H50" s="96"/>
      <c r="I50" s="96"/>
      <c r="J50" s="96"/>
      <c r="K50" s="96"/>
      <c r="L50" s="649">
        <f t="shared" si="41"/>
        <v>0</v>
      </c>
      <c r="M50" s="649">
        <f t="shared" si="42"/>
        <v>0</v>
      </c>
      <c r="N50" s="649">
        <f t="shared" si="43"/>
        <v>0</v>
      </c>
      <c r="O50" s="119"/>
      <c r="P50" s="81">
        <f t="shared" si="44"/>
        <v>0</v>
      </c>
      <c r="Q50" s="81">
        <f t="shared" si="45"/>
        <v>0</v>
      </c>
      <c r="R50" s="81">
        <f t="shared" si="46"/>
        <v>0</v>
      </c>
      <c r="S50" s="81">
        <f t="shared" si="47"/>
        <v>0</v>
      </c>
      <c r="T50" s="85">
        <f t="shared" si="48"/>
        <v>0</v>
      </c>
      <c r="U50" s="119"/>
      <c r="V50" s="196">
        <f t="shared" si="23"/>
        <v>0</v>
      </c>
      <c r="W50" s="122"/>
      <c r="X50" s="122"/>
    </row>
    <row r="51" spans="1:25" x14ac:dyDescent="0.25">
      <c r="A51" s="20"/>
      <c r="B51" s="20" t="s">
        <v>98</v>
      </c>
      <c r="C51" s="68"/>
      <c r="D51" s="68"/>
      <c r="E51" s="68"/>
      <c r="F51" s="68"/>
      <c r="G51" s="96"/>
      <c r="H51" s="96"/>
      <c r="I51" s="96"/>
      <c r="J51" s="96"/>
      <c r="K51" s="96"/>
      <c r="L51" s="649">
        <f t="shared" si="41"/>
        <v>0</v>
      </c>
      <c r="M51" s="649">
        <f t="shared" si="42"/>
        <v>0</v>
      </c>
      <c r="N51" s="649">
        <f t="shared" si="43"/>
        <v>0</v>
      </c>
      <c r="O51" s="119"/>
      <c r="P51" s="81">
        <f t="shared" si="44"/>
        <v>0</v>
      </c>
      <c r="Q51" s="81">
        <f t="shared" si="45"/>
        <v>0</v>
      </c>
      <c r="R51" s="81">
        <f t="shared" si="46"/>
        <v>0</v>
      </c>
      <c r="S51" s="81">
        <f t="shared" si="47"/>
        <v>0</v>
      </c>
      <c r="T51" s="85">
        <f t="shared" si="48"/>
        <v>0</v>
      </c>
      <c r="U51" s="119"/>
      <c r="V51" s="196">
        <f t="shared" si="23"/>
        <v>0</v>
      </c>
      <c r="W51" s="122"/>
      <c r="X51" s="122"/>
    </row>
    <row r="52" spans="1:25" x14ac:dyDescent="0.25">
      <c r="A52" s="20"/>
      <c r="B52" s="20" t="s">
        <v>99</v>
      </c>
      <c r="C52" s="68"/>
      <c r="D52" s="68"/>
      <c r="E52" s="68"/>
      <c r="F52" s="68"/>
      <c r="G52" s="96"/>
      <c r="H52" s="96"/>
      <c r="I52" s="96"/>
      <c r="J52" s="96"/>
      <c r="K52" s="96"/>
      <c r="L52" s="649">
        <f t="shared" si="41"/>
        <v>0</v>
      </c>
      <c r="M52" s="649">
        <f t="shared" si="42"/>
        <v>0</v>
      </c>
      <c r="N52" s="649">
        <f t="shared" si="43"/>
        <v>0</v>
      </c>
      <c r="O52" s="119"/>
      <c r="P52" s="81">
        <f t="shared" si="44"/>
        <v>0</v>
      </c>
      <c r="Q52" s="81">
        <f t="shared" si="45"/>
        <v>0</v>
      </c>
      <c r="R52" s="81">
        <f t="shared" si="46"/>
        <v>0</v>
      </c>
      <c r="S52" s="81">
        <f t="shared" si="47"/>
        <v>0</v>
      </c>
      <c r="T52" s="85">
        <f t="shared" si="48"/>
        <v>0</v>
      </c>
      <c r="U52" s="119"/>
      <c r="V52" s="196">
        <f t="shared" si="23"/>
        <v>0</v>
      </c>
      <c r="W52" s="122"/>
      <c r="X52" s="122"/>
    </row>
    <row r="53" spans="1:25" x14ac:dyDescent="0.25">
      <c r="A53" s="20" t="s">
        <v>51</v>
      </c>
      <c r="B53" s="20" t="s">
        <v>52</v>
      </c>
      <c r="C53" s="68">
        <v>4500000</v>
      </c>
      <c r="D53" s="68">
        <v>4430000</v>
      </c>
      <c r="E53" s="143">
        <v>4430000</v>
      </c>
      <c r="F53" s="68"/>
      <c r="G53" s="96"/>
      <c r="H53" s="96">
        <v>1364307</v>
      </c>
      <c r="I53" s="96">
        <v>2857971</v>
      </c>
      <c r="J53" s="96"/>
      <c r="K53" s="96"/>
      <c r="L53" s="653">
        <f t="shared" si="41"/>
        <v>0.30317933333333336</v>
      </c>
      <c r="M53" s="653">
        <f t="shared" si="42"/>
        <v>0.64514018058690747</v>
      </c>
      <c r="N53" s="653">
        <f t="shared" si="43"/>
        <v>0</v>
      </c>
      <c r="O53" s="120"/>
      <c r="P53" s="81">
        <f t="shared" si="44"/>
        <v>-70000</v>
      </c>
      <c r="Q53" s="81">
        <f t="shared" si="45"/>
        <v>0</v>
      </c>
      <c r="R53" s="81">
        <f t="shared" si="46"/>
        <v>0</v>
      </c>
      <c r="S53" s="81">
        <f t="shared" si="47"/>
        <v>-70000</v>
      </c>
      <c r="T53" s="85">
        <f t="shared" si="48"/>
        <v>-1.5555555555555555E-2</v>
      </c>
      <c r="U53" s="120"/>
      <c r="V53" s="196">
        <f t="shared" si="23"/>
        <v>0</v>
      </c>
      <c r="W53" s="122"/>
      <c r="X53" s="122"/>
    </row>
    <row r="54" spans="1:25" x14ac:dyDescent="0.25">
      <c r="A54" s="20"/>
      <c r="B54" s="20" t="s">
        <v>90</v>
      </c>
      <c r="C54" s="68"/>
      <c r="D54" s="68"/>
      <c r="E54" s="68"/>
      <c r="F54" s="68"/>
      <c r="G54" s="96"/>
      <c r="H54" s="96"/>
      <c r="I54" s="96"/>
      <c r="J54" s="96"/>
      <c r="K54" s="96"/>
      <c r="L54" s="649">
        <f t="shared" si="41"/>
        <v>0</v>
      </c>
      <c r="M54" s="649">
        <f t="shared" si="42"/>
        <v>0</v>
      </c>
      <c r="N54" s="649">
        <f t="shared" si="43"/>
        <v>0</v>
      </c>
      <c r="O54" s="119"/>
      <c r="P54" s="81">
        <f t="shared" si="44"/>
        <v>0</v>
      </c>
      <c r="Q54" s="81">
        <f t="shared" si="45"/>
        <v>0</v>
      </c>
      <c r="R54" s="81">
        <f t="shared" si="46"/>
        <v>0</v>
      </c>
      <c r="S54" s="81">
        <f t="shared" si="47"/>
        <v>0</v>
      </c>
      <c r="T54" s="85">
        <f t="shared" si="48"/>
        <v>0</v>
      </c>
      <c r="U54" s="119"/>
      <c r="V54" s="196">
        <f t="shared" si="23"/>
        <v>0</v>
      </c>
      <c r="W54" s="122"/>
      <c r="X54" s="122"/>
    </row>
    <row r="55" spans="1:25" x14ac:dyDescent="0.25">
      <c r="A55" s="20"/>
      <c r="B55" s="20" t="s">
        <v>53</v>
      </c>
      <c r="C55" s="68"/>
      <c r="D55" s="68"/>
      <c r="E55" s="68"/>
      <c r="F55" s="68"/>
      <c r="G55" s="96"/>
      <c r="H55" s="96"/>
      <c r="I55" s="96"/>
      <c r="J55" s="96"/>
      <c r="K55" s="96"/>
      <c r="L55" s="649">
        <f t="shared" si="41"/>
        <v>0</v>
      </c>
      <c r="M55" s="649">
        <f t="shared" si="42"/>
        <v>0</v>
      </c>
      <c r="N55" s="649">
        <f t="shared" si="43"/>
        <v>0</v>
      </c>
      <c r="O55" s="119"/>
      <c r="P55" s="81">
        <f t="shared" si="44"/>
        <v>0</v>
      </c>
      <c r="Q55" s="81">
        <f t="shared" si="45"/>
        <v>0</v>
      </c>
      <c r="R55" s="81">
        <f t="shared" si="46"/>
        <v>0</v>
      </c>
      <c r="S55" s="81">
        <f t="shared" si="47"/>
        <v>0</v>
      </c>
      <c r="T55" s="85">
        <f t="shared" si="48"/>
        <v>0</v>
      </c>
      <c r="U55" s="119"/>
      <c r="V55" s="196">
        <f t="shared" si="23"/>
        <v>0</v>
      </c>
      <c r="W55" s="122"/>
      <c r="X55" s="122"/>
    </row>
    <row r="56" spans="1:25" x14ac:dyDescent="0.25">
      <c r="A56" s="20" t="s">
        <v>54</v>
      </c>
      <c r="B56" s="20" t="s">
        <v>55</v>
      </c>
      <c r="C56" s="68"/>
      <c r="D56" s="68"/>
      <c r="E56" s="68"/>
      <c r="F56" s="68"/>
      <c r="G56" s="96"/>
      <c r="H56" s="96"/>
      <c r="I56" s="96"/>
      <c r="J56" s="96"/>
      <c r="K56" s="96"/>
      <c r="L56" s="649">
        <f t="shared" si="41"/>
        <v>0</v>
      </c>
      <c r="M56" s="649">
        <f t="shared" si="42"/>
        <v>0</v>
      </c>
      <c r="N56" s="649">
        <f t="shared" si="43"/>
        <v>0</v>
      </c>
      <c r="O56" s="119"/>
      <c r="P56" s="81">
        <f t="shared" si="44"/>
        <v>0</v>
      </c>
      <c r="Q56" s="81">
        <f t="shared" si="45"/>
        <v>0</v>
      </c>
      <c r="R56" s="81">
        <f t="shared" si="46"/>
        <v>0</v>
      </c>
      <c r="S56" s="81">
        <f t="shared" si="47"/>
        <v>0</v>
      </c>
      <c r="T56" s="85">
        <f t="shared" si="48"/>
        <v>0</v>
      </c>
      <c r="U56" s="119"/>
      <c r="V56" s="196">
        <f t="shared" si="23"/>
        <v>0</v>
      </c>
      <c r="W56" s="122"/>
      <c r="X56" s="122"/>
    </row>
    <row r="57" spans="1:25" x14ac:dyDescent="0.25">
      <c r="A57" s="20"/>
      <c r="B57" s="20" t="s">
        <v>56</v>
      </c>
      <c r="C57" s="68"/>
      <c r="D57" s="68"/>
      <c r="E57" s="68"/>
      <c r="F57" s="68"/>
      <c r="G57" s="96"/>
      <c r="H57" s="96"/>
      <c r="I57" s="96"/>
      <c r="J57" s="96"/>
      <c r="K57" s="96"/>
      <c r="L57" s="649">
        <f t="shared" si="41"/>
        <v>0</v>
      </c>
      <c r="M57" s="649">
        <f t="shared" si="42"/>
        <v>0</v>
      </c>
      <c r="N57" s="649">
        <f t="shared" si="43"/>
        <v>0</v>
      </c>
      <c r="O57" s="119"/>
      <c r="P57" s="81">
        <f t="shared" si="44"/>
        <v>0</v>
      </c>
      <c r="Q57" s="81">
        <f t="shared" si="45"/>
        <v>0</v>
      </c>
      <c r="R57" s="81">
        <f t="shared" si="46"/>
        <v>0</v>
      </c>
      <c r="S57" s="81">
        <f t="shared" si="47"/>
        <v>0</v>
      </c>
      <c r="T57" s="85">
        <f t="shared" si="48"/>
        <v>0</v>
      </c>
      <c r="U57" s="119"/>
      <c r="V57" s="196">
        <f t="shared" si="23"/>
        <v>0</v>
      </c>
      <c r="W57" s="122"/>
      <c r="X57" s="122"/>
    </row>
    <row r="58" spans="1:25" x14ac:dyDescent="0.25">
      <c r="A58" s="20" t="s">
        <v>57</v>
      </c>
      <c r="B58" s="20" t="s">
        <v>91</v>
      </c>
      <c r="C58" s="68">
        <v>40000</v>
      </c>
      <c r="D58" s="68">
        <v>40000</v>
      </c>
      <c r="E58" s="68">
        <v>40000</v>
      </c>
      <c r="F58" s="68"/>
      <c r="G58" s="96"/>
      <c r="H58" s="96">
        <v>0</v>
      </c>
      <c r="I58" s="96">
        <v>8300</v>
      </c>
      <c r="J58" s="96"/>
      <c r="K58" s="96"/>
      <c r="L58" s="653">
        <f t="shared" si="41"/>
        <v>0</v>
      </c>
      <c r="M58" s="653">
        <f t="shared" si="42"/>
        <v>0.20749999999999999</v>
      </c>
      <c r="N58" s="653">
        <f t="shared" si="43"/>
        <v>0</v>
      </c>
      <c r="O58" s="120"/>
      <c r="P58" s="81">
        <f t="shared" si="44"/>
        <v>0</v>
      </c>
      <c r="Q58" s="81">
        <f t="shared" si="45"/>
        <v>0</v>
      </c>
      <c r="R58" s="81">
        <f t="shared" si="46"/>
        <v>0</v>
      </c>
      <c r="S58" s="81">
        <f t="shared" si="47"/>
        <v>0</v>
      </c>
      <c r="T58" s="85">
        <f t="shared" si="48"/>
        <v>0</v>
      </c>
      <c r="U58" s="120"/>
      <c r="V58" s="196">
        <f t="shared" si="23"/>
        <v>0</v>
      </c>
      <c r="W58" s="122"/>
      <c r="X58" s="122"/>
    </row>
    <row r="59" spans="1:25" x14ac:dyDescent="0.25">
      <c r="A59" s="20"/>
      <c r="B59" s="20" t="s">
        <v>58</v>
      </c>
      <c r="C59" s="68"/>
      <c r="D59" s="68"/>
      <c r="E59" s="68"/>
      <c r="F59" s="68"/>
      <c r="G59" s="96"/>
      <c r="H59" s="96"/>
      <c r="I59" s="96"/>
      <c r="J59" s="96"/>
      <c r="K59" s="96"/>
      <c r="L59" s="649">
        <f t="shared" si="41"/>
        <v>0</v>
      </c>
      <c r="M59" s="649">
        <f t="shared" si="42"/>
        <v>0</v>
      </c>
      <c r="N59" s="649">
        <f t="shared" si="43"/>
        <v>0</v>
      </c>
      <c r="O59" s="119"/>
      <c r="P59" s="81">
        <f t="shared" si="44"/>
        <v>0</v>
      </c>
      <c r="Q59" s="81">
        <f t="shared" si="45"/>
        <v>0</v>
      </c>
      <c r="R59" s="81">
        <f t="shared" si="46"/>
        <v>0</v>
      </c>
      <c r="S59" s="81">
        <f t="shared" si="47"/>
        <v>0</v>
      </c>
      <c r="T59" s="85">
        <f t="shared" si="48"/>
        <v>0</v>
      </c>
      <c r="U59" s="119"/>
      <c r="V59" s="196">
        <f t="shared" si="23"/>
        <v>0</v>
      </c>
      <c r="W59" s="122"/>
      <c r="X59" s="122"/>
    </row>
    <row r="60" spans="1:25" x14ac:dyDescent="0.25">
      <c r="A60" s="20" t="s">
        <v>59</v>
      </c>
      <c r="B60" s="20" t="s">
        <v>60</v>
      </c>
      <c r="C60" s="68"/>
      <c r="D60" s="68"/>
      <c r="E60" s="68"/>
      <c r="F60" s="68"/>
      <c r="G60" s="96"/>
      <c r="H60" s="96"/>
      <c r="I60" s="96"/>
      <c r="J60" s="96"/>
      <c r="K60" s="96"/>
      <c r="L60" s="649">
        <f t="shared" si="41"/>
        <v>0</v>
      </c>
      <c r="M60" s="649">
        <f t="shared" si="42"/>
        <v>0</v>
      </c>
      <c r="N60" s="649">
        <f t="shared" si="43"/>
        <v>0</v>
      </c>
      <c r="O60" s="119"/>
      <c r="P60" s="81">
        <f t="shared" si="44"/>
        <v>0</v>
      </c>
      <c r="Q60" s="81">
        <f t="shared" si="45"/>
        <v>0</v>
      </c>
      <c r="R60" s="81">
        <f t="shared" si="46"/>
        <v>0</v>
      </c>
      <c r="S60" s="81">
        <f t="shared" si="47"/>
        <v>0</v>
      </c>
      <c r="T60" s="85">
        <f t="shared" si="48"/>
        <v>0</v>
      </c>
      <c r="U60" s="119"/>
      <c r="V60" s="196">
        <f t="shared" si="23"/>
        <v>0</v>
      </c>
      <c r="W60" s="122"/>
      <c r="X60" s="122"/>
    </row>
    <row r="61" spans="1:25" ht="26.4" x14ac:dyDescent="0.25">
      <c r="A61" s="20"/>
      <c r="B61" s="20" t="s">
        <v>61</v>
      </c>
      <c r="C61" s="68"/>
      <c r="D61" s="68"/>
      <c r="E61" s="68"/>
      <c r="F61" s="68"/>
      <c r="G61" s="96"/>
      <c r="H61" s="96"/>
      <c r="I61" s="96"/>
      <c r="J61" s="96"/>
      <c r="K61" s="96"/>
      <c r="L61" s="649">
        <f t="shared" si="41"/>
        <v>0</v>
      </c>
      <c r="M61" s="649">
        <f t="shared" si="42"/>
        <v>0</v>
      </c>
      <c r="N61" s="649">
        <f t="shared" si="43"/>
        <v>0</v>
      </c>
      <c r="O61" s="119"/>
      <c r="P61" s="81">
        <f t="shared" si="44"/>
        <v>0</v>
      </c>
      <c r="Q61" s="81">
        <f t="shared" si="45"/>
        <v>0</v>
      </c>
      <c r="R61" s="81">
        <f t="shared" si="46"/>
        <v>0</v>
      </c>
      <c r="S61" s="81">
        <f t="shared" si="47"/>
        <v>0</v>
      </c>
      <c r="T61" s="85">
        <f t="shared" si="48"/>
        <v>0</v>
      </c>
      <c r="U61" s="119"/>
      <c r="V61" s="196">
        <f t="shared" si="23"/>
        <v>0</v>
      </c>
      <c r="W61" s="122"/>
      <c r="X61" s="122"/>
    </row>
    <row r="62" spans="1:25" x14ac:dyDescent="0.25">
      <c r="A62" s="20" t="s">
        <v>62</v>
      </c>
      <c r="B62" s="20" t="s">
        <v>63</v>
      </c>
      <c r="C62" s="68">
        <v>20000</v>
      </c>
      <c r="D62" s="68">
        <v>40000</v>
      </c>
      <c r="E62" s="68">
        <v>55500</v>
      </c>
      <c r="F62" s="68"/>
      <c r="G62" s="96"/>
      <c r="H62" s="96">
        <v>31200</v>
      </c>
      <c r="I62" s="96">
        <v>55500</v>
      </c>
      <c r="J62" s="96"/>
      <c r="K62" s="96"/>
      <c r="L62" s="653">
        <f t="shared" si="41"/>
        <v>1.56</v>
      </c>
      <c r="M62" s="653">
        <f t="shared" si="42"/>
        <v>1.3875</v>
      </c>
      <c r="N62" s="653">
        <f t="shared" si="43"/>
        <v>0</v>
      </c>
      <c r="O62" s="120"/>
      <c r="P62" s="81">
        <f t="shared" si="44"/>
        <v>20000</v>
      </c>
      <c r="Q62" s="81">
        <f t="shared" si="45"/>
        <v>15500</v>
      </c>
      <c r="R62" s="81">
        <f t="shared" si="46"/>
        <v>0</v>
      </c>
      <c r="S62" s="81">
        <f t="shared" si="47"/>
        <v>35500</v>
      </c>
      <c r="T62" s="85">
        <f t="shared" si="48"/>
        <v>1.7749999999999999</v>
      </c>
      <c r="U62" s="120"/>
      <c r="V62" s="196">
        <f t="shared" si="23"/>
        <v>0</v>
      </c>
      <c r="W62" s="122"/>
      <c r="X62" s="122"/>
    </row>
    <row r="63" spans="1:25" ht="40.35" customHeight="1" x14ac:dyDescent="0.25">
      <c r="A63" s="20"/>
      <c r="B63" s="20" t="s">
        <v>102</v>
      </c>
      <c r="C63" s="68"/>
      <c r="D63" s="68"/>
      <c r="E63" s="68"/>
      <c r="F63" s="68"/>
      <c r="G63" s="96"/>
      <c r="H63" s="96"/>
      <c r="I63" s="96"/>
      <c r="J63" s="96"/>
      <c r="K63" s="96"/>
      <c r="L63" s="649">
        <f t="shared" si="41"/>
        <v>0</v>
      </c>
      <c r="M63" s="649">
        <f t="shared" si="42"/>
        <v>0</v>
      </c>
      <c r="N63" s="649">
        <f t="shared" si="43"/>
        <v>0</v>
      </c>
      <c r="O63" s="119"/>
      <c r="P63" s="81">
        <f t="shared" si="44"/>
        <v>0</v>
      </c>
      <c r="Q63" s="81">
        <f t="shared" si="45"/>
        <v>0</v>
      </c>
      <c r="R63" s="81">
        <f t="shared" si="46"/>
        <v>0</v>
      </c>
      <c r="S63" s="81">
        <f t="shared" si="47"/>
        <v>0</v>
      </c>
      <c r="T63" s="85">
        <f t="shared" si="48"/>
        <v>0</v>
      </c>
      <c r="U63" s="119"/>
      <c r="V63" s="196">
        <f t="shared" si="23"/>
        <v>0</v>
      </c>
      <c r="W63" s="122"/>
      <c r="X63" s="122"/>
      <c r="Y63" s="2"/>
    </row>
    <row r="64" spans="1:25" x14ac:dyDescent="0.25">
      <c r="A64" s="20" t="s">
        <v>64</v>
      </c>
      <c r="B64" s="20" t="s">
        <v>65</v>
      </c>
      <c r="C64" s="68">
        <v>200000</v>
      </c>
      <c r="D64" s="68">
        <v>180000</v>
      </c>
      <c r="E64" s="143">
        <v>164500</v>
      </c>
      <c r="F64" s="68"/>
      <c r="G64" s="96"/>
      <c r="H64" s="96">
        <v>67501</v>
      </c>
      <c r="I64" s="96">
        <v>114920</v>
      </c>
      <c r="J64" s="96"/>
      <c r="K64" s="96"/>
      <c r="L64" s="653">
        <f t="shared" ref="L64:L89" si="59">IF(H64&gt;0,H64/C64,0)</f>
        <v>0.337505</v>
      </c>
      <c r="M64" s="653">
        <f t="shared" ref="M64:M89" si="60">IF(I64&gt;0,I64/D64,0)</f>
        <v>0.63844444444444448</v>
      </c>
      <c r="N64" s="653">
        <f t="shared" ref="N64:N89" si="61">IF(J64&gt;0,J64/E64,0)</f>
        <v>0</v>
      </c>
      <c r="O64" s="120"/>
      <c r="P64" s="81">
        <f t="shared" ref="P64:P89" si="62">+(D64-C64)*P$10</f>
        <v>-20000</v>
      </c>
      <c r="Q64" s="81">
        <f t="shared" ref="Q64:Q89" si="63">+(E64-D64)*Q$10</f>
        <v>-15500</v>
      </c>
      <c r="R64" s="81">
        <f t="shared" ref="R64:R89" si="64">+(F64-E64)*R$10</f>
        <v>0</v>
      </c>
      <c r="S64" s="81">
        <f t="shared" si="47"/>
        <v>-35500</v>
      </c>
      <c r="T64" s="85">
        <f t="shared" ref="T64:T89" si="65">IF(C64=0,0,+S64/C64)</f>
        <v>-0.17749999999999999</v>
      </c>
      <c r="U64" s="120"/>
      <c r="V64" s="196">
        <f t="shared" si="23"/>
        <v>0</v>
      </c>
      <c r="W64" s="122"/>
      <c r="X64" s="122"/>
      <c r="Y64" s="2"/>
    </row>
    <row r="65" spans="1:24" ht="39.6" x14ac:dyDescent="0.25">
      <c r="A65" s="20"/>
      <c r="B65" s="20" t="s">
        <v>66</v>
      </c>
      <c r="C65" s="68"/>
      <c r="D65" s="68"/>
      <c r="E65" s="68"/>
      <c r="F65" s="68"/>
      <c r="G65" s="96"/>
      <c r="H65" s="96"/>
      <c r="I65" s="96"/>
      <c r="J65" s="96"/>
      <c r="K65" s="96"/>
      <c r="L65" s="649">
        <f t="shared" si="59"/>
        <v>0</v>
      </c>
      <c r="M65" s="649">
        <f t="shared" si="60"/>
        <v>0</v>
      </c>
      <c r="N65" s="649">
        <f t="shared" si="61"/>
        <v>0</v>
      </c>
      <c r="O65" s="119"/>
      <c r="P65" s="81">
        <f t="shared" si="62"/>
        <v>0</v>
      </c>
      <c r="Q65" s="81">
        <f t="shared" si="63"/>
        <v>0</v>
      </c>
      <c r="R65" s="81">
        <f t="shared" si="64"/>
        <v>0</v>
      </c>
      <c r="S65" s="81">
        <f t="shared" si="47"/>
        <v>0</v>
      </c>
      <c r="T65" s="85">
        <f t="shared" si="65"/>
        <v>0</v>
      </c>
      <c r="U65" s="119"/>
      <c r="V65" s="196">
        <f t="shared" si="23"/>
        <v>0</v>
      </c>
      <c r="W65" s="122"/>
      <c r="X65" s="122"/>
    </row>
    <row r="66" spans="1:24" s="42" customFormat="1" x14ac:dyDescent="0.25">
      <c r="A66" s="39" t="s">
        <v>67</v>
      </c>
      <c r="B66" s="39" t="s">
        <v>68</v>
      </c>
      <c r="C66" s="95">
        <f>SUM(C67:C70)</f>
        <v>800000</v>
      </c>
      <c r="D66" s="95">
        <f t="shared" ref="D66:F66" si="66">SUM(D67:D70)</f>
        <v>800000</v>
      </c>
      <c r="E66" s="95">
        <f t="shared" si="66"/>
        <v>800000</v>
      </c>
      <c r="F66" s="95">
        <f t="shared" si="66"/>
        <v>0</v>
      </c>
      <c r="G66" s="95"/>
      <c r="H66" s="95">
        <f t="shared" ref="H66" si="67">SUM(H67:H70)</f>
        <v>271560</v>
      </c>
      <c r="I66" s="95">
        <f t="shared" ref="I66" si="68">SUM(I67:I70)</f>
        <v>394185</v>
      </c>
      <c r="J66" s="95">
        <f t="shared" ref="J66" si="69">SUM(J67:J70)</f>
        <v>0</v>
      </c>
      <c r="K66" s="95"/>
      <c r="L66" s="654">
        <f t="shared" si="59"/>
        <v>0.33944999999999997</v>
      </c>
      <c r="M66" s="654">
        <f t="shared" si="60"/>
        <v>0.49273125000000001</v>
      </c>
      <c r="N66" s="654">
        <f t="shared" si="61"/>
        <v>0</v>
      </c>
      <c r="O66" s="121"/>
      <c r="P66" s="81">
        <f t="shared" si="62"/>
        <v>0</v>
      </c>
      <c r="Q66" s="81">
        <f t="shared" si="63"/>
        <v>0</v>
      </c>
      <c r="R66" s="81">
        <f t="shared" si="64"/>
        <v>0</v>
      </c>
      <c r="S66" s="81">
        <f t="shared" si="47"/>
        <v>0</v>
      </c>
      <c r="T66" s="85">
        <f t="shared" si="65"/>
        <v>0</v>
      </c>
      <c r="U66" s="121"/>
      <c r="V66" s="196">
        <f t="shared" si="23"/>
        <v>0</v>
      </c>
      <c r="W66" s="129"/>
      <c r="X66" s="129"/>
    </row>
    <row r="67" spans="1:24" x14ac:dyDescent="0.25">
      <c r="A67" s="20" t="s">
        <v>69</v>
      </c>
      <c r="B67" s="20" t="s">
        <v>70</v>
      </c>
      <c r="C67" s="68">
        <v>800000</v>
      </c>
      <c r="D67" s="68">
        <v>800000</v>
      </c>
      <c r="E67" s="68">
        <v>800000</v>
      </c>
      <c r="F67" s="68"/>
      <c r="G67" s="96"/>
      <c r="H67" s="96">
        <v>271560</v>
      </c>
      <c r="I67" s="96">
        <v>394185</v>
      </c>
      <c r="J67" s="96"/>
      <c r="K67" s="96"/>
      <c r="L67" s="653">
        <f t="shared" si="59"/>
        <v>0.33944999999999997</v>
      </c>
      <c r="M67" s="653">
        <f t="shared" si="60"/>
        <v>0.49273125000000001</v>
      </c>
      <c r="N67" s="653">
        <f t="shared" si="61"/>
        <v>0</v>
      </c>
      <c r="O67" s="120"/>
      <c r="P67" s="81">
        <f t="shared" si="62"/>
        <v>0</v>
      </c>
      <c r="Q67" s="81">
        <f t="shared" si="63"/>
        <v>0</v>
      </c>
      <c r="R67" s="81">
        <f t="shared" si="64"/>
        <v>0</v>
      </c>
      <c r="S67" s="81">
        <f t="shared" si="47"/>
        <v>0</v>
      </c>
      <c r="T67" s="85">
        <f t="shared" si="65"/>
        <v>0</v>
      </c>
      <c r="U67" s="120"/>
      <c r="V67" s="196">
        <f t="shared" si="23"/>
        <v>0</v>
      </c>
      <c r="W67" s="122"/>
      <c r="X67" s="122"/>
    </row>
    <row r="68" spans="1:24" ht="39.6" x14ac:dyDescent="0.25">
      <c r="A68" s="20"/>
      <c r="B68" s="20" t="s">
        <v>71</v>
      </c>
      <c r="C68" s="68"/>
      <c r="D68" s="68"/>
      <c r="E68" s="68"/>
      <c r="F68" s="68"/>
      <c r="G68" s="96"/>
      <c r="H68" s="96"/>
      <c r="I68" s="96"/>
      <c r="J68" s="96"/>
      <c r="K68" s="96"/>
      <c r="L68" s="649">
        <f t="shared" si="59"/>
        <v>0</v>
      </c>
      <c r="M68" s="649">
        <f t="shared" si="60"/>
        <v>0</v>
      </c>
      <c r="N68" s="649">
        <f t="shared" si="61"/>
        <v>0</v>
      </c>
      <c r="O68" s="119"/>
      <c r="P68" s="81">
        <f t="shared" si="62"/>
        <v>0</v>
      </c>
      <c r="Q68" s="81">
        <f t="shared" si="63"/>
        <v>0</v>
      </c>
      <c r="R68" s="81">
        <f t="shared" si="64"/>
        <v>0</v>
      </c>
      <c r="S68" s="81">
        <f t="shared" si="47"/>
        <v>0</v>
      </c>
      <c r="T68" s="85">
        <f t="shared" si="65"/>
        <v>0</v>
      </c>
      <c r="U68" s="119"/>
      <c r="V68" s="196">
        <f t="shared" si="23"/>
        <v>0</v>
      </c>
      <c r="W68" s="122"/>
      <c r="X68" s="122"/>
    </row>
    <row r="69" spans="1:24" x14ac:dyDescent="0.25">
      <c r="A69" s="20" t="s">
        <v>72</v>
      </c>
      <c r="B69" s="20" t="s">
        <v>100</v>
      </c>
      <c r="C69" s="68"/>
      <c r="D69" s="68"/>
      <c r="E69" s="68"/>
      <c r="F69" s="68"/>
      <c r="G69" s="96"/>
      <c r="H69" s="96"/>
      <c r="I69" s="96"/>
      <c r="J69" s="96"/>
      <c r="K69" s="96"/>
      <c r="L69" s="649">
        <f t="shared" si="59"/>
        <v>0</v>
      </c>
      <c r="M69" s="649">
        <f t="shared" si="60"/>
        <v>0</v>
      </c>
      <c r="N69" s="649">
        <f t="shared" si="61"/>
        <v>0</v>
      </c>
      <c r="O69" s="119"/>
      <c r="P69" s="81">
        <f t="shared" si="62"/>
        <v>0</v>
      </c>
      <c r="Q69" s="81">
        <f t="shared" si="63"/>
        <v>0</v>
      </c>
      <c r="R69" s="81">
        <f t="shared" si="64"/>
        <v>0</v>
      </c>
      <c r="S69" s="81">
        <f t="shared" si="47"/>
        <v>0</v>
      </c>
      <c r="T69" s="85">
        <f t="shared" si="65"/>
        <v>0</v>
      </c>
      <c r="U69" s="119"/>
      <c r="V69" s="196">
        <f t="shared" si="23"/>
        <v>0</v>
      </c>
      <c r="W69" s="122"/>
      <c r="X69" s="122"/>
    </row>
    <row r="70" spans="1:24" ht="39.6" x14ac:dyDescent="0.25">
      <c r="A70" s="20"/>
      <c r="B70" s="20" t="s">
        <v>73</v>
      </c>
      <c r="C70" s="68"/>
      <c r="D70" s="68"/>
      <c r="E70" s="68"/>
      <c r="F70" s="68"/>
      <c r="G70" s="96"/>
      <c r="H70" s="96"/>
      <c r="I70" s="96"/>
      <c r="J70" s="96"/>
      <c r="K70" s="96"/>
      <c r="L70" s="649">
        <f t="shared" si="59"/>
        <v>0</v>
      </c>
      <c r="M70" s="649">
        <f t="shared" si="60"/>
        <v>0</v>
      </c>
      <c r="N70" s="649">
        <f t="shared" si="61"/>
        <v>0</v>
      </c>
      <c r="O70" s="119"/>
      <c r="P70" s="81">
        <f t="shared" si="62"/>
        <v>0</v>
      </c>
      <c r="Q70" s="81">
        <f t="shared" si="63"/>
        <v>0</v>
      </c>
      <c r="R70" s="81">
        <f t="shared" si="64"/>
        <v>0</v>
      </c>
      <c r="S70" s="81">
        <f t="shared" si="47"/>
        <v>0</v>
      </c>
      <c r="T70" s="85">
        <f t="shared" si="65"/>
        <v>0</v>
      </c>
      <c r="U70" s="119"/>
      <c r="V70" s="196">
        <f t="shared" si="23"/>
        <v>0</v>
      </c>
      <c r="W70" s="122"/>
      <c r="X70" s="122"/>
    </row>
    <row r="71" spans="1:24" s="42" customFormat="1" x14ac:dyDescent="0.25">
      <c r="A71" s="39" t="s">
        <v>74</v>
      </c>
      <c r="B71" s="39" t="s">
        <v>75</v>
      </c>
      <c r="C71" s="95">
        <f>SUM(C72:C81)</f>
        <v>3080000</v>
      </c>
      <c r="D71" s="95">
        <f t="shared" ref="D71:F71" si="70">SUM(D72:D81)</f>
        <v>3080000</v>
      </c>
      <c r="E71" s="95">
        <f t="shared" si="70"/>
        <v>3080000</v>
      </c>
      <c r="F71" s="95">
        <f t="shared" si="70"/>
        <v>0</v>
      </c>
      <c r="G71" s="95"/>
      <c r="H71" s="95">
        <f t="shared" ref="H71" si="71">SUM(H72:H81)</f>
        <v>888609</v>
      </c>
      <c r="I71" s="95">
        <f t="shared" ref="I71" si="72">SUM(I72:I81)</f>
        <v>1585252</v>
      </c>
      <c r="J71" s="95">
        <f t="shared" ref="J71" si="73">SUM(J72:J81)</f>
        <v>0</v>
      </c>
      <c r="K71" s="95"/>
      <c r="L71" s="654">
        <f t="shared" si="59"/>
        <v>0.28850941558441556</v>
      </c>
      <c r="M71" s="654">
        <f t="shared" si="60"/>
        <v>0.51469220779220781</v>
      </c>
      <c r="N71" s="654">
        <f t="shared" si="61"/>
        <v>0</v>
      </c>
      <c r="O71" s="121"/>
      <c r="P71" s="81">
        <f t="shared" si="62"/>
        <v>0</v>
      </c>
      <c r="Q71" s="81">
        <f t="shared" si="63"/>
        <v>0</v>
      </c>
      <c r="R71" s="81">
        <f t="shared" si="64"/>
        <v>0</v>
      </c>
      <c r="S71" s="81">
        <f t="shared" si="47"/>
        <v>0</v>
      </c>
      <c r="T71" s="85">
        <f t="shared" si="65"/>
        <v>0</v>
      </c>
      <c r="U71" s="121"/>
      <c r="V71" s="196">
        <f t="shared" si="23"/>
        <v>0</v>
      </c>
      <c r="W71" s="129"/>
      <c r="X71" s="129"/>
    </row>
    <row r="72" spans="1:24" x14ac:dyDescent="0.25">
      <c r="A72" s="20" t="s">
        <v>76</v>
      </c>
      <c r="B72" s="20" t="s">
        <v>77</v>
      </c>
      <c r="C72" s="68">
        <v>1870000</v>
      </c>
      <c r="D72" s="68">
        <v>1870000</v>
      </c>
      <c r="E72" s="143">
        <v>1870000</v>
      </c>
      <c r="F72" s="68"/>
      <c r="G72" s="96"/>
      <c r="H72" s="96">
        <v>499921</v>
      </c>
      <c r="I72" s="96">
        <v>959364</v>
      </c>
      <c r="J72" s="96"/>
      <c r="K72" s="96"/>
      <c r="L72" s="653">
        <f t="shared" si="59"/>
        <v>0.26733743315508024</v>
      </c>
      <c r="M72" s="653">
        <f t="shared" si="60"/>
        <v>0.51302887700534761</v>
      </c>
      <c r="N72" s="653">
        <f t="shared" si="61"/>
        <v>0</v>
      </c>
      <c r="O72" s="120"/>
      <c r="P72" s="81">
        <f t="shared" si="62"/>
        <v>0</v>
      </c>
      <c r="Q72" s="81">
        <f t="shared" si="63"/>
        <v>0</v>
      </c>
      <c r="R72" s="81">
        <f t="shared" si="64"/>
        <v>0</v>
      </c>
      <c r="S72" s="81">
        <f t="shared" si="47"/>
        <v>0</v>
      </c>
      <c r="T72" s="85">
        <f t="shared" si="65"/>
        <v>0</v>
      </c>
      <c r="U72" s="120"/>
      <c r="V72" s="196">
        <f t="shared" si="23"/>
        <v>0</v>
      </c>
      <c r="W72" s="122"/>
      <c r="X72" s="122"/>
    </row>
    <row r="73" spans="1:24" x14ac:dyDescent="0.25">
      <c r="A73" s="20"/>
      <c r="B73" s="20" t="s">
        <v>78</v>
      </c>
      <c r="C73" s="68"/>
      <c r="D73" s="68"/>
      <c r="E73" s="68"/>
      <c r="F73" s="68"/>
      <c r="G73" s="96"/>
      <c r="H73" s="96"/>
      <c r="I73" s="96"/>
      <c r="J73" s="96"/>
      <c r="K73" s="96"/>
      <c r="L73" s="649">
        <f t="shared" si="59"/>
        <v>0</v>
      </c>
      <c r="M73" s="649">
        <f t="shared" si="60"/>
        <v>0</v>
      </c>
      <c r="N73" s="649">
        <f t="shared" si="61"/>
        <v>0</v>
      </c>
      <c r="O73" s="119"/>
      <c r="P73" s="81">
        <f t="shared" si="62"/>
        <v>0</v>
      </c>
      <c r="Q73" s="81">
        <f t="shared" si="63"/>
        <v>0</v>
      </c>
      <c r="R73" s="81">
        <f t="shared" si="64"/>
        <v>0</v>
      </c>
      <c r="S73" s="81">
        <f t="shared" si="47"/>
        <v>0</v>
      </c>
      <c r="T73" s="85">
        <f t="shared" si="65"/>
        <v>0</v>
      </c>
      <c r="U73" s="119"/>
      <c r="V73" s="196">
        <f t="shared" si="23"/>
        <v>0</v>
      </c>
      <c r="W73" s="122"/>
      <c r="X73" s="122"/>
    </row>
    <row r="74" spans="1:24" x14ac:dyDescent="0.25">
      <c r="A74" s="20" t="s">
        <v>79</v>
      </c>
      <c r="B74" s="20" t="s">
        <v>80</v>
      </c>
      <c r="C74" s="68">
        <v>1200000</v>
      </c>
      <c r="D74" s="68">
        <v>1200000</v>
      </c>
      <c r="E74" s="68">
        <v>1200000</v>
      </c>
      <c r="F74" s="68"/>
      <c r="G74" s="96"/>
      <c r="H74" s="96">
        <v>386000</v>
      </c>
      <c r="I74" s="96">
        <v>623000</v>
      </c>
      <c r="J74" s="96"/>
      <c r="K74" s="96"/>
      <c r="L74" s="653">
        <f t="shared" si="59"/>
        <v>0.32166666666666666</v>
      </c>
      <c r="M74" s="653">
        <f t="shared" si="60"/>
        <v>0.51916666666666667</v>
      </c>
      <c r="N74" s="653">
        <f t="shared" si="61"/>
        <v>0</v>
      </c>
      <c r="O74" s="120"/>
      <c r="P74" s="81">
        <f t="shared" si="62"/>
        <v>0</v>
      </c>
      <c r="Q74" s="81">
        <f t="shared" si="63"/>
        <v>0</v>
      </c>
      <c r="R74" s="81">
        <f t="shared" si="64"/>
        <v>0</v>
      </c>
      <c r="S74" s="81">
        <f t="shared" si="47"/>
        <v>0</v>
      </c>
      <c r="T74" s="85">
        <f t="shared" si="65"/>
        <v>0</v>
      </c>
      <c r="U74" s="120"/>
      <c r="V74" s="196">
        <f t="shared" si="23"/>
        <v>0</v>
      </c>
      <c r="W74" s="122"/>
      <c r="X74" s="122"/>
    </row>
    <row r="75" spans="1:24" ht="26.4" x14ac:dyDescent="0.25">
      <c r="A75" s="20"/>
      <c r="B75" s="20" t="s">
        <v>101</v>
      </c>
      <c r="C75" s="68"/>
      <c r="D75" s="68"/>
      <c r="E75" s="68"/>
      <c r="F75" s="68"/>
      <c r="G75" s="96"/>
      <c r="H75" s="96"/>
      <c r="I75" s="96"/>
      <c r="J75" s="96"/>
      <c r="K75" s="96"/>
      <c r="L75" s="649">
        <f t="shared" si="59"/>
        <v>0</v>
      </c>
      <c r="M75" s="649">
        <f t="shared" si="60"/>
        <v>0</v>
      </c>
      <c r="N75" s="649">
        <f t="shared" si="61"/>
        <v>0</v>
      </c>
      <c r="O75" s="119"/>
      <c r="P75" s="81">
        <f t="shared" si="62"/>
        <v>0</v>
      </c>
      <c r="Q75" s="81">
        <f t="shared" si="63"/>
        <v>0</v>
      </c>
      <c r="R75" s="81">
        <f t="shared" si="64"/>
        <v>0</v>
      </c>
      <c r="S75" s="81">
        <f t="shared" si="47"/>
        <v>0</v>
      </c>
      <c r="T75" s="85">
        <f t="shared" si="65"/>
        <v>0</v>
      </c>
      <c r="U75" s="119"/>
      <c r="V75" s="196">
        <f t="shared" si="23"/>
        <v>0</v>
      </c>
      <c r="W75" s="122"/>
      <c r="X75" s="122"/>
    </row>
    <row r="76" spans="1:24" x14ac:dyDescent="0.25">
      <c r="A76" s="20" t="s">
        <v>81</v>
      </c>
      <c r="B76" s="20" t="s">
        <v>82</v>
      </c>
      <c r="C76" s="68"/>
      <c r="D76" s="68"/>
      <c r="E76" s="68"/>
      <c r="F76" s="68"/>
      <c r="G76" s="96"/>
      <c r="H76" s="96"/>
      <c r="I76" s="96"/>
      <c r="J76" s="96"/>
      <c r="K76" s="96"/>
      <c r="L76" s="649">
        <f t="shared" si="59"/>
        <v>0</v>
      </c>
      <c r="M76" s="649">
        <f t="shared" si="60"/>
        <v>0</v>
      </c>
      <c r="N76" s="649">
        <f t="shared" si="61"/>
        <v>0</v>
      </c>
      <c r="O76" s="119"/>
      <c r="P76" s="81">
        <f t="shared" si="62"/>
        <v>0</v>
      </c>
      <c r="Q76" s="81">
        <f t="shared" si="63"/>
        <v>0</v>
      </c>
      <c r="R76" s="81">
        <f t="shared" si="64"/>
        <v>0</v>
      </c>
      <c r="S76" s="81">
        <f t="shared" si="47"/>
        <v>0</v>
      </c>
      <c r="T76" s="85">
        <f t="shared" si="65"/>
        <v>0</v>
      </c>
      <c r="U76" s="119"/>
      <c r="V76" s="196">
        <f t="shared" si="23"/>
        <v>0</v>
      </c>
      <c r="W76" s="122"/>
      <c r="X76" s="122"/>
    </row>
    <row r="77" spans="1:24" ht="26.4" x14ac:dyDescent="0.25">
      <c r="A77" s="20"/>
      <c r="B77" s="20" t="s">
        <v>83</v>
      </c>
      <c r="C77" s="68"/>
      <c r="D77" s="68"/>
      <c r="E77" s="68"/>
      <c r="F77" s="68"/>
      <c r="G77" s="96"/>
      <c r="H77" s="96"/>
      <c r="I77" s="96"/>
      <c r="J77" s="96"/>
      <c r="K77" s="96"/>
      <c r="L77" s="649">
        <f t="shared" si="59"/>
        <v>0</v>
      </c>
      <c r="M77" s="649">
        <f t="shared" si="60"/>
        <v>0</v>
      </c>
      <c r="N77" s="649">
        <f t="shared" si="61"/>
        <v>0</v>
      </c>
      <c r="O77" s="119"/>
      <c r="P77" s="81">
        <f t="shared" si="62"/>
        <v>0</v>
      </c>
      <c r="Q77" s="81">
        <f t="shared" si="63"/>
        <v>0</v>
      </c>
      <c r="R77" s="81">
        <f t="shared" si="64"/>
        <v>0</v>
      </c>
      <c r="S77" s="81">
        <f t="shared" si="47"/>
        <v>0</v>
      </c>
      <c r="T77" s="85">
        <f t="shared" si="65"/>
        <v>0</v>
      </c>
      <c r="U77" s="119"/>
      <c r="V77" s="196">
        <f t="shared" ref="V77" si="74">+S77-E77+C77</f>
        <v>0</v>
      </c>
      <c r="W77" s="122"/>
      <c r="X77" s="122"/>
    </row>
    <row r="78" spans="1:24" x14ac:dyDescent="0.25">
      <c r="A78" s="20" t="s">
        <v>84</v>
      </c>
      <c r="B78" s="20" t="s">
        <v>85</v>
      </c>
      <c r="C78" s="68"/>
      <c r="D78" s="68"/>
      <c r="E78" s="68"/>
      <c r="F78" s="68"/>
      <c r="G78" s="96"/>
      <c r="H78" s="96"/>
      <c r="I78" s="96"/>
      <c r="J78" s="96"/>
      <c r="K78" s="96"/>
      <c r="L78" s="649">
        <f t="shared" si="59"/>
        <v>0</v>
      </c>
      <c r="M78" s="649">
        <f t="shared" si="60"/>
        <v>0</v>
      </c>
      <c r="N78" s="649">
        <f t="shared" si="61"/>
        <v>0</v>
      </c>
      <c r="O78" s="119"/>
      <c r="P78" s="81">
        <f t="shared" si="62"/>
        <v>0</v>
      </c>
      <c r="Q78" s="81">
        <f t="shared" si="63"/>
        <v>0</v>
      </c>
      <c r="R78" s="81">
        <f t="shared" si="64"/>
        <v>0</v>
      </c>
      <c r="S78" s="81">
        <f t="shared" si="47"/>
        <v>0</v>
      </c>
      <c r="T78" s="85">
        <f t="shared" si="65"/>
        <v>0</v>
      </c>
      <c r="U78" s="119"/>
      <c r="V78" s="196">
        <f t="shared" ref="V78:V95" si="75">+S78-E78+C78</f>
        <v>0</v>
      </c>
      <c r="W78" s="122"/>
      <c r="X78" s="122"/>
    </row>
    <row r="79" spans="1:24" x14ac:dyDescent="0.25">
      <c r="A79" s="20"/>
      <c r="B79" s="20" t="s">
        <v>86</v>
      </c>
      <c r="C79" s="68"/>
      <c r="D79" s="68"/>
      <c r="E79" s="68"/>
      <c r="F79" s="68"/>
      <c r="G79" s="96"/>
      <c r="H79" s="96"/>
      <c r="I79" s="96"/>
      <c r="J79" s="96"/>
      <c r="K79" s="96"/>
      <c r="L79" s="649">
        <f t="shared" si="59"/>
        <v>0</v>
      </c>
      <c r="M79" s="649">
        <f t="shared" si="60"/>
        <v>0</v>
      </c>
      <c r="N79" s="649">
        <f t="shared" si="61"/>
        <v>0</v>
      </c>
      <c r="O79" s="119"/>
      <c r="P79" s="81">
        <f t="shared" si="62"/>
        <v>0</v>
      </c>
      <c r="Q79" s="81">
        <f t="shared" si="63"/>
        <v>0</v>
      </c>
      <c r="R79" s="81">
        <f t="shared" si="64"/>
        <v>0</v>
      </c>
      <c r="S79" s="81">
        <f t="shared" si="47"/>
        <v>0</v>
      </c>
      <c r="T79" s="85">
        <f t="shared" si="65"/>
        <v>0</v>
      </c>
      <c r="U79" s="119"/>
      <c r="V79" s="196">
        <f t="shared" si="75"/>
        <v>0</v>
      </c>
      <c r="W79" s="122"/>
      <c r="X79" s="122"/>
    </row>
    <row r="80" spans="1:24" x14ac:dyDescent="0.25">
      <c r="A80" s="20" t="s">
        <v>87</v>
      </c>
      <c r="B80" s="20" t="s">
        <v>88</v>
      </c>
      <c r="C80" s="68">
        <v>10000</v>
      </c>
      <c r="D80" s="68">
        <v>10000</v>
      </c>
      <c r="E80" s="143">
        <v>10000</v>
      </c>
      <c r="F80" s="68"/>
      <c r="G80" s="96"/>
      <c r="H80" s="96">
        <v>2688</v>
      </c>
      <c r="I80" s="96">
        <v>2888</v>
      </c>
      <c r="J80" s="96"/>
      <c r="K80" s="96"/>
      <c r="L80" s="653">
        <f t="shared" si="59"/>
        <v>0.26879999999999998</v>
      </c>
      <c r="M80" s="653">
        <f t="shared" si="60"/>
        <v>0.2888</v>
      </c>
      <c r="N80" s="653">
        <f t="shared" si="61"/>
        <v>0</v>
      </c>
      <c r="O80" s="120"/>
      <c r="P80" s="81">
        <f t="shared" si="62"/>
        <v>0</v>
      </c>
      <c r="Q80" s="81">
        <f t="shared" si="63"/>
        <v>0</v>
      </c>
      <c r="R80" s="81">
        <f t="shared" si="64"/>
        <v>0</v>
      </c>
      <c r="S80" s="81">
        <f t="shared" si="47"/>
        <v>0</v>
      </c>
      <c r="T80" s="85">
        <f t="shared" si="65"/>
        <v>0</v>
      </c>
      <c r="U80" s="120"/>
      <c r="V80" s="196">
        <f t="shared" si="75"/>
        <v>0</v>
      </c>
      <c r="W80" s="122"/>
      <c r="X80" s="122"/>
    </row>
    <row r="81" spans="1:26" ht="38.700000000000003" customHeight="1" x14ac:dyDescent="0.25">
      <c r="A81" s="20"/>
      <c r="B81" s="20" t="s">
        <v>92</v>
      </c>
      <c r="C81" s="68"/>
      <c r="D81" s="68"/>
      <c r="E81" s="68"/>
      <c r="F81" s="68"/>
      <c r="G81" s="96"/>
      <c r="H81" s="96"/>
      <c r="I81" s="96"/>
      <c r="J81" s="96"/>
      <c r="K81" s="96"/>
      <c r="L81" s="649">
        <f t="shared" si="59"/>
        <v>0</v>
      </c>
      <c r="M81" s="649">
        <f t="shared" si="60"/>
        <v>0</v>
      </c>
      <c r="N81" s="649">
        <f t="shared" si="61"/>
        <v>0</v>
      </c>
      <c r="O81" s="119"/>
      <c r="P81" s="81">
        <f t="shared" si="62"/>
        <v>0</v>
      </c>
      <c r="Q81" s="81">
        <f t="shared" si="63"/>
        <v>0</v>
      </c>
      <c r="R81" s="81">
        <f t="shared" si="64"/>
        <v>0</v>
      </c>
      <c r="S81" s="81">
        <f t="shared" si="47"/>
        <v>0</v>
      </c>
      <c r="T81" s="85">
        <f t="shared" si="65"/>
        <v>0</v>
      </c>
      <c r="U81" s="119"/>
      <c r="V81" s="196">
        <f t="shared" si="75"/>
        <v>0</v>
      </c>
      <c r="W81" s="122"/>
      <c r="X81" s="122"/>
      <c r="Y81" s="2"/>
    </row>
    <row r="82" spans="1:26" x14ac:dyDescent="0.25">
      <c r="A82" s="20"/>
      <c r="B82" s="14"/>
      <c r="C82" s="68"/>
      <c r="D82" s="93"/>
      <c r="E82" s="93"/>
      <c r="F82" s="93"/>
      <c r="G82" s="94"/>
      <c r="H82" s="94"/>
      <c r="I82" s="94"/>
      <c r="J82" s="94"/>
      <c r="K82" s="94"/>
      <c r="L82" s="649"/>
      <c r="M82" s="649"/>
      <c r="N82" s="649"/>
      <c r="O82" s="119"/>
      <c r="P82" s="81"/>
      <c r="Q82" s="81"/>
      <c r="R82" s="81"/>
      <c r="S82" s="81">
        <f t="shared" si="47"/>
        <v>0</v>
      </c>
      <c r="T82" s="85"/>
      <c r="U82" s="119"/>
      <c r="V82" s="196">
        <f t="shared" si="75"/>
        <v>0</v>
      </c>
      <c r="W82" s="122"/>
      <c r="X82" s="122"/>
    </row>
    <row r="83" spans="1:26" x14ac:dyDescent="0.25">
      <c r="A83" s="3" t="s">
        <v>158</v>
      </c>
      <c r="B83" s="3" t="s">
        <v>159</v>
      </c>
      <c r="C83" s="89">
        <f>SUM(C84:C85)</f>
        <v>120000</v>
      </c>
      <c r="D83" s="89">
        <f t="shared" ref="D83:F83" si="76">SUM(D84:D85)</f>
        <v>120000</v>
      </c>
      <c r="E83" s="89">
        <f t="shared" si="76"/>
        <v>120000</v>
      </c>
      <c r="F83" s="89">
        <f t="shared" si="76"/>
        <v>0</v>
      </c>
      <c r="G83" s="90"/>
      <c r="H83" s="89">
        <f t="shared" ref="H83:J83" si="77">SUM(H84:H85)</f>
        <v>0</v>
      </c>
      <c r="I83" s="89">
        <f t="shared" si="77"/>
        <v>0</v>
      </c>
      <c r="J83" s="89">
        <f t="shared" si="77"/>
        <v>0</v>
      </c>
      <c r="K83" s="90"/>
      <c r="L83" s="650">
        <f t="shared" ref="L83:L84" si="78">IF(H83&gt;0,H83/C83,0)</f>
        <v>0</v>
      </c>
      <c r="M83" s="650">
        <f t="shared" ref="M83:M84" si="79">IF(I83&gt;0,I83/D83,0)</f>
        <v>0</v>
      </c>
      <c r="N83" s="650">
        <f t="shared" ref="N83:N84" si="80">IF(J83&gt;0,J83/E83,0)</f>
        <v>0</v>
      </c>
      <c r="O83" s="118"/>
      <c r="P83" s="90">
        <f t="shared" ref="P83:P84" si="81">+(D83-C83)*P$10</f>
        <v>0</v>
      </c>
      <c r="Q83" s="90">
        <f t="shared" ref="Q83:Q84" si="82">+(E83-D83)*Q$10</f>
        <v>0</v>
      </c>
      <c r="R83" s="90">
        <f t="shared" ref="R83:R84" si="83">+(F83-E83)*R$10</f>
        <v>0</v>
      </c>
      <c r="S83" s="90">
        <f t="shared" si="47"/>
        <v>0</v>
      </c>
      <c r="T83" s="203">
        <f>IF(C83=0,0,+S83/C83)</f>
        <v>0</v>
      </c>
      <c r="U83" s="118"/>
      <c r="V83" s="196">
        <f t="shared" ref="V83:V88" si="84">+S83-E83+C83</f>
        <v>0</v>
      </c>
      <c r="W83" s="122"/>
      <c r="X83" s="122"/>
      <c r="Y83" s="2"/>
      <c r="Z83" s="2"/>
    </row>
    <row r="84" spans="1:26" x14ac:dyDescent="0.25">
      <c r="A84" s="20"/>
      <c r="B84" s="20"/>
      <c r="C84" s="274">
        <v>120000</v>
      </c>
      <c r="D84" s="274">
        <v>120000</v>
      </c>
      <c r="E84" s="274">
        <v>120000</v>
      </c>
      <c r="F84" s="274"/>
      <c r="G84" s="303"/>
      <c r="H84" s="303"/>
      <c r="I84" s="303"/>
      <c r="J84" s="303"/>
      <c r="K84" s="94"/>
      <c r="L84" s="653">
        <f t="shared" si="78"/>
        <v>0</v>
      </c>
      <c r="M84" s="653">
        <f t="shared" si="79"/>
        <v>0</v>
      </c>
      <c r="N84" s="653">
        <f t="shared" si="80"/>
        <v>0</v>
      </c>
      <c r="O84" s="120"/>
      <c r="P84" s="81">
        <f t="shared" si="81"/>
        <v>0</v>
      </c>
      <c r="Q84" s="81">
        <f t="shared" si="82"/>
        <v>0</v>
      </c>
      <c r="R84" s="81">
        <f t="shared" si="83"/>
        <v>0</v>
      </c>
      <c r="S84" s="81">
        <f t="shared" si="47"/>
        <v>0</v>
      </c>
      <c r="T84" s="85">
        <f>IF(C84=0,0,+S84/C84)</f>
        <v>0</v>
      </c>
      <c r="U84" s="120"/>
      <c r="V84" s="196">
        <f t="shared" si="84"/>
        <v>0</v>
      </c>
      <c r="W84" s="122"/>
      <c r="X84" s="122"/>
      <c r="Y84" s="57"/>
    </row>
    <row r="85" spans="1:26" x14ac:dyDescent="0.25">
      <c r="A85" s="20"/>
      <c r="B85" s="14"/>
      <c r="C85" s="68"/>
      <c r="D85" s="93"/>
      <c r="E85" s="93"/>
      <c r="F85" s="93"/>
      <c r="G85" s="94"/>
      <c r="H85" s="94"/>
      <c r="I85" s="94"/>
      <c r="J85" s="94"/>
      <c r="K85" s="94"/>
      <c r="L85" s="649"/>
      <c r="M85" s="649"/>
      <c r="N85" s="649"/>
      <c r="O85" s="119"/>
      <c r="P85" s="81"/>
      <c r="Q85" s="81"/>
      <c r="R85" s="81"/>
      <c r="S85" s="81"/>
      <c r="T85" s="85"/>
      <c r="U85" s="119"/>
      <c r="V85" s="196">
        <f t="shared" si="84"/>
        <v>0</v>
      </c>
      <c r="W85" s="122"/>
      <c r="X85" s="122"/>
    </row>
    <row r="86" spans="1:26" x14ac:dyDescent="0.25">
      <c r="A86" s="3" t="s">
        <v>173</v>
      </c>
      <c r="B86" s="3" t="s">
        <v>174</v>
      </c>
      <c r="C86" s="89">
        <f>SUM(C87:C88)</f>
        <v>0</v>
      </c>
      <c r="D86" s="89">
        <f t="shared" ref="D86:F86" si="85">SUM(D87:D88)</f>
        <v>0</v>
      </c>
      <c r="E86" s="89">
        <f t="shared" si="85"/>
        <v>0</v>
      </c>
      <c r="F86" s="89">
        <f t="shared" si="85"/>
        <v>0</v>
      </c>
      <c r="G86" s="90"/>
      <c r="H86" s="89">
        <f t="shared" ref="H86:J86" si="86">SUM(H87:H88)</f>
        <v>0</v>
      </c>
      <c r="I86" s="89">
        <f t="shared" si="86"/>
        <v>0</v>
      </c>
      <c r="J86" s="89">
        <f t="shared" si="86"/>
        <v>0</v>
      </c>
      <c r="K86" s="90"/>
      <c r="L86" s="650">
        <f t="shared" ref="L86:L87" si="87">IF(H86&gt;0,H86/C86,0)</f>
        <v>0</v>
      </c>
      <c r="M86" s="650">
        <f t="shared" ref="M86:M87" si="88">IF(I86&gt;0,I86/D86,0)</f>
        <v>0</v>
      </c>
      <c r="N86" s="650">
        <f t="shared" ref="N86:N87" si="89">IF(J86&gt;0,J86/E86,0)</f>
        <v>0</v>
      </c>
      <c r="O86" s="118"/>
      <c r="P86" s="90">
        <f t="shared" ref="P86:P87" si="90">+(D86-C86)*P$10</f>
        <v>0</v>
      </c>
      <c r="Q86" s="90">
        <f t="shared" ref="Q86:Q87" si="91">+(E86-D86)*Q$10</f>
        <v>0</v>
      </c>
      <c r="R86" s="90">
        <f t="shared" ref="R86:R87" si="92">+(F86-E86)*R$10</f>
        <v>0</v>
      </c>
      <c r="S86" s="90">
        <f t="shared" ref="S86:S87" si="93">+P$10*P86+Q$10*Q86+R$10*R86</f>
        <v>0</v>
      </c>
      <c r="T86" s="203">
        <f>IF(C86=0,0,+S86/C86)</f>
        <v>0</v>
      </c>
      <c r="U86" s="118"/>
      <c r="V86" s="196">
        <f t="shared" si="84"/>
        <v>0</v>
      </c>
      <c r="W86" s="122"/>
      <c r="X86" s="122"/>
      <c r="Y86" s="2"/>
      <c r="Z86" s="2"/>
    </row>
    <row r="87" spans="1:26" x14ac:dyDescent="0.25">
      <c r="A87" s="20"/>
      <c r="B87" s="20"/>
      <c r="C87" s="274"/>
      <c r="D87" s="274"/>
      <c r="E87" s="274"/>
      <c r="F87" s="274"/>
      <c r="G87" s="303"/>
      <c r="H87" s="303"/>
      <c r="I87" s="303"/>
      <c r="J87" s="303"/>
      <c r="K87" s="94"/>
      <c r="L87" s="653">
        <f t="shared" si="87"/>
        <v>0</v>
      </c>
      <c r="M87" s="653">
        <f t="shared" si="88"/>
        <v>0</v>
      </c>
      <c r="N87" s="653">
        <f t="shared" si="89"/>
        <v>0</v>
      </c>
      <c r="O87" s="120"/>
      <c r="P87" s="81">
        <f t="shared" si="90"/>
        <v>0</v>
      </c>
      <c r="Q87" s="81">
        <f t="shared" si="91"/>
        <v>0</v>
      </c>
      <c r="R87" s="81">
        <f t="shared" si="92"/>
        <v>0</v>
      </c>
      <c r="S87" s="81">
        <f t="shared" si="93"/>
        <v>0</v>
      </c>
      <c r="T87" s="85">
        <f>IF(C87=0,0,+S87/C87)</f>
        <v>0</v>
      </c>
      <c r="U87" s="120"/>
      <c r="V87" s="196">
        <f t="shared" si="84"/>
        <v>0</v>
      </c>
      <c r="W87" s="122"/>
      <c r="X87" s="122"/>
      <c r="Y87" s="57"/>
    </row>
    <row r="88" spans="1:26" x14ac:dyDescent="0.25">
      <c r="A88" s="20"/>
      <c r="B88" s="14"/>
      <c r="C88" s="68"/>
      <c r="D88" s="93"/>
      <c r="E88" s="93"/>
      <c r="F88" s="93"/>
      <c r="G88" s="94"/>
      <c r="H88" s="94"/>
      <c r="I88" s="94"/>
      <c r="J88" s="94"/>
      <c r="K88" s="94"/>
      <c r="L88" s="649"/>
      <c r="M88" s="649"/>
      <c r="N88" s="649"/>
      <c r="O88" s="119"/>
      <c r="P88" s="81"/>
      <c r="Q88" s="81"/>
      <c r="R88" s="81"/>
      <c r="S88" s="81"/>
      <c r="T88" s="85"/>
      <c r="U88" s="119"/>
      <c r="V88" s="196">
        <f t="shared" si="84"/>
        <v>0</v>
      </c>
      <c r="W88" s="122"/>
      <c r="X88" s="122"/>
    </row>
    <row r="89" spans="1:26" x14ac:dyDescent="0.25">
      <c r="A89" s="3"/>
      <c r="B89" s="3" t="s">
        <v>377</v>
      </c>
      <c r="C89" s="89">
        <f>C13+C32+C29+C83+C86</f>
        <v>41408310.030000001</v>
      </c>
      <c r="D89" s="89">
        <f t="shared" ref="D89:J89" si="94">D13+D32+D29+D83+D86</f>
        <v>41408310</v>
      </c>
      <c r="E89" s="89">
        <f t="shared" si="94"/>
        <v>41408310</v>
      </c>
      <c r="F89" s="89">
        <f t="shared" si="94"/>
        <v>0</v>
      </c>
      <c r="G89" s="89"/>
      <c r="H89" s="89">
        <f t="shared" si="94"/>
        <v>17506348</v>
      </c>
      <c r="I89" s="89">
        <f t="shared" si="94"/>
        <v>27535325</v>
      </c>
      <c r="J89" s="89">
        <f t="shared" si="94"/>
        <v>0</v>
      </c>
      <c r="K89" s="90"/>
      <c r="L89" s="650">
        <f t="shared" si="59"/>
        <v>0.42277378592163711</v>
      </c>
      <c r="M89" s="650">
        <f t="shared" si="60"/>
        <v>0.66497099253748826</v>
      </c>
      <c r="N89" s="650">
        <f t="shared" si="61"/>
        <v>0</v>
      </c>
      <c r="O89" s="118"/>
      <c r="P89" s="90">
        <f t="shared" si="62"/>
        <v>-3.0000001192092896E-2</v>
      </c>
      <c r="Q89" s="90">
        <f t="shared" si="63"/>
        <v>0</v>
      </c>
      <c r="R89" s="90">
        <f t="shared" si="64"/>
        <v>0</v>
      </c>
      <c r="S89" s="90">
        <f>+P$10*P89+Q$10*Q89+R$10*R89</f>
        <v>-3.0000001192092896E-2</v>
      </c>
      <c r="T89" s="203">
        <f t="shared" si="65"/>
        <v>-7.2449228597733467E-10</v>
      </c>
      <c r="U89" s="118"/>
      <c r="V89" s="196">
        <f t="shared" si="75"/>
        <v>0</v>
      </c>
      <c r="W89" s="122"/>
      <c r="X89" s="122"/>
    </row>
    <row r="90" spans="1:26" ht="10.35" customHeight="1" x14ac:dyDescent="0.25"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57"/>
      <c r="M90" s="657"/>
      <c r="N90" s="657"/>
      <c r="O90" s="98"/>
      <c r="P90" s="98"/>
      <c r="Q90" s="98"/>
      <c r="R90" s="98"/>
      <c r="S90" s="98"/>
      <c r="T90" s="98"/>
      <c r="U90" s="22"/>
      <c r="V90" s="196">
        <f t="shared" si="75"/>
        <v>0</v>
      </c>
      <c r="W90" s="122"/>
      <c r="X90" s="122"/>
    </row>
    <row r="91" spans="1:26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58"/>
      <c r="M91" s="658"/>
      <c r="N91" s="658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6" ht="10.35" customHeight="1" x14ac:dyDescent="0.25"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57"/>
      <c r="M92" s="657"/>
      <c r="N92" s="657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6" s="42" customFormat="1" x14ac:dyDescent="0.25">
      <c r="A93" s="4" t="s">
        <v>241</v>
      </c>
      <c r="B93" s="3" t="s">
        <v>242</v>
      </c>
      <c r="C93" s="66">
        <f>SUM(C94:C94)</f>
        <v>0</v>
      </c>
      <c r="D93" s="66">
        <f>SUM(D94:D94)</f>
        <v>0</v>
      </c>
      <c r="E93" s="66">
        <f>SUM(E94:E94)</f>
        <v>0</v>
      </c>
      <c r="F93" s="66">
        <f>SUM(F94:F94)</f>
        <v>0</v>
      </c>
      <c r="G93" s="66"/>
      <c r="H93" s="66">
        <f>SUM(H94:H94)</f>
        <v>0</v>
      </c>
      <c r="I93" s="66">
        <f>SUM(I94:I94)</f>
        <v>0</v>
      </c>
      <c r="J93" s="66">
        <f>SUM(J94:J94)</f>
        <v>0</v>
      </c>
      <c r="K93" s="66"/>
      <c r="L93" s="650">
        <f t="shared" ref="L93:L94" si="95">IF(H93&gt;0,H93/C93,0)</f>
        <v>0</v>
      </c>
      <c r="M93" s="650">
        <f t="shared" ref="M93:M94" si="96">IF(I93&gt;0,I93/D93,0)</f>
        <v>0</v>
      </c>
      <c r="N93" s="650">
        <f t="shared" ref="N93:N94" si="97">IF(J93&gt;0,J93/E93,0)</f>
        <v>0</v>
      </c>
      <c r="O93" s="31"/>
      <c r="P93" s="66">
        <f t="shared" ref="P93:P94" si="98">+(D93-C93)*P$10</f>
        <v>0</v>
      </c>
      <c r="Q93" s="66">
        <f t="shared" ref="Q93:Q94" si="99">+(E93-D93)*Q$10</f>
        <v>0</v>
      </c>
      <c r="R93" s="66">
        <f t="shared" ref="R93:R94" si="100">+(F93-E93)*R$10</f>
        <v>0</v>
      </c>
      <c r="S93" s="66">
        <f t="shared" ref="S93:S102" si="101">+P$10*P93+Q$10*Q93+R$10*R93</f>
        <v>0</v>
      </c>
      <c r="T93" s="202">
        <f t="shared" ref="T93:T94" si="102">IF(C93=0,0,+S93/C93)</f>
        <v>0</v>
      </c>
      <c r="U93" s="118"/>
      <c r="V93" s="196">
        <f t="shared" si="75"/>
        <v>0</v>
      </c>
      <c r="W93" s="129"/>
      <c r="X93" s="129"/>
    </row>
    <row r="94" spans="1:26" x14ac:dyDescent="0.25">
      <c r="A94" s="14"/>
      <c r="B94" s="20"/>
      <c r="C94" s="142"/>
      <c r="D94" s="142"/>
      <c r="E94" s="468"/>
      <c r="F94" s="71"/>
      <c r="G94" s="117"/>
      <c r="H94" s="96"/>
      <c r="I94" s="96"/>
      <c r="J94" s="96"/>
      <c r="K94" s="117"/>
      <c r="L94" s="653">
        <f t="shared" si="95"/>
        <v>0</v>
      </c>
      <c r="M94" s="653">
        <f t="shared" si="96"/>
        <v>0</v>
      </c>
      <c r="N94" s="653">
        <f t="shared" si="97"/>
        <v>0</v>
      </c>
      <c r="O94" s="120"/>
      <c r="P94" s="81">
        <f t="shared" si="98"/>
        <v>0</v>
      </c>
      <c r="Q94" s="81">
        <f t="shared" si="99"/>
        <v>0</v>
      </c>
      <c r="R94" s="81">
        <f t="shared" si="100"/>
        <v>0</v>
      </c>
      <c r="S94" s="81">
        <f t="shared" si="101"/>
        <v>0</v>
      </c>
      <c r="T94" s="85">
        <f t="shared" si="102"/>
        <v>0</v>
      </c>
      <c r="U94" s="120"/>
      <c r="V94" s="196">
        <f>+S94-E94+C94</f>
        <v>0</v>
      </c>
      <c r="W94" s="122"/>
      <c r="X94" s="122"/>
    </row>
    <row r="95" spans="1:26" s="42" customFormat="1" x14ac:dyDescent="0.25">
      <c r="A95" s="4" t="s">
        <v>284</v>
      </c>
      <c r="B95" s="3" t="s">
        <v>285</v>
      </c>
      <c r="C95" s="66">
        <f>SUM(C96:C98)</f>
        <v>7110000</v>
      </c>
      <c r="D95" s="66">
        <f>SUM(D96:D98)</f>
        <v>7110000</v>
      </c>
      <c r="E95" s="66">
        <f>SUM(E96:E98)</f>
        <v>7110000</v>
      </c>
      <c r="F95" s="66">
        <f>SUM(F96:F98)</f>
        <v>0</v>
      </c>
      <c r="G95" s="66"/>
      <c r="H95" s="66">
        <f>SUM(H96:H98)</f>
        <v>2602942</v>
      </c>
      <c r="I95" s="66">
        <f>+I96+I97+I98</f>
        <v>4348032</v>
      </c>
      <c r="J95" s="66">
        <f>+J96+J97+J98</f>
        <v>0</v>
      </c>
      <c r="K95" s="66"/>
      <c r="L95" s="650">
        <f t="shared" ref="L95:N102" si="103">IF(H95&gt;0,H95/C95,0)</f>
        <v>0.36609592123769341</v>
      </c>
      <c r="M95" s="650">
        <f t="shared" si="103"/>
        <v>0.61153755274261601</v>
      </c>
      <c r="N95" s="650">
        <f t="shared" si="103"/>
        <v>0</v>
      </c>
      <c r="O95" s="31"/>
      <c r="P95" s="66">
        <f t="shared" ref="P95:R102" si="104">+(D95-C95)*P$10</f>
        <v>0</v>
      </c>
      <c r="Q95" s="66">
        <f t="shared" si="104"/>
        <v>0</v>
      </c>
      <c r="R95" s="66">
        <f t="shared" si="104"/>
        <v>0</v>
      </c>
      <c r="S95" s="66">
        <f t="shared" si="101"/>
        <v>0</v>
      </c>
      <c r="T95" s="202">
        <f t="shared" ref="T95:T102" si="105">IF(C95=0,0,+S95/C95)</f>
        <v>0</v>
      </c>
      <c r="U95" s="118"/>
      <c r="V95" s="196">
        <f t="shared" si="75"/>
        <v>0</v>
      </c>
      <c r="W95" s="129"/>
      <c r="X95" s="129"/>
    </row>
    <row r="96" spans="1:26" x14ac:dyDescent="0.25">
      <c r="A96" s="14" t="s">
        <v>295</v>
      </c>
      <c r="B96" s="20" t="s">
        <v>296</v>
      </c>
      <c r="C96" s="71">
        <v>6000000</v>
      </c>
      <c r="D96" s="71">
        <v>6000000</v>
      </c>
      <c r="E96" s="468">
        <v>6000000</v>
      </c>
      <c r="F96" s="71"/>
      <c r="G96" s="117"/>
      <c r="H96" s="96">
        <v>2231367</v>
      </c>
      <c r="I96" s="96">
        <v>3744937</v>
      </c>
      <c r="J96" s="96"/>
      <c r="K96" s="117"/>
      <c r="L96" s="653">
        <f t="shared" si="103"/>
        <v>0.37189450000000002</v>
      </c>
      <c r="M96" s="653">
        <f t="shared" si="103"/>
        <v>0.62415616666666662</v>
      </c>
      <c r="N96" s="653">
        <f t="shared" si="103"/>
        <v>0</v>
      </c>
      <c r="O96" s="120"/>
      <c r="P96" s="81">
        <f t="shared" si="104"/>
        <v>0</v>
      </c>
      <c r="Q96" s="81">
        <f t="shared" si="104"/>
        <v>0</v>
      </c>
      <c r="R96" s="81">
        <f t="shared" si="104"/>
        <v>0</v>
      </c>
      <c r="S96" s="81">
        <f t="shared" si="101"/>
        <v>0</v>
      </c>
      <c r="T96" s="85">
        <f t="shared" si="105"/>
        <v>0</v>
      </c>
      <c r="U96" s="120"/>
      <c r="V96" s="196">
        <f>+S96-E96+C96</f>
        <v>0</v>
      </c>
      <c r="W96" s="122"/>
      <c r="X96" s="122"/>
    </row>
    <row r="97" spans="1:24" x14ac:dyDescent="0.25">
      <c r="A97" s="14" t="s">
        <v>298</v>
      </c>
      <c r="B97" s="20" t="s">
        <v>299</v>
      </c>
      <c r="C97" s="71">
        <v>1100000</v>
      </c>
      <c r="D97" s="71">
        <v>1100000</v>
      </c>
      <c r="E97" s="142">
        <v>1100000</v>
      </c>
      <c r="F97" s="71"/>
      <c r="G97" s="117"/>
      <c r="H97" s="96">
        <v>369996</v>
      </c>
      <c r="I97" s="96">
        <v>600134</v>
      </c>
      <c r="J97" s="96"/>
      <c r="K97" s="117"/>
      <c r="L97" s="653">
        <f t="shared" si="103"/>
        <v>0.33635999999999999</v>
      </c>
      <c r="M97" s="653">
        <f t="shared" si="103"/>
        <v>0.54557636363636364</v>
      </c>
      <c r="N97" s="653">
        <f t="shared" si="103"/>
        <v>0</v>
      </c>
      <c r="O97" s="120"/>
      <c r="P97" s="81">
        <f t="shared" si="104"/>
        <v>0</v>
      </c>
      <c r="Q97" s="81">
        <f t="shared" si="104"/>
        <v>0</v>
      </c>
      <c r="R97" s="81">
        <f t="shared" si="104"/>
        <v>0</v>
      </c>
      <c r="S97" s="81">
        <f t="shared" si="101"/>
        <v>0</v>
      </c>
      <c r="T97" s="85">
        <f t="shared" si="105"/>
        <v>0</v>
      </c>
      <c r="U97" s="120"/>
      <c r="V97" s="196">
        <f t="shared" ref="V97:V99" si="106">+S97-E97+C97</f>
        <v>0</v>
      </c>
      <c r="W97" s="122"/>
      <c r="X97" s="122"/>
    </row>
    <row r="98" spans="1:24" x14ac:dyDescent="0.25">
      <c r="A98" s="532" t="s">
        <v>468</v>
      </c>
      <c r="B98" s="485" t="s">
        <v>467</v>
      </c>
      <c r="C98" s="71">
        <v>10000</v>
      </c>
      <c r="D98" s="71">
        <v>10000</v>
      </c>
      <c r="E98" s="142">
        <v>10000</v>
      </c>
      <c r="F98" s="71"/>
      <c r="G98" s="117"/>
      <c r="H98" s="96">
        <f>28+1551</f>
        <v>1579</v>
      </c>
      <c r="I98" s="96">
        <f>48+2913</f>
        <v>2961</v>
      </c>
      <c r="J98" s="96"/>
      <c r="K98" s="117"/>
      <c r="L98" s="653">
        <f t="shared" si="103"/>
        <v>0.15790000000000001</v>
      </c>
      <c r="M98" s="653">
        <f t="shared" si="103"/>
        <v>0.29609999999999997</v>
      </c>
      <c r="N98" s="653">
        <f t="shared" si="103"/>
        <v>0</v>
      </c>
      <c r="O98" s="120"/>
      <c r="P98" s="81">
        <f t="shared" si="104"/>
        <v>0</v>
      </c>
      <c r="Q98" s="81">
        <f t="shared" si="104"/>
        <v>0</v>
      </c>
      <c r="R98" s="81">
        <f t="shared" si="104"/>
        <v>0</v>
      </c>
      <c r="S98" s="81">
        <f t="shared" si="101"/>
        <v>0</v>
      </c>
      <c r="T98" s="85">
        <f t="shared" si="105"/>
        <v>0</v>
      </c>
      <c r="U98" s="120"/>
      <c r="V98" s="196">
        <f t="shared" si="106"/>
        <v>0</v>
      </c>
      <c r="W98" s="122"/>
      <c r="X98" s="122"/>
    </row>
    <row r="99" spans="1:24" s="42" customFormat="1" x14ac:dyDescent="0.25">
      <c r="A99" s="4" t="s">
        <v>333</v>
      </c>
      <c r="B99" s="3" t="s">
        <v>334</v>
      </c>
      <c r="C99" s="66">
        <f>SUM(C100:C101)</f>
        <v>34298310.030000001</v>
      </c>
      <c r="D99" s="66">
        <f t="shared" ref="D99:F99" si="107">SUM(D100:D101)</f>
        <v>34298310</v>
      </c>
      <c r="E99" s="70">
        <f t="shared" si="107"/>
        <v>34298310</v>
      </c>
      <c r="F99" s="66">
        <f t="shared" si="107"/>
        <v>0</v>
      </c>
      <c r="G99" s="66"/>
      <c r="H99" s="66">
        <f t="shared" ref="H99" si="108">SUM(H100:H101)</f>
        <v>16667105</v>
      </c>
      <c r="I99" s="66">
        <f t="shared" ref="I99" si="109">SUM(I100:I101)</f>
        <v>24834096</v>
      </c>
      <c r="J99" s="66">
        <f t="shared" ref="J99" si="110">SUM(J100:J101)</f>
        <v>0</v>
      </c>
      <c r="K99" s="66"/>
      <c r="L99" s="650">
        <f t="shared" si="103"/>
        <v>0.48594537122737647</v>
      </c>
      <c r="M99" s="650">
        <f t="shared" si="103"/>
        <v>0.72406179779703428</v>
      </c>
      <c r="N99" s="650">
        <f t="shared" si="103"/>
        <v>0</v>
      </c>
      <c r="O99" s="31"/>
      <c r="P99" s="66">
        <f t="shared" si="104"/>
        <v>-3.0000001192092896E-2</v>
      </c>
      <c r="Q99" s="66">
        <f t="shared" si="104"/>
        <v>0</v>
      </c>
      <c r="R99" s="66">
        <f t="shared" si="104"/>
        <v>0</v>
      </c>
      <c r="S99" s="66">
        <f t="shared" si="101"/>
        <v>-3.0000001192092896E-2</v>
      </c>
      <c r="T99" s="202">
        <f t="shared" si="105"/>
        <v>-8.7467869891701763E-10</v>
      </c>
      <c r="U99" s="118"/>
      <c r="V99" s="196">
        <f t="shared" si="106"/>
        <v>0</v>
      </c>
      <c r="W99" s="129"/>
      <c r="X99" s="129"/>
    </row>
    <row r="100" spans="1:24" x14ac:dyDescent="0.25">
      <c r="A100" s="14" t="s">
        <v>359</v>
      </c>
      <c r="B100" s="20" t="s">
        <v>389</v>
      </c>
      <c r="C100" s="71">
        <f>+C105</f>
        <v>33628310.030000001</v>
      </c>
      <c r="D100" s="71">
        <v>32959488</v>
      </c>
      <c r="E100" s="71">
        <v>32959488</v>
      </c>
      <c r="F100" s="71"/>
      <c r="G100" s="117"/>
      <c r="H100" s="96">
        <v>15328283</v>
      </c>
      <c r="I100" s="96">
        <v>23495274</v>
      </c>
      <c r="J100" s="96"/>
      <c r="K100" s="117"/>
      <c r="L100" s="653">
        <f t="shared" si="103"/>
        <v>0.45581484726189198</v>
      </c>
      <c r="M100" s="653">
        <f t="shared" si="103"/>
        <v>0.71285312441746673</v>
      </c>
      <c r="N100" s="653">
        <f t="shared" si="103"/>
        <v>0</v>
      </c>
      <c r="O100" s="120"/>
      <c r="P100" s="81">
        <f t="shared" si="104"/>
        <v>-668822.03000000119</v>
      </c>
      <c r="Q100" s="81">
        <f t="shared" si="104"/>
        <v>0</v>
      </c>
      <c r="R100" s="81">
        <f t="shared" si="104"/>
        <v>0</v>
      </c>
      <c r="S100" s="81">
        <f t="shared" si="101"/>
        <v>-668822.03000000119</v>
      </c>
      <c r="T100" s="85">
        <f t="shared" si="105"/>
        <v>-1.9888660161731034E-2</v>
      </c>
      <c r="U100" s="120"/>
      <c r="V100" s="196">
        <f>+S100-E100+C100</f>
        <v>0</v>
      </c>
      <c r="W100" s="122"/>
      <c r="X100" s="122"/>
    </row>
    <row r="101" spans="1:24" ht="15.75" customHeight="1" x14ac:dyDescent="0.25">
      <c r="A101" s="14" t="s">
        <v>347</v>
      </c>
      <c r="B101" s="20" t="s">
        <v>348</v>
      </c>
      <c r="C101" s="144">
        <v>670000</v>
      </c>
      <c r="D101" s="144">
        <v>1338822</v>
      </c>
      <c r="E101" s="144">
        <v>1338822</v>
      </c>
      <c r="F101" s="68"/>
      <c r="G101" s="96"/>
      <c r="H101" s="96">
        <v>1338822</v>
      </c>
      <c r="I101" s="96">
        <v>1338822</v>
      </c>
      <c r="J101" s="96"/>
      <c r="K101" s="96"/>
      <c r="L101" s="649">
        <f t="shared" si="103"/>
        <v>1.9982417910447761</v>
      </c>
      <c r="M101" s="649">
        <f t="shared" si="103"/>
        <v>1</v>
      </c>
      <c r="N101" s="649">
        <f t="shared" si="103"/>
        <v>0</v>
      </c>
      <c r="O101" s="119"/>
      <c r="P101" s="81">
        <f t="shared" si="104"/>
        <v>668822</v>
      </c>
      <c r="Q101" s="81">
        <f t="shared" si="104"/>
        <v>0</v>
      </c>
      <c r="R101" s="81">
        <f t="shared" si="104"/>
        <v>0</v>
      </c>
      <c r="S101" s="81">
        <f t="shared" si="101"/>
        <v>668822</v>
      </c>
      <c r="T101" s="85">
        <f t="shared" si="105"/>
        <v>0.99824179104477617</v>
      </c>
      <c r="U101" s="119"/>
      <c r="V101" s="196">
        <f t="shared" ref="V101:V102" si="111">+S101-E101+C101</f>
        <v>0</v>
      </c>
      <c r="W101" s="122"/>
      <c r="X101" s="122"/>
    </row>
    <row r="102" spans="1:24" x14ac:dyDescent="0.25">
      <c r="A102" s="5"/>
      <c r="B102" s="5" t="s">
        <v>376</v>
      </c>
      <c r="C102" s="67">
        <f>+C95+C99+C93</f>
        <v>41408310.030000001</v>
      </c>
      <c r="D102" s="67">
        <f>+D95+D99+D93</f>
        <v>41408310</v>
      </c>
      <c r="E102" s="67">
        <f>+E95+E99+E93</f>
        <v>41408310</v>
      </c>
      <c r="F102" s="67">
        <f>+F95+F99+F93</f>
        <v>0</v>
      </c>
      <c r="G102" s="67"/>
      <c r="H102" s="67">
        <f>+H95+H99+H93</f>
        <v>19270047</v>
      </c>
      <c r="I102" s="67">
        <f>+I95+I99+I93</f>
        <v>29182128</v>
      </c>
      <c r="J102" s="67">
        <f>+J95+J99+J93</f>
        <v>0</v>
      </c>
      <c r="K102" s="67"/>
      <c r="L102" s="650">
        <f t="shared" si="103"/>
        <v>0.46536666157201295</v>
      </c>
      <c r="M102" s="650">
        <f t="shared" si="103"/>
        <v>0.70474085998679981</v>
      </c>
      <c r="N102" s="650">
        <f t="shared" si="103"/>
        <v>0</v>
      </c>
      <c r="O102" s="31"/>
      <c r="P102" s="67">
        <f t="shared" si="104"/>
        <v>-3.0000001192092896E-2</v>
      </c>
      <c r="Q102" s="67">
        <f t="shared" si="104"/>
        <v>0</v>
      </c>
      <c r="R102" s="67">
        <f t="shared" si="104"/>
        <v>0</v>
      </c>
      <c r="S102" s="67">
        <f t="shared" si="101"/>
        <v>-3.0000001192092896E-2</v>
      </c>
      <c r="T102" s="85">
        <f t="shared" si="105"/>
        <v>-7.2449228597733467E-10</v>
      </c>
      <c r="U102" s="118"/>
      <c r="V102" s="197">
        <f t="shared" si="111"/>
        <v>0</v>
      </c>
      <c r="W102" s="122"/>
      <c r="X102" s="122"/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60"/>
      <c r="M103" s="660"/>
      <c r="N103" s="660"/>
      <c r="P103" s="98"/>
      <c r="Q103" s="98"/>
      <c r="R103" s="98"/>
      <c r="S103" s="98"/>
      <c r="T103" s="98"/>
      <c r="W103" s="122"/>
      <c r="X103" s="122"/>
    </row>
    <row r="104" spans="1:24" x14ac:dyDescent="0.25">
      <c r="B104" s="25"/>
      <c r="C104" s="97"/>
      <c r="D104" s="98"/>
      <c r="E104" s="98"/>
      <c r="F104" s="98"/>
      <c r="G104" s="98"/>
      <c r="H104" s="98"/>
      <c r="I104" s="98"/>
      <c r="J104" s="98"/>
      <c r="K104" s="98"/>
      <c r="L104" s="674"/>
      <c r="M104" s="674"/>
      <c r="N104" s="674"/>
      <c r="O104" s="19"/>
      <c r="P104" s="98"/>
      <c r="Q104" s="98"/>
      <c r="R104" s="98"/>
      <c r="S104" s="98"/>
      <c r="T104" s="98"/>
      <c r="U104" s="19"/>
      <c r="V104" s="19"/>
      <c r="W104" s="122"/>
      <c r="X104" s="122"/>
    </row>
    <row r="105" spans="1:24" x14ac:dyDescent="0.25">
      <c r="B105" s="25"/>
      <c r="C105" s="97">
        <f>+C89-C95-C101</f>
        <v>33628310.030000001</v>
      </c>
      <c r="D105" s="98"/>
      <c r="E105" s="98"/>
      <c r="F105" s="98"/>
      <c r="G105" s="98"/>
      <c r="H105" s="98"/>
      <c r="I105" s="98"/>
      <c r="J105" s="98"/>
      <c r="K105" s="98"/>
      <c r="L105" s="660"/>
      <c r="M105" s="660"/>
      <c r="N105" s="660"/>
      <c r="P105" s="98"/>
      <c r="Q105" s="98"/>
      <c r="R105" s="98"/>
      <c r="S105" s="98"/>
      <c r="T105" s="98"/>
      <c r="W105" s="122"/>
      <c r="X105" s="122"/>
    </row>
    <row r="106" spans="1:24" x14ac:dyDescent="0.25">
      <c r="B106" s="25"/>
      <c r="C106" s="97"/>
      <c r="D106" s="98"/>
      <c r="E106" s="98"/>
      <c r="F106" s="98"/>
      <c r="G106" s="98"/>
      <c r="H106" s="98"/>
      <c r="I106" s="98"/>
      <c r="J106" s="98"/>
      <c r="K106" s="98"/>
      <c r="L106" s="660"/>
      <c r="M106" s="660"/>
      <c r="N106" s="660"/>
    </row>
    <row r="107" spans="1:24" ht="26.4" x14ac:dyDescent="0.25">
      <c r="A107" s="577"/>
      <c r="B107" s="630" t="s">
        <v>517</v>
      </c>
      <c r="C107" s="631">
        <f>5440000+2601920+50000+5280000+1744000</f>
        <v>15115920</v>
      </c>
      <c r="D107" s="98"/>
      <c r="E107" s="98"/>
      <c r="F107" s="98"/>
      <c r="G107" s="98"/>
      <c r="H107" s="98"/>
      <c r="K107" s="98"/>
      <c r="L107" s="660"/>
      <c r="M107" s="660"/>
      <c r="N107" s="660"/>
    </row>
    <row r="108" spans="1:24" ht="39.6" x14ac:dyDescent="0.25">
      <c r="A108" s="26"/>
      <c r="B108" s="577" t="s">
        <v>516</v>
      </c>
      <c r="C108" s="97">
        <v>38368240</v>
      </c>
      <c r="D108" s="98">
        <f>+C105-C107</f>
        <v>18512390.030000001</v>
      </c>
      <c r="E108" s="98"/>
      <c r="F108" s="98"/>
      <c r="G108" s="98"/>
      <c r="H108" s="98"/>
      <c r="K108" s="98"/>
      <c r="L108" s="660"/>
      <c r="M108" s="660"/>
      <c r="N108" s="660"/>
    </row>
    <row r="109" spans="1:24" x14ac:dyDescent="0.25">
      <c r="B109" s="25"/>
      <c r="C109" s="97"/>
      <c r="D109" s="98"/>
      <c r="E109" s="98"/>
      <c r="F109" s="98"/>
      <c r="G109" s="98"/>
      <c r="H109" s="98"/>
      <c r="K109" s="98"/>
      <c r="L109" s="660"/>
      <c r="M109" s="660"/>
      <c r="N109" s="660"/>
    </row>
    <row r="110" spans="1:24" x14ac:dyDescent="0.25">
      <c r="B110" s="25"/>
      <c r="C110" s="97"/>
      <c r="D110" s="98"/>
      <c r="E110" s="98"/>
      <c r="F110" s="98"/>
      <c r="G110" s="98"/>
      <c r="H110" s="98"/>
      <c r="K110" s="98"/>
      <c r="L110" s="660"/>
      <c r="M110" s="660"/>
      <c r="N110" s="660"/>
    </row>
    <row r="111" spans="1:24" x14ac:dyDescent="0.25">
      <c r="B111" s="25"/>
      <c r="C111" s="97"/>
      <c r="D111" s="98"/>
      <c r="E111" s="98"/>
      <c r="F111" s="98"/>
      <c r="G111" s="98"/>
      <c r="H111" s="98"/>
      <c r="K111" s="98"/>
      <c r="L111" s="660"/>
      <c r="M111" s="660"/>
      <c r="N111" s="660"/>
    </row>
    <row r="112" spans="1:24" x14ac:dyDescent="0.25">
      <c r="B112" s="25"/>
      <c r="C112" s="97"/>
      <c r="D112" s="98"/>
      <c r="E112" s="98"/>
      <c r="F112" s="98"/>
      <c r="G112" s="98"/>
      <c r="H112" s="98"/>
      <c r="K112" s="98"/>
      <c r="L112" s="660"/>
      <c r="M112" s="660"/>
      <c r="N112" s="660"/>
    </row>
    <row r="113" spans="1:14" x14ac:dyDescent="0.25">
      <c r="C113" s="97"/>
      <c r="D113" s="98"/>
      <c r="E113" s="98"/>
      <c r="F113" s="98"/>
      <c r="G113" s="98"/>
      <c r="H113" s="98"/>
      <c r="K113" s="98"/>
      <c r="L113" s="660"/>
      <c r="M113" s="660"/>
      <c r="N113" s="660"/>
    </row>
    <row r="114" spans="1:14" x14ac:dyDescent="0.25">
      <c r="A114" s="26"/>
      <c r="B114" s="26"/>
      <c r="C114" s="97"/>
      <c r="D114" s="98"/>
      <c r="E114" s="98"/>
      <c r="F114" s="98"/>
      <c r="G114" s="98"/>
      <c r="H114" s="98"/>
      <c r="K114" s="98"/>
      <c r="L114" s="660"/>
      <c r="M114" s="660"/>
      <c r="N114" s="660"/>
    </row>
    <row r="115" spans="1:14" x14ac:dyDescent="0.25">
      <c r="B115" s="25"/>
      <c r="C115" s="97"/>
      <c r="D115" s="98"/>
      <c r="E115" s="98"/>
      <c r="F115" s="98"/>
      <c r="G115" s="98"/>
      <c r="H115" s="98"/>
      <c r="K115" s="98"/>
      <c r="L115" s="660"/>
      <c r="M115" s="660"/>
      <c r="N115" s="660"/>
    </row>
    <row r="116" spans="1:14" x14ac:dyDescent="0.25">
      <c r="B116" s="25"/>
      <c r="C116" s="97"/>
      <c r="D116" s="98"/>
      <c r="E116" s="98"/>
      <c r="F116" s="98"/>
      <c r="G116" s="98"/>
      <c r="H116" s="98"/>
      <c r="K116" s="98"/>
      <c r="L116" s="660"/>
      <c r="M116" s="660"/>
      <c r="N116" s="660"/>
    </row>
    <row r="117" spans="1:14" x14ac:dyDescent="0.25">
      <c r="B117" s="25"/>
      <c r="C117" s="97"/>
      <c r="D117" s="98"/>
      <c r="E117" s="98"/>
      <c r="F117" s="98"/>
      <c r="G117" s="98"/>
      <c r="H117" s="98"/>
      <c r="K117" s="98"/>
      <c r="L117" s="660"/>
      <c r="M117" s="660"/>
      <c r="N117" s="660"/>
    </row>
    <row r="118" spans="1:14" x14ac:dyDescent="0.25">
      <c r="B118" s="25"/>
      <c r="C118" s="97"/>
      <c r="D118" s="98"/>
      <c r="E118" s="98"/>
      <c r="F118" s="98"/>
      <c r="G118" s="98"/>
      <c r="H118" s="98"/>
      <c r="K118" s="98"/>
      <c r="L118" s="660"/>
      <c r="M118" s="660"/>
      <c r="N118" s="660"/>
    </row>
    <row r="119" spans="1:14" x14ac:dyDescent="0.25">
      <c r="B119" s="25"/>
      <c r="C119" s="97"/>
      <c r="D119" s="98"/>
      <c r="E119" s="98"/>
      <c r="F119" s="98"/>
      <c r="G119" s="98"/>
      <c r="H119" s="98"/>
      <c r="K119" s="98"/>
      <c r="L119" s="660"/>
      <c r="M119" s="660"/>
      <c r="N119" s="660"/>
    </row>
    <row r="120" spans="1:14" x14ac:dyDescent="0.25">
      <c r="B120" s="25"/>
      <c r="C120" s="97"/>
      <c r="D120" s="98"/>
      <c r="E120" s="98"/>
      <c r="F120" s="98"/>
      <c r="G120" s="98"/>
      <c r="H120" s="98"/>
      <c r="K120" s="98"/>
      <c r="L120" s="660"/>
      <c r="M120" s="660"/>
      <c r="N120" s="660"/>
    </row>
    <row r="121" spans="1:14" x14ac:dyDescent="0.25">
      <c r="B121" s="25"/>
      <c r="C121" s="97"/>
      <c r="D121" s="98"/>
      <c r="E121" s="98"/>
      <c r="F121" s="98"/>
      <c r="G121" s="98"/>
      <c r="H121" s="98"/>
      <c r="K121" s="98"/>
      <c r="L121" s="660"/>
      <c r="M121" s="660"/>
      <c r="N121" s="660"/>
    </row>
    <row r="122" spans="1:14" x14ac:dyDescent="0.25">
      <c r="B122" s="25"/>
      <c r="C122" s="97"/>
      <c r="D122" s="98"/>
      <c r="E122" s="98"/>
      <c r="F122" s="98"/>
      <c r="G122" s="98"/>
      <c r="H122" s="98"/>
      <c r="K122" s="98"/>
      <c r="L122" s="660"/>
      <c r="M122" s="660"/>
      <c r="N122" s="660"/>
    </row>
    <row r="123" spans="1:14" x14ac:dyDescent="0.25">
      <c r="C123" s="97"/>
      <c r="D123" s="98"/>
      <c r="E123" s="98"/>
      <c r="F123" s="98"/>
      <c r="G123" s="98"/>
      <c r="H123" s="98"/>
      <c r="K123" s="98"/>
      <c r="L123" s="660"/>
      <c r="M123" s="660"/>
      <c r="N123" s="660"/>
    </row>
    <row r="124" spans="1:14" x14ac:dyDescent="0.25">
      <c r="A124" s="26"/>
      <c r="B124" s="26"/>
      <c r="C124" s="97"/>
      <c r="D124" s="98"/>
      <c r="E124" s="98"/>
      <c r="F124" s="98"/>
      <c r="G124" s="98"/>
      <c r="H124" s="98"/>
      <c r="K124" s="98"/>
      <c r="L124" s="660"/>
      <c r="M124" s="660"/>
      <c r="N124" s="660"/>
    </row>
    <row r="125" spans="1:14" x14ac:dyDescent="0.25">
      <c r="B125" s="25"/>
      <c r="C125" s="97"/>
      <c r="D125" s="98"/>
      <c r="E125" s="98"/>
      <c r="F125" s="98"/>
      <c r="G125" s="98"/>
      <c r="H125" s="98"/>
      <c r="K125" s="98"/>
      <c r="L125" s="660"/>
      <c r="M125" s="660"/>
      <c r="N125" s="660"/>
    </row>
    <row r="126" spans="1:14" x14ac:dyDescent="0.25">
      <c r="B126" s="25"/>
      <c r="C126" s="97"/>
      <c r="D126" s="98"/>
      <c r="E126" s="98"/>
      <c r="F126" s="98"/>
      <c r="G126" s="98"/>
      <c r="H126" s="98"/>
      <c r="K126" s="98"/>
      <c r="L126" s="660"/>
      <c r="M126" s="660"/>
      <c r="N126" s="660"/>
    </row>
    <row r="127" spans="1:14" x14ac:dyDescent="0.25">
      <c r="B127" s="25"/>
      <c r="C127" s="97"/>
      <c r="D127" s="98"/>
      <c r="E127" s="98"/>
      <c r="F127" s="98"/>
      <c r="G127" s="98"/>
      <c r="H127" s="98"/>
      <c r="K127" s="98"/>
      <c r="L127" s="660"/>
      <c r="M127" s="660"/>
      <c r="N127" s="660"/>
    </row>
    <row r="128" spans="1:14" x14ac:dyDescent="0.25">
      <c r="B128" s="25"/>
      <c r="C128" s="97"/>
      <c r="D128" s="98"/>
      <c r="E128" s="98"/>
      <c r="F128" s="98"/>
      <c r="G128" s="98"/>
      <c r="H128" s="98"/>
      <c r="K128" s="98"/>
      <c r="L128" s="660"/>
      <c r="M128" s="660"/>
      <c r="N128" s="660"/>
    </row>
    <row r="129" spans="2:14" x14ac:dyDescent="0.25">
      <c r="B129" s="25"/>
      <c r="C129" s="97"/>
      <c r="D129" s="98"/>
      <c r="E129" s="98"/>
      <c r="F129" s="98"/>
      <c r="G129" s="98"/>
      <c r="H129" s="98"/>
      <c r="K129" s="98"/>
      <c r="L129" s="660"/>
      <c r="M129" s="660"/>
      <c r="N129" s="660"/>
    </row>
    <row r="130" spans="2:14" x14ac:dyDescent="0.25">
      <c r="B130" s="25"/>
      <c r="C130" s="97"/>
      <c r="D130" s="98"/>
      <c r="E130" s="98"/>
      <c r="F130" s="98"/>
      <c r="G130" s="98"/>
      <c r="H130" s="98"/>
      <c r="K130" s="98"/>
      <c r="L130" s="660"/>
      <c r="M130" s="660"/>
      <c r="N130" s="660"/>
    </row>
    <row r="131" spans="2:14" x14ac:dyDescent="0.25">
      <c r="B131" s="25"/>
      <c r="C131" s="97"/>
      <c r="D131" s="98"/>
      <c r="E131" s="98"/>
      <c r="F131" s="98"/>
      <c r="G131" s="98"/>
      <c r="H131" s="98"/>
      <c r="K131" s="98"/>
      <c r="L131" s="660"/>
      <c r="M131" s="660"/>
      <c r="N131" s="660"/>
    </row>
    <row r="132" spans="2:14" x14ac:dyDescent="0.25">
      <c r="B132" s="25"/>
      <c r="L132" s="660"/>
      <c r="M132" s="660"/>
      <c r="N132" s="660"/>
    </row>
    <row r="133" spans="2:14" x14ac:dyDescent="0.25">
      <c r="B133" s="25"/>
      <c r="L133" s="660"/>
      <c r="M133" s="660"/>
      <c r="N133" s="660"/>
    </row>
    <row r="134" spans="2:14" x14ac:dyDescent="0.25">
      <c r="B134" s="25"/>
      <c r="L134" s="660"/>
      <c r="M134" s="660"/>
      <c r="N134" s="660"/>
    </row>
    <row r="135" spans="2:14" x14ac:dyDescent="0.25">
      <c r="B135" s="25"/>
      <c r="L135" s="660"/>
      <c r="M135" s="660"/>
      <c r="N135" s="660"/>
    </row>
    <row r="136" spans="2:14" x14ac:dyDescent="0.25">
      <c r="B136" s="25"/>
      <c r="L136" s="660"/>
      <c r="M136" s="660"/>
      <c r="N136" s="660"/>
    </row>
    <row r="137" spans="2:14" x14ac:dyDescent="0.25">
      <c r="B137" s="25"/>
      <c r="L137" s="660"/>
      <c r="M137" s="660"/>
      <c r="N137" s="660"/>
    </row>
    <row r="138" spans="2:14" x14ac:dyDescent="0.25">
      <c r="B138" s="25"/>
      <c r="L138" s="660"/>
      <c r="M138" s="660"/>
      <c r="N138" s="660"/>
    </row>
    <row r="139" spans="2:14" x14ac:dyDescent="0.25">
      <c r="B139" s="25"/>
      <c r="L139" s="660"/>
      <c r="M139" s="660"/>
      <c r="N139" s="660"/>
    </row>
    <row r="140" spans="2:14" x14ac:dyDescent="0.25">
      <c r="B140" s="25"/>
      <c r="L140" s="660"/>
      <c r="M140" s="660"/>
      <c r="N140" s="660"/>
    </row>
    <row r="141" spans="2:14" x14ac:dyDescent="0.25">
      <c r="B141" s="25"/>
      <c r="L141" s="660"/>
      <c r="M141" s="660"/>
      <c r="N141" s="660"/>
    </row>
    <row r="142" spans="2:14" x14ac:dyDescent="0.25">
      <c r="B142" s="25"/>
      <c r="L142" s="660"/>
      <c r="M142" s="660"/>
      <c r="N142" s="660"/>
    </row>
    <row r="143" spans="2:14" x14ac:dyDescent="0.25">
      <c r="B143" s="25"/>
      <c r="L143" s="660"/>
      <c r="M143" s="660"/>
      <c r="N143" s="660"/>
    </row>
    <row r="144" spans="2:14" x14ac:dyDescent="0.25">
      <c r="B144" s="25"/>
    </row>
    <row r="145" spans="2:2" x14ac:dyDescent="0.25">
      <c r="B145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9" scale="64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zoomScaleNormal="100" zoomScaleSheetLayoutView="100" workbookViewId="0">
      <selection activeCell="F11" sqref="F11"/>
    </sheetView>
  </sheetViews>
  <sheetFormatPr defaultRowHeight="13.2" x14ac:dyDescent="0.25"/>
  <cols>
    <col min="1" max="1" width="6.44140625" style="13" bestFit="1" customWidth="1"/>
    <col min="2" max="2" width="57.44140625" style="13" customWidth="1"/>
    <col min="3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2" width="15.5546875" style="13" customWidth="1"/>
    <col min="13" max="13" width="13.44140625" style="13" bestFit="1" customWidth="1"/>
    <col min="14" max="14" width="15.5546875" style="13" hidden="1" customWidth="1"/>
    <col min="15" max="15" width="0.6640625" style="13" customWidth="1"/>
    <col min="16" max="17" width="15.5546875" style="13" customWidth="1"/>
    <col min="18" max="18" width="15.5546875" style="13" hidden="1" customWidth="1"/>
    <col min="19" max="19" width="15.5546875" style="13" customWidth="1"/>
    <col min="20" max="20" width="7.33203125" style="13" customWidth="1"/>
    <col min="21" max="21" width="2.6640625" style="13" customWidth="1"/>
    <col min="22" max="22" width="3.44140625" style="13" customWidth="1"/>
    <col min="23" max="23" width="14.5546875" bestFit="1" customWidth="1"/>
    <col min="24" max="24" width="15.44140625" bestFit="1" customWidth="1"/>
  </cols>
  <sheetData>
    <row r="1" spans="1:26" ht="24.6" x14ac:dyDescent="0.4">
      <c r="A1" s="230" t="s">
        <v>469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x14ac:dyDescent="0.25">
      <c r="A4" s="64"/>
      <c r="B4" s="65"/>
      <c r="C4" s="88"/>
      <c r="D4" s="88"/>
      <c r="E4" s="88"/>
      <c r="F4" s="88"/>
      <c r="G4" s="88"/>
      <c r="H4" s="88"/>
      <c r="I4" s="88"/>
      <c r="J4" s="88"/>
      <c r="K4" s="88"/>
      <c r="L4" s="65"/>
      <c r="M4" s="65"/>
      <c r="N4" s="65"/>
      <c r="O4" s="65"/>
      <c r="P4" s="88"/>
      <c r="Q4" s="88"/>
      <c r="R4" s="88"/>
      <c r="S4" s="88"/>
      <c r="T4" s="88"/>
      <c r="U4" s="65"/>
      <c r="V4" s="255"/>
      <c r="W4" s="122"/>
      <c r="X4" s="122"/>
    </row>
    <row r="5" spans="1:26" ht="20.100000000000001" customHeight="1" x14ac:dyDescent="0.3">
      <c r="A5" s="251"/>
      <c r="B5" s="251" t="s">
        <v>377</v>
      </c>
      <c r="C5" s="252">
        <f>+C90</f>
        <v>193219000</v>
      </c>
      <c r="D5" s="252">
        <f t="shared" ref="D5:F5" si="0">+D90</f>
        <v>193219000</v>
      </c>
      <c r="E5" s="252">
        <f t="shared" si="0"/>
        <v>193219000</v>
      </c>
      <c r="F5" s="252">
        <f t="shared" si="0"/>
        <v>0</v>
      </c>
      <c r="G5" s="252"/>
      <c r="H5" s="252">
        <f t="shared" ref="H5:J5" si="1">+H90</f>
        <v>91525357</v>
      </c>
      <c r="I5" s="252">
        <f t="shared" si="1"/>
        <v>138520194</v>
      </c>
      <c r="J5" s="252">
        <f t="shared" si="1"/>
        <v>0</v>
      </c>
      <c r="K5" s="89"/>
      <c r="L5" s="701">
        <f t="shared" ref="L5:N6" si="2">IF(H5&gt;0,H5/C5,0)</f>
        <v>0.47368714774426945</v>
      </c>
      <c r="M5" s="701">
        <f t="shared" si="2"/>
        <v>0.71690772646582379</v>
      </c>
      <c r="N5" s="31">
        <f t="shared" si="2"/>
        <v>0</v>
      </c>
      <c r="O5" s="31"/>
      <c r="P5" s="252">
        <f t="shared" ref="P5:S5" si="3">+P90</f>
        <v>0</v>
      </c>
      <c r="Q5" s="252">
        <f t="shared" si="3"/>
        <v>0</v>
      </c>
      <c r="R5" s="252">
        <f t="shared" si="3"/>
        <v>0</v>
      </c>
      <c r="S5" s="252">
        <f t="shared" si="3"/>
        <v>0</v>
      </c>
      <c r="T5" s="133">
        <f>IF(C5=0,0,+S5/C5)</f>
        <v>0</v>
      </c>
      <c r="U5" s="118"/>
      <c r="V5" s="199">
        <f t="shared" ref="V5:V7" si="4">+S5-E5+C5</f>
        <v>0</v>
      </c>
      <c r="W5" s="122"/>
      <c r="X5" s="122"/>
    </row>
    <row r="6" spans="1:26" ht="20.100000000000001" customHeight="1" x14ac:dyDescent="0.3">
      <c r="A6" s="253"/>
      <c r="B6" s="253" t="s">
        <v>376</v>
      </c>
      <c r="C6" s="254">
        <f>+C102</f>
        <v>193219000</v>
      </c>
      <c r="D6" s="254">
        <f t="shared" ref="D6:F6" si="5">+D102</f>
        <v>193219000</v>
      </c>
      <c r="E6" s="254">
        <f t="shared" si="5"/>
        <v>193219000</v>
      </c>
      <c r="F6" s="254">
        <f t="shared" si="5"/>
        <v>0</v>
      </c>
      <c r="G6" s="254"/>
      <c r="H6" s="254">
        <f t="shared" ref="H6:J6" si="6">+H102</f>
        <v>94142924</v>
      </c>
      <c r="I6" s="254">
        <f t="shared" si="6"/>
        <v>140304647</v>
      </c>
      <c r="J6" s="254">
        <f t="shared" si="6"/>
        <v>0</v>
      </c>
      <c r="K6" s="67"/>
      <c r="L6" s="701">
        <f t="shared" si="2"/>
        <v>0.48723429890435205</v>
      </c>
      <c r="M6" s="701">
        <f t="shared" si="2"/>
        <v>0.72614311739528725</v>
      </c>
      <c r="N6" s="31">
        <f t="shared" si="2"/>
        <v>0</v>
      </c>
      <c r="O6" s="31"/>
      <c r="P6" s="254">
        <f t="shared" ref="P6:S6" si="7">+P102</f>
        <v>0</v>
      </c>
      <c r="Q6" s="254">
        <f t="shared" si="7"/>
        <v>0</v>
      </c>
      <c r="R6" s="254">
        <f t="shared" si="7"/>
        <v>0</v>
      </c>
      <c r="S6" s="254">
        <f t="shared" si="7"/>
        <v>0</v>
      </c>
      <c r="T6" s="31">
        <f>IF(C6=0,0,+S6/C6)</f>
        <v>0</v>
      </c>
      <c r="U6" s="118"/>
      <c r="V6" s="199">
        <f t="shared" si="4"/>
        <v>0</v>
      </c>
      <c r="W6" s="122"/>
      <c r="X6" s="122"/>
    </row>
    <row r="7" spans="1:26" ht="20.100000000000001" customHeight="1" x14ac:dyDescent="0.3">
      <c r="A7" s="253"/>
      <c r="B7" s="253" t="s">
        <v>411</v>
      </c>
      <c r="C7" s="254">
        <f>+C6-C5</f>
        <v>0</v>
      </c>
      <c r="D7" s="254">
        <f t="shared" ref="D7:H7" si="8">+D6-D5</f>
        <v>0</v>
      </c>
      <c r="E7" s="254">
        <f t="shared" si="8"/>
        <v>0</v>
      </c>
      <c r="F7" s="254">
        <f t="shared" si="8"/>
        <v>0</v>
      </c>
      <c r="G7" s="254"/>
      <c r="H7" s="254">
        <f t="shared" si="8"/>
        <v>2617567</v>
      </c>
      <c r="I7" s="254">
        <f>+I6-I5</f>
        <v>1784453</v>
      </c>
      <c r="J7" s="254">
        <f t="shared" ref="J7" si="9">+J6-J5</f>
        <v>0</v>
      </c>
      <c r="K7" s="67"/>
      <c r="L7" s="701"/>
      <c r="M7" s="701"/>
      <c r="N7" s="31"/>
      <c r="O7" s="31"/>
      <c r="P7" s="254">
        <f t="shared" ref="P7:S7" si="10">+P6-P5</f>
        <v>0</v>
      </c>
      <c r="Q7" s="254">
        <f t="shared" si="10"/>
        <v>0</v>
      </c>
      <c r="R7" s="254">
        <f t="shared" si="10"/>
        <v>0</v>
      </c>
      <c r="S7" s="254">
        <f t="shared" si="10"/>
        <v>0</v>
      </c>
      <c r="T7" s="31">
        <f>IF(C7=0,0,+S7/C7)</f>
        <v>0</v>
      </c>
      <c r="U7" s="118"/>
      <c r="V7" s="199">
        <f t="shared" si="4"/>
        <v>0</v>
      </c>
      <c r="W7" s="122"/>
      <c r="X7" s="122"/>
    </row>
    <row r="8" spans="1:26" x14ac:dyDescent="0.25">
      <c r="A8" s="237"/>
      <c r="B8" s="238"/>
      <c r="C8" s="671"/>
      <c r="D8" s="672"/>
      <c r="E8" s="672"/>
      <c r="F8" s="672"/>
      <c r="G8" s="673"/>
      <c r="H8" s="673"/>
      <c r="I8" s="673"/>
      <c r="J8" s="673"/>
      <c r="K8" s="673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912" t="s">
        <v>410</v>
      </c>
      <c r="D9" s="920"/>
      <c r="E9" s="920"/>
      <c r="F9" s="921"/>
      <c r="G9" s="154"/>
      <c r="H9" s="912" t="s">
        <v>409</v>
      </c>
      <c r="I9" s="920"/>
      <c r="J9" s="920"/>
      <c r="K9" s="920"/>
      <c r="L9" s="920"/>
      <c r="M9" s="920"/>
      <c r="N9" s="921"/>
      <c r="O9" s="154"/>
      <c r="P9" s="912" t="s">
        <v>406</v>
      </c>
      <c r="Q9" s="920"/>
      <c r="R9" s="920"/>
      <c r="S9" s="920"/>
      <c r="T9" s="921"/>
      <c r="U9" s="200"/>
      <c r="V9" s="196"/>
      <c r="W9" s="122"/>
      <c r="X9" s="122"/>
    </row>
    <row r="10" spans="1:26" x14ac:dyDescent="0.25">
      <c r="A10" s="64"/>
      <c r="B10" s="65"/>
      <c r="C10" s="235"/>
      <c r="D10" s="88"/>
      <c r="E10" s="88"/>
      <c r="F10" s="236"/>
      <c r="G10" s="134"/>
      <c r="H10" s="909" t="s">
        <v>422</v>
      </c>
      <c r="I10" s="922"/>
      <c r="J10" s="923"/>
      <c r="K10" s="134"/>
      <c r="L10" s="909" t="s">
        <v>421</v>
      </c>
      <c r="M10" s="922"/>
      <c r="N10" s="923"/>
      <c r="O10" s="135"/>
      <c r="P10" s="128">
        <f>+' 2. Önk. Bevételek'!P8</f>
        <v>1</v>
      </c>
      <c r="Q10" s="128">
        <f>+' 2. Önk. Bevételek'!Q8</f>
        <v>1</v>
      </c>
      <c r="R10" s="128">
        <f>+' 2. Önk. Bevételek'!R8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71.400000000000006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510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  <c r="W11" s="122"/>
      <c r="X11" s="122"/>
    </row>
    <row r="12" spans="1:26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75"/>
      <c r="M12" s="676"/>
      <c r="N12" s="16"/>
      <c r="O12" s="68"/>
      <c r="P12" s="68"/>
      <c r="Q12" s="68"/>
      <c r="R12" s="68"/>
      <c r="S12" s="68"/>
      <c r="T12" s="68"/>
      <c r="U12" s="68"/>
      <c r="V12" s="257"/>
    </row>
    <row r="13" spans="1:26" x14ac:dyDescent="0.25">
      <c r="A13" s="291" t="s">
        <v>0</v>
      </c>
      <c r="B13" s="291" t="s">
        <v>3</v>
      </c>
      <c r="C13" s="292">
        <f>SUM(C15:C29)</f>
        <v>145684000</v>
      </c>
      <c r="D13" s="292">
        <f t="shared" ref="D13:J13" si="11">SUM(D15:D29)</f>
        <v>145684000</v>
      </c>
      <c r="E13" s="292">
        <f t="shared" si="11"/>
        <v>145684000</v>
      </c>
      <c r="F13" s="292">
        <f t="shared" si="11"/>
        <v>0</v>
      </c>
      <c r="G13" s="292"/>
      <c r="H13" s="292">
        <f t="shared" si="11"/>
        <v>69259443</v>
      </c>
      <c r="I13" s="292">
        <f t="shared" si="11"/>
        <v>106851886</v>
      </c>
      <c r="J13" s="292">
        <f t="shared" si="11"/>
        <v>0</v>
      </c>
      <c r="K13" s="292">
        <f t="shared" ref="K13" si="12">SUM(K15:K28)</f>
        <v>0</v>
      </c>
      <c r="L13" s="677">
        <f>IF(H13&gt;0,H13/C13,0)</f>
        <v>0.47540871337964363</v>
      </c>
      <c r="M13" s="677">
        <f>IF(I13&gt;0,I13/D13,0)</f>
        <v>0.73344969934927651</v>
      </c>
      <c r="N13" s="53">
        <f>IF(J13&gt;0,J13/E13,0)</f>
        <v>0</v>
      </c>
      <c r="O13" s="292">
        <f>SUM(O15:O28)</f>
        <v>0</v>
      </c>
      <c r="P13" s="292">
        <f>+(D13-C13)*P$10</f>
        <v>0</v>
      </c>
      <c r="Q13" s="292">
        <f>+(E13-D13)*Q$10</f>
        <v>0</v>
      </c>
      <c r="R13" s="292">
        <f>+(F13-E13)*R$10</f>
        <v>0</v>
      </c>
      <c r="S13" s="292">
        <f t="shared" ref="S13:S14" si="13">+P13*P$10+Q13*Q$10+R13*R$10</f>
        <v>0</v>
      </c>
      <c r="T13" s="263">
        <f>IF(C13=0,0,+S13/C13)</f>
        <v>0</v>
      </c>
      <c r="U13" s="120"/>
      <c r="V13" s="196">
        <f t="shared" ref="V13" si="14">+S13-E13+C13</f>
        <v>0</v>
      </c>
      <c r="W13">
        <f t="shared" ref="W13" si="15">+T13-F13+D13</f>
        <v>145684000</v>
      </c>
    </row>
    <row r="14" spans="1:26" x14ac:dyDescent="0.25">
      <c r="A14" s="15" t="s">
        <v>1</v>
      </c>
      <c r="B14" s="15"/>
      <c r="C14" s="69"/>
      <c r="D14" s="91"/>
      <c r="E14" s="91"/>
      <c r="F14" s="91"/>
      <c r="G14" s="92"/>
      <c r="H14" s="92"/>
      <c r="I14" s="92"/>
      <c r="J14" s="92"/>
      <c r="K14" s="92"/>
      <c r="L14" s="649"/>
      <c r="M14" s="649"/>
      <c r="N14" s="136"/>
      <c r="O14" s="119"/>
      <c r="P14" s="92"/>
      <c r="Q14" s="92"/>
      <c r="R14" s="92"/>
      <c r="S14" s="92">
        <f t="shared" si="13"/>
        <v>0</v>
      </c>
      <c r="T14" s="152"/>
      <c r="U14" s="119"/>
      <c r="V14" s="196">
        <f t="shared" ref="V14" si="16">+S14-E14+C14</f>
        <v>0</v>
      </c>
      <c r="W14" s="122"/>
      <c r="X14" s="122"/>
    </row>
    <row r="15" spans="1:26" x14ac:dyDescent="0.25">
      <c r="A15" s="14" t="s">
        <v>2</v>
      </c>
      <c r="B15" s="54" t="s">
        <v>400</v>
      </c>
      <c r="C15" s="145">
        <v>138218000</v>
      </c>
      <c r="D15" s="145">
        <v>138218000</v>
      </c>
      <c r="E15" s="145">
        <v>138218000</v>
      </c>
      <c r="F15" s="145"/>
      <c r="G15" s="145"/>
      <c r="H15" s="145">
        <v>67375414</v>
      </c>
      <c r="I15" s="145">
        <v>101955918</v>
      </c>
      <c r="J15" s="145"/>
      <c r="K15" s="145"/>
      <c r="L15" s="651">
        <f t="shared" ref="L15:L28" si="17">IF(H15&gt;0,H15/C15,0)</f>
        <v>0.48745759597158111</v>
      </c>
      <c r="M15" s="651">
        <f t="shared" ref="M15:M28" si="18">IF(I15&gt;0,I15/D15,0)</f>
        <v>0.73764573355134644</v>
      </c>
      <c r="N15" s="207">
        <f t="shared" ref="N15:N29" si="19">IF(J15&gt;0,J15/E15,0)</f>
        <v>0</v>
      </c>
      <c r="O15" s="145"/>
      <c r="P15" s="81">
        <f>+(D15-C15)*P$10</f>
        <v>0</v>
      </c>
      <c r="Q15" s="81">
        <f>+(E15-D15)*Q$10</f>
        <v>0</v>
      </c>
      <c r="R15" s="81">
        <f>+(F15-E15)*R$10</f>
        <v>0</v>
      </c>
      <c r="S15" s="81">
        <f>+P15*P$10+Q15*Q$10+R15*R$10</f>
        <v>0</v>
      </c>
      <c r="T15" s="283">
        <f>IF(C15=0,0,+S15/C15)</f>
        <v>0</v>
      </c>
      <c r="U15" s="120"/>
      <c r="V15" s="196">
        <f t="shared" ref="V15" si="20">+S15-E15+C15</f>
        <v>0</v>
      </c>
      <c r="X15" s="2"/>
    </row>
    <row r="16" spans="1:26" ht="26.4" x14ac:dyDescent="0.25">
      <c r="A16" s="14"/>
      <c r="B16" s="54" t="s">
        <v>399</v>
      </c>
      <c r="C16" s="145">
        <v>0</v>
      </c>
      <c r="D16" s="145">
        <v>0</v>
      </c>
      <c r="E16" s="145"/>
      <c r="F16" s="145"/>
      <c r="G16" s="145"/>
      <c r="H16" s="145">
        <v>0</v>
      </c>
      <c r="I16" s="145"/>
      <c r="J16" s="145"/>
      <c r="K16" s="145"/>
      <c r="L16" s="651">
        <f t="shared" si="17"/>
        <v>0</v>
      </c>
      <c r="M16" s="651">
        <f t="shared" si="18"/>
        <v>0</v>
      </c>
      <c r="N16" s="207">
        <f t="shared" si="19"/>
        <v>0</v>
      </c>
      <c r="O16" s="145"/>
      <c r="P16" s="81">
        <f t="shared" ref="P16:P30" si="21">+(D16-C16)*P$10</f>
        <v>0</v>
      </c>
      <c r="Q16" s="81">
        <f t="shared" ref="Q16:Q30" si="22">+(E16-D16)*Q$10</f>
        <v>0</v>
      </c>
      <c r="R16" s="81">
        <f t="shared" ref="R16:R30" si="23">+(F16-E16)*R$10</f>
        <v>0</v>
      </c>
      <c r="S16" s="81">
        <f t="shared" ref="S16:S31" si="24">+P16*P$10+Q16*Q$10+R16*R$10</f>
        <v>0</v>
      </c>
      <c r="T16" s="283">
        <f t="shared" ref="T16:T30" si="25">IF(C16=0,0,+S16/C16)</f>
        <v>0</v>
      </c>
      <c r="U16" s="120"/>
      <c r="V16" s="196">
        <f t="shared" ref="V16:V30" si="26">+S16-E16+C16</f>
        <v>0</v>
      </c>
      <c r="X16" s="2"/>
    </row>
    <row r="17" spans="1:24" x14ac:dyDescent="0.25">
      <c r="A17" s="14" t="s">
        <v>12</v>
      </c>
      <c r="B17" s="20" t="s">
        <v>4</v>
      </c>
      <c r="C17" s="68">
        <v>0</v>
      </c>
      <c r="D17" s="68">
        <v>0</v>
      </c>
      <c r="E17" s="68"/>
      <c r="F17" s="68"/>
      <c r="G17" s="68"/>
      <c r="H17" s="68">
        <v>0</v>
      </c>
      <c r="I17" s="68"/>
      <c r="J17" s="68"/>
      <c r="K17" s="68"/>
      <c r="L17" s="651">
        <f t="shared" si="17"/>
        <v>0</v>
      </c>
      <c r="M17" s="651">
        <f t="shared" si="18"/>
        <v>0</v>
      </c>
      <c r="N17" s="207">
        <f t="shared" si="19"/>
        <v>0</v>
      </c>
      <c r="O17" s="68"/>
      <c r="P17" s="81">
        <f t="shared" si="21"/>
        <v>0</v>
      </c>
      <c r="Q17" s="81">
        <f t="shared" si="22"/>
        <v>0</v>
      </c>
      <c r="R17" s="81">
        <f t="shared" si="23"/>
        <v>0</v>
      </c>
      <c r="S17" s="81">
        <f t="shared" si="24"/>
        <v>0</v>
      </c>
      <c r="T17" s="283">
        <f t="shared" si="25"/>
        <v>0</v>
      </c>
      <c r="U17" s="120"/>
      <c r="V17" s="196">
        <f t="shared" si="26"/>
        <v>0</v>
      </c>
    </row>
    <row r="18" spans="1:24" x14ac:dyDescent="0.25">
      <c r="A18" s="14" t="s">
        <v>13</v>
      </c>
      <c r="B18" s="20" t="s">
        <v>5</v>
      </c>
      <c r="C18" s="68">
        <v>0</v>
      </c>
      <c r="D18" s="68">
        <v>0</v>
      </c>
      <c r="E18" s="68"/>
      <c r="F18" s="68"/>
      <c r="G18" s="68"/>
      <c r="H18" s="68">
        <v>0</v>
      </c>
      <c r="I18" s="68"/>
      <c r="J18" s="68"/>
      <c r="K18" s="68"/>
      <c r="L18" s="651">
        <f t="shared" si="17"/>
        <v>0</v>
      </c>
      <c r="M18" s="651">
        <f t="shared" si="18"/>
        <v>0</v>
      </c>
      <c r="N18" s="207">
        <f t="shared" si="19"/>
        <v>0</v>
      </c>
      <c r="O18" s="68"/>
      <c r="P18" s="81">
        <f t="shared" si="21"/>
        <v>0</v>
      </c>
      <c r="Q18" s="81">
        <f t="shared" si="22"/>
        <v>0</v>
      </c>
      <c r="R18" s="81">
        <f t="shared" si="23"/>
        <v>0</v>
      </c>
      <c r="S18" s="81">
        <f t="shared" si="24"/>
        <v>0</v>
      </c>
      <c r="T18" s="283">
        <f t="shared" si="25"/>
        <v>0</v>
      </c>
      <c r="U18" s="120"/>
      <c r="V18" s="196">
        <f t="shared" si="26"/>
        <v>0</v>
      </c>
    </row>
    <row r="19" spans="1:24" x14ac:dyDescent="0.25">
      <c r="A19" s="14" t="s">
        <v>385</v>
      </c>
      <c r="B19" s="20" t="s">
        <v>6</v>
      </c>
      <c r="C19" s="145">
        <v>1517000</v>
      </c>
      <c r="D19" s="68">
        <v>1517000</v>
      </c>
      <c r="E19" s="68">
        <v>1517000</v>
      </c>
      <c r="F19" s="68"/>
      <c r="G19" s="68"/>
      <c r="H19" s="68">
        <v>0</v>
      </c>
      <c r="I19" s="68">
        <v>931770</v>
      </c>
      <c r="J19" s="68"/>
      <c r="K19" s="68"/>
      <c r="L19" s="651">
        <f t="shared" si="17"/>
        <v>0</v>
      </c>
      <c r="M19" s="651">
        <f t="shared" si="18"/>
        <v>0.61421885299934076</v>
      </c>
      <c r="N19" s="207">
        <f t="shared" si="19"/>
        <v>0</v>
      </c>
      <c r="O19" s="68"/>
      <c r="P19" s="81">
        <f t="shared" si="21"/>
        <v>0</v>
      </c>
      <c r="Q19" s="81">
        <f t="shared" si="22"/>
        <v>0</v>
      </c>
      <c r="R19" s="81">
        <f t="shared" si="23"/>
        <v>0</v>
      </c>
      <c r="S19" s="81">
        <f t="shared" si="24"/>
        <v>0</v>
      </c>
      <c r="T19" s="283">
        <f t="shared" si="25"/>
        <v>0</v>
      </c>
      <c r="U19" s="120"/>
      <c r="V19" s="196">
        <f t="shared" si="26"/>
        <v>0</v>
      </c>
      <c r="W19" s="2"/>
    </row>
    <row r="20" spans="1:24" x14ac:dyDescent="0.25">
      <c r="A20" s="14" t="s">
        <v>14</v>
      </c>
      <c r="B20" s="20" t="s">
        <v>7</v>
      </c>
      <c r="C20" s="145">
        <f>43*5000*12</f>
        <v>2580000</v>
      </c>
      <c r="D20" s="68">
        <v>2580000</v>
      </c>
      <c r="E20" s="68">
        <f>905901+1674099</f>
        <v>2580000</v>
      </c>
      <c r="F20" s="68"/>
      <c r="G20" s="68"/>
      <c r="H20" s="68">
        <v>0</v>
      </c>
      <c r="I20" s="68">
        <v>1674099</v>
      </c>
      <c r="J20" s="68"/>
      <c r="K20" s="68"/>
      <c r="L20" s="651">
        <f t="shared" si="17"/>
        <v>0</v>
      </c>
      <c r="M20" s="651">
        <f t="shared" si="18"/>
        <v>0.64887558139534884</v>
      </c>
      <c r="N20" s="207">
        <f t="shared" si="19"/>
        <v>0</v>
      </c>
      <c r="O20" s="68"/>
      <c r="P20" s="81">
        <f t="shared" si="21"/>
        <v>0</v>
      </c>
      <c r="Q20" s="81">
        <f t="shared" si="22"/>
        <v>0</v>
      </c>
      <c r="R20" s="81">
        <f t="shared" si="23"/>
        <v>0</v>
      </c>
      <c r="S20" s="81">
        <f t="shared" si="24"/>
        <v>0</v>
      </c>
      <c r="T20" s="283">
        <f t="shared" si="25"/>
        <v>0</v>
      </c>
      <c r="U20" s="120"/>
      <c r="V20" s="196">
        <f t="shared" si="26"/>
        <v>0</v>
      </c>
      <c r="W20" s="2"/>
    </row>
    <row r="21" spans="1:24" x14ac:dyDescent="0.25">
      <c r="A21" s="14" t="s">
        <v>15</v>
      </c>
      <c r="B21" s="20" t="s">
        <v>8</v>
      </c>
      <c r="C21" s="68">
        <f>43*25000</f>
        <v>1075000</v>
      </c>
      <c r="D21" s="68">
        <v>455000</v>
      </c>
      <c r="E21" s="68">
        <v>205000</v>
      </c>
      <c r="F21" s="68"/>
      <c r="G21" s="68"/>
      <c r="H21" s="68">
        <v>0</v>
      </c>
      <c r="I21" s="68"/>
      <c r="J21" s="68"/>
      <c r="K21" s="68"/>
      <c r="L21" s="651">
        <f t="shared" si="17"/>
        <v>0</v>
      </c>
      <c r="M21" s="651">
        <f t="shared" si="18"/>
        <v>0</v>
      </c>
      <c r="N21" s="207">
        <f t="shared" si="19"/>
        <v>0</v>
      </c>
      <c r="O21" s="68"/>
      <c r="P21" s="81">
        <f t="shared" si="21"/>
        <v>-620000</v>
      </c>
      <c r="Q21" s="81">
        <f t="shared" si="22"/>
        <v>-250000</v>
      </c>
      <c r="R21" s="81">
        <f t="shared" si="23"/>
        <v>0</v>
      </c>
      <c r="S21" s="81">
        <f t="shared" si="24"/>
        <v>-870000</v>
      </c>
      <c r="T21" s="283">
        <f t="shared" si="25"/>
        <v>-0.80930232558139537</v>
      </c>
      <c r="U21" s="120"/>
      <c r="V21" s="196">
        <f t="shared" si="26"/>
        <v>0</v>
      </c>
    </row>
    <row r="22" spans="1:24" x14ac:dyDescent="0.25">
      <c r="A22" s="14" t="s">
        <v>16</v>
      </c>
      <c r="B22" s="20" t="s">
        <v>9</v>
      </c>
      <c r="C22" s="68">
        <v>700000</v>
      </c>
      <c r="D22" s="68">
        <v>700000</v>
      </c>
      <c r="E22" s="68">
        <v>700000</v>
      </c>
      <c r="F22" s="68"/>
      <c r="G22" s="68"/>
      <c r="H22" s="68">
        <v>175020</v>
      </c>
      <c r="I22" s="68">
        <v>276390</v>
      </c>
      <c r="J22" s="68"/>
      <c r="K22" s="68"/>
      <c r="L22" s="651">
        <f t="shared" si="17"/>
        <v>0.25002857142857143</v>
      </c>
      <c r="M22" s="651">
        <f t="shared" si="18"/>
        <v>0.39484285714285716</v>
      </c>
      <c r="N22" s="207">
        <f t="shared" si="19"/>
        <v>0</v>
      </c>
      <c r="O22" s="68"/>
      <c r="P22" s="81">
        <f t="shared" si="21"/>
        <v>0</v>
      </c>
      <c r="Q22" s="81">
        <f t="shared" si="22"/>
        <v>0</v>
      </c>
      <c r="R22" s="81">
        <f t="shared" si="23"/>
        <v>0</v>
      </c>
      <c r="S22" s="81">
        <f t="shared" si="24"/>
        <v>0</v>
      </c>
      <c r="T22" s="283">
        <f t="shared" si="25"/>
        <v>0</v>
      </c>
      <c r="U22" s="120"/>
      <c r="V22" s="196">
        <f t="shared" si="26"/>
        <v>0</v>
      </c>
      <c r="X22" s="37"/>
    </row>
    <row r="23" spans="1:24" x14ac:dyDescent="0.25">
      <c r="A23" s="14" t="s">
        <v>17</v>
      </c>
      <c r="B23" s="20" t="s">
        <v>10</v>
      </c>
      <c r="C23" s="68"/>
      <c r="D23" s="68"/>
      <c r="E23" s="68"/>
      <c r="F23" s="68"/>
      <c r="G23" s="68"/>
      <c r="H23" s="68"/>
      <c r="I23" s="68"/>
      <c r="J23" s="68"/>
      <c r="K23" s="68"/>
      <c r="L23" s="651">
        <f t="shared" si="17"/>
        <v>0</v>
      </c>
      <c r="M23" s="651">
        <f t="shared" si="18"/>
        <v>0</v>
      </c>
      <c r="N23" s="207">
        <f t="shared" si="19"/>
        <v>0</v>
      </c>
      <c r="O23" s="68"/>
      <c r="P23" s="81">
        <f t="shared" si="21"/>
        <v>0</v>
      </c>
      <c r="Q23" s="81">
        <f t="shared" si="22"/>
        <v>0</v>
      </c>
      <c r="R23" s="81">
        <f t="shared" si="23"/>
        <v>0</v>
      </c>
      <c r="S23" s="81">
        <f t="shared" si="24"/>
        <v>0</v>
      </c>
      <c r="T23" s="283">
        <f t="shared" si="25"/>
        <v>0</v>
      </c>
      <c r="U23" s="120"/>
      <c r="V23" s="196">
        <f t="shared" si="26"/>
        <v>0</v>
      </c>
    </row>
    <row r="24" spans="1:24" x14ac:dyDescent="0.25">
      <c r="A24" s="14" t="s">
        <v>18</v>
      </c>
      <c r="B24" s="20" t="s">
        <v>11</v>
      </c>
      <c r="C24" s="68">
        <v>1094000</v>
      </c>
      <c r="D24" s="68">
        <v>1594000</v>
      </c>
      <c r="E24" s="68">
        <v>1594000</v>
      </c>
      <c r="F24" s="68"/>
      <c r="G24" s="68"/>
      <c r="H24" s="68">
        <v>1123289</v>
      </c>
      <c r="I24" s="68">
        <v>1331989</v>
      </c>
      <c r="J24" s="68"/>
      <c r="K24" s="68"/>
      <c r="L24" s="651">
        <f t="shared" si="17"/>
        <v>1.02677239488117</v>
      </c>
      <c r="M24" s="651">
        <f t="shared" si="18"/>
        <v>0.83562672521957337</v>
      </c>
      <c r="N24" s="207">
        <f t="shared" si="19"/>
        <v>0</v>
      </c>
      <c r="O24" s="68"/>
      <c r="P24" s="81">
        <f t="shared" si="21"/>
        <v>500000</v>
      </c>
      <c r="Q24" s="81">
        <f t="shared" si="22"/>
        <v>0</v>
      </c>
      <c r="R24" s="81">
        <f t="shared" si="23"/>
        <v>0</v>
      </c>
      <c r="S24" s="81">
        <f t="shared" si="24"/>
        <v>500000</v>
      </c>
      <c r="T24" s="283">
        <f t="shared" si="25"/>
        <v>0.45703839122486289</v>
      </c>
      <c r="U24" s="120"/>
      <c r="V24" s="196">
        <f t="shared" si="26"/>
        <v>0</v>
      </c>
    </row>
    <row r="25" spans="1:24" x14ac:dyDescent="0.25">
      <c r="A25" s="14" t="s">
        <v>19</v>
      </c>
      <c r="B25" s="20"/>
      <c r="C25" s="68"/>
      <c r="D25" s="68"/>
      <c r="E25" s="68"/>
      <c r="F25" s="68"/>
      <c r="G25" s="68"/>
      <c r="H25" s="68"/>
      <c r="I25" s="68"/>
      <c r="J25" s="68"/>
      <c r="K25" s="68"/>
      <c r="L25" s="651">
        <f t="shared" si="17"/>
        <v>0</v>
      </c>
      <c r="M25" s="651">
        <f t="shared" si="18"/>
        <v>0</v>
      </c>
      <c r="N25" s="207">
        <f t="shared" si="19"/>
        <v>0</v>
      </c>
      <c r="O25" s="68"/>
      <c r="P25" s="81">
        <f t="shared" si="21"/>
        <v>0</v>
      </c>
      <c r="Q25" s="81">
        <f t="shared" si="22"/>
        <v>0</v>
      </c>
      <c r="R25" s="81">
        <f t="shared" si="23"/>
        <v>0</v>
      </c>
      <c r="S25" s="81">
        <f t="shared" si="24"/>
        <v>0</v>
      </c>
      <c r="T25" s="283">
        <f t="shared" si="25"/>
        <v>0</v>
      </c>
      <c r="U25" s="120"/>
      <c r="V25" s="196">
        <f t="shared" si="26"/>
        <v>0</v>
      </c>
      <c r="W25" s="2"/>
    </row>
    <row r="26" spans="1:24" x14ac:dyDescent="0.25">
      <c r="A26" s="14" t="s">
        <v>20</v>
      </c>
      <c r="B26" s="20" t="s">
        <v>21</v>
      </c>
      <c r="C26" s="68">
        <v>0</v>
      </c>
      <c r="D26" s="68">
        <v>0</v>
      </c>
      <c r="E26" s="68"/>
      <c r="F26" s="68"/>
      <c r="G26" s="68"/>
      <c r="H26" s="68"/>
      <c r="I26" s="68"/>
      <c r="J26" s="68"/>
      <c r="K26" s="68"/>
      <c r="L26" s="651">
        <f t="shared" si="17"/>
        <v>0</v>
      </c>
      <c r="M26" s="651">
        <f t="shared" si="18"/>
        <v>0</v>
      </c>
      <c r="N26" s="207">
        <f t="shared" si="19"/>
        <v>0</v>
      </c>
      <c r="O26" s="68"/>
      <c r="P26" s="81">
        <f t="shared" si="21"/>
        <v>0</v>
      </c>
      <c r="Q26" s="81">
        <f t="shared" si="22"/>
        <v>0</v>
      </c>
      <c r="R26" s="81">
        <f t="shared" si="23"/>
        <v>0</v>
      </c>
      <c r="S26" s="81">
        <f t="shared" si="24"/>
        <v>0</v>
      </c>
      <c r="T26" s="283">
        <f t="shared" si="25"/>
        <v>0</v>
      </c>
      <c r="U26" s="120"/>
      <c r="V26" s="196">
        <f t="shared" si="26"/>
        <v>0</v>
      </c>
    </row>
    <row r="27" spans="1:24" x14ac:dyDescent="0.25">
      <c r="A27" s="14" t="s">
        <v>22</v>
      </c>
      <c r="B27" s="20" t="s">
        <v>23</v>
      </c>
      <c r="C27" s="145">
        <v>500000</v>
      </c>
      <c r="D27" s="68">
        <v>620000</v>
      </c>
      <c r="E27" s="68">
        <v>870000</v>
      </c>
      <c r="F27" s="68"/>
      <c r="G27" s="68"/>
      <c r="H27" s="68">
        <v>585720</v>
      </c>
      <c r="I27" s="68">
        <v>681720</v>
      </c>
      <c r="J27" s="68"/>
      <c r="K27" s="68"/>
      <c r="L27" s="651">
        <f t="shared" si="17"/>
        <v>1.17144</v>
      </c>
      <c r="M27" s="651">
        <f t="shared" si="18"/>
        <v>1.0995483870967742</v>
      </c>
      <c r="N27" s="207">
        <f t="shared" si="19"/>
        <v>0</v>
      </c>
      <c r="O27" s="68"/>
      <c r="P27" s="81">
        <f t="shared" si="21"/>
        <v>120000</v>
      </c>
      <c r="Q27" s="81">
        <f t="shared" si="22"/>
        <v>250000</v>
      </c>
      <c r="R27" s="81">
        <f t="shared" si="23"/>
        <v>0</v>
      </c>
      <c r="S27" s="81">
        <f t="shared" si="24"/>
        <v>370000</v>
      </c>
      <c r="T27" s="283">
        <f t="shared" si="25"/>
        <v>0.74</v>
      </c>
      <c r="U27" s="120"/>
      <c r="V27" s="196">
        <f t="shared" si="26"/>
        <v>0</v>
      </c>
      <c r="W27" s="2"/>
    </row>
    <row r="28" spans="1:24" x14ac:dyDescent="0.25">
      <c r="A28" s="14" t="s">
        <v>24</v>
      </c>
      <c r="B28" s="20" t="s">
        <v>25</v>
      </c>
      <c r="C28" s="68">
        <v>0</v>
      </c>
      <c r="D28" s="68">
        <v>0</v>
      </c>
      <c r="E28" s="68"/>
      <c r="F28" s="68"/>
      <c r="G28" s="68"/>
      <c r="H28" s="68">
        <v>0</v>
      </c>
      <c r="I28" s="68">
        <v>0</v>
      </c>
      <c r="J28" s="68"/>
      <c r="K28" s="68"/>
      <c r="L28" s="651">
        <f t="shared" si="17"/>
        <v>0</v>
      </c>
      <c r="M28" s="651">
        <f t="shared" si="18"/>
        <v>0</v>
      </c>
      <c r="N28" s="207">
        <f t="shared" si="19"/>
        <v>0</v>
      </c>
      <c r="O28" s="68"/>
      <c r="P28" s="81">
        <f t="shared" si="21"/>
        <v>0</v>
      </c>
      <c r="Q28" s="81">
        <f t="shared" si="22"/>
        <v>0</v>
      </c>
      <c r="R28" s="81">
        <f t="shared" si="23"/>
        <v>0</v>
      </c>
      <c r="S28" s="81">
        <f t="shared" si="24"/>
        <v>0</v>
      </c>
      <c r="T28" s="283">
        <f t="shared" si="25"/>
        <v>0</v>
      </c>
      <c r="U28" s="120"/>
      <c r="V28" s="196">
        <f t="shared" si="26"/>
        <v>0</v>
      </c>
    </row>
    <row r="29" spans="1:24" x14ac:dyDescent="0.25">
      <c r="A29" s="14"/>
      <c r="B29" s="14"/>
      <c r="C29" s="68"/>
      <c r="D29" s="68"/>
      <c r="E29" s="68">
        <v>0</v>
      </c>
      <c r="F29" s="68"/>
      <c r="G29" s="68"/>
      <c r="H29" s="68"/>
      <c r="I29" s="68"/>
      <c r="J29" s="68"/>
      <c r="K29" s="68"/>
      <c r="L29" s="678"/>
      <c r="M29" s="679"/>
      <c r="N29" s="206">
        <f t="shared" si="19"/>
        <v>0</v>
      </c>
      <c r="O29" s="68"/>
      <c r="P29" s="81">
        <f t="shared" si="21"/>
        <v>0</v>
      </c>
      <c r="Q29" s="81">
        <f t="shared" si="22"/>
        <v>0</v>
      </c>
      <c r="R29" s="81">
        <f t="shared" si="23"/>
        <v>0</v>
      </c>
      <c r="S29" s="81">
        <f t="shared" si="24"/>
        <v>0</v>
      </c>
      <c r="T29" s="283">
        <f t="shared" si="25"/>
        <v>0</v>
      </c>
      <c r="U29" s="120"/>
      <c r="V29" s="196">
        <f t="shared" si="26"/>
        <v>0</v>
      </c>
    </row>
    <row r="30" spans="1:24" x14ac:dyDescent="0.25">
      <c r="A30" s="7" t="s">
        <v>26</v>
      </c>
      <c r="B30" s="5" t="s">
        <v>27</v>
      </c>
      <c r="C30" s="67">
        <f>+C31</f>
        <v>30000000</v>
      </c>
      <c r="D30" s="67">
        <f>SUM(D31)</f>
        <v>30000000</v>
      </c>
      <c r="E30" s="67">
        <f>SUM(E31)</f>
        <v>30000000</v>
      </c>
      <c r="F30" s="67">
        <f>SUM(F31)</f>
        <v>0</v>
      </c>
      <c r="G30" s="67"/>
      <c r="H30" s="67">
        <f>SUM(H31)</f>
        <v>14696128</v>
      </c>
      <c r="I30" s="67">
        <f>SUM(I31)</f>
        <v>21528393</v>
      </c>
      <c r="J30" s="67">
        <f>SUM(J31)</f>
        <v>0</v>
      </c>
      <c r="K30" s="67"/>
      <c r="L30" s="680"/>
      <c r="M30" s="681">
        <f>+I30/E30</f>
        <v>0.7176131</v>
      </c>
      <c r="N30" s="208"/>
      <c r="O30" s="67"/>
      <c r="P30" s="67">
        <f t="shared" si="21"/>
        <v>0</v>
      </c>
      <c r="Q30" s="67">
        <f t="shared" si="22"/>
        <v>0</v>
      </c>
      <c r="R30" s="67">
        <f t="shared" si="23"/>
        <v>0</v>
      </c>
      <c r="S30" s="67">
        <f t="shared" si="24"/>
        <v>0</v>
      </c>
      <c r="T30" s="263">
        <f t="shared" si="25"/>
        <v>0</v>
      </c>
      <c r="U30" s="67"/>
      <c r="V30" s="258">
        <f t="shared" si="26"/>
        <v>0</v>
      </c>
    </row>
    <row r="31" spans="1:24" x14ac:dyDescent="0.25">
      <c r="A31" s="14"/>
      <c r="B31" s="20" t="s">
        <v>28</v>
      </c>
      <c r="C31" s="68">
        <v>30000000</v>
      </c>
      <c r="D31" s="68">
        <v>30000000</v>
      </c>
      <c r="E31" s="68">
        <v>30000000</v>
      </c>
      <c r="F31" s="68"/>
      <c r="G31" s="68"/>
      <c r="H31" s="68">
        <v>14696128</v>
      </c>
      <c r="I31" s="68">
        <v>21528393</v>
      </c>
      <c r="J31" s="68"/>
      <c r="K31" s="68"/>
      <c r="L31" s="651">
        <f>IF(H31&gt;0,H31/C31,0)</f>
        <v>0.48987093333333331</v>
      </c>
      <c r="M31" s="651">
        <f>IF(I31&gt;0,I31/D31,0)</f>
        <v>0.7176131</v>
      </c>
      <c r="N31" s="207">
        <f>IF(J31&gt;0,J31/E31,0)</f>
        <v>0</v>
      </c>
      <c r="O31" s="68"/>
      <c r="P31" s="81">
        <f t="shared" ref="P31" si="27">+(D31-C31)*P$10</f>
        <v>0</v>
      </c>
      <c r="Q31" s="81">
        <f t="shared" ref="Q31" si="28">+(E31-D31)*Q$10</f>
        <v>0</v>
      </c>
      <c r="R31" s="81">
        <f t="shared" ref="R31" si="29">+(F31-E31)*R$10</f>
        <v>0</v>
      </c>
      <c r="S31" s="81">
        <f t="shared" si="24"/>
        <v>0</v>
      </c>
      <c r="T31" s="283">
        <f t="shared" ref="T31" si="30">IF(C31=0,0,+S31/C31)</f>
        <v>0</v>
      </c>
      <c r="U31" s="120"/>
      <c r="V31" s="196">
        <f t="shared" ref="V31" si="31">+S31-E31+C31</f>
        <v>0</v>
      </c>
    </row>
    <row r="32" spans="1:24" x14ac:dyDescent="0.25">
      <c r="A32" s="14"/>
      <c r="B32" s="14"/>
      <c r="C32" s="68"/>
      <c r="D32" s="68"/>
      <c r="E32" s="68"/>
      <c r="F32" s="68"/>
      <c r="G32" s="68"/>
      <c r="H32" s="68"/>
      <c r="I32" s="68"/>
      <c r="J32" s="68"/>
      <c r="K32" s="68"/>
      <c r="L32" s="678"/>
      <c r="M32" s="679"/>
      <c r="N32" s="206"/>
      <c r="O32" s="68"/>
      <c r="P32" s="68"/>
      <c r="Q32" s="68"/>
      <c r="R32" s="68"/>
      <c r="S32" s="68"/>
      <c r="T32" s="264"/>
      <c r="U32" s="68"/>
      <c r="V32" s="257"/>
    </row>
    <row r="33" spans="1:24" x14ac:dyDescent="0.25">
      <c r="A33" s="7" t="s">
        <v>29</v>
      </c>
      <c r="B33" s="5" t="s">
        <v>30</v>
      </c>
      <c r="C33" s="67">
        <f>+C34+C42+C49+C67+C72</f>
        <v>15885000</v>
      </c>
      <c r="D33" s="67">
        <f>+D34+D42+D49+D67+D72</f>
        <v>15885000</v>
      </c>
      <c r="E33" s="67">
        <f>+E34+E42+E49+E67+E72</f>
        <v>15885000</v>
      </c>
      <c r="F33" s="67">
        <f>+F34+F42+F49+F67+F72</f>
        <v>0</v>
      </c>
      <c r="G33" s="67"/>
      <c r="H33" s="67">
        <f>+H34+H42+H49+H67+H72</f>
        <v>6272583</v>
      </c>
      <c r="I33" s="67">
        <f>+I34+I42+I49+I67+I72</f>
        <v>8740932</v>
      </c>
      <c r="J33" s="67">
        <f>+J34+J42+J49+J67+J72</f>
        <v>0</v>
      </c>
      <c r="K33" s="67"/>
      <c r="L33" s="680"/>
      <c r="M33" s="681">
        <f>+I33/E33</f>
        <v>0.55026326723323893</v>
      </c>
      <c r="N33" s="208"/>
      <c r="O33" s="67"/>
      <c r="P33" s="67">
        <f t="shared" ref="P33" si="32">+(D33-C33)*P$10</f>
        <v>0</v>
      </c>
      <c r="Q33" s="67">
        <f t="shared" ref="Q33" si="33">+(E33-D33)*Q$10</f>
        <v>0</v>
      </c>
      <c r="R33" s="67">
        <f t="shared" ref="R33" si="34">+(F33-E33)*R$10</f>
        <v>0</v>
      </c>
      <c r="S33" s="67">
        <f t="shared" ref="S33:S82" si="35">+P33*P$10+Q33*Q$10+R33*R$10</f>
        <v>0</v>
      </c>
      <c r="T33" s="263">
        <f t="shared" ref="T33" si="36">IF(C33=0,0,+S33/C33)</f>
        <v>0</v>
      </c>
      <c r="U33" s="67"/>
      <c r="V33" s="258">
        <f t="shared" ref="V33" si="37">+S33-E33+C33</f>
        <v>0</v>
      </c>
    </row>
    <row r="34" spans="1:24" x14ac:dyDescent="0.25">
      <c r="A34" s="38" t="s">
        <v>31</v>
      </c>
      <c r="B34" s="39" t="s">
        <v>32</v>
      </c>
      <c r="C34" s="95">
        <f>SUM(C35:C41)</f>
        <v>4510000</v>
      </c>
      <c r="D34" s="95">
        <f t="shared" ref="D34:F34" si="38">SUM(D35:D41)</f>
        <v>4510000</v>
      </c>
      <c r="E34" s="95">
        <f t="shared" si="38"/>
        <v>4510000</v>
      </c>
      <c r="F34" s="95">
        <f t="shared" si="38"/>
        <v>0</v>
      </c>
      <c r="G34" s="95"/>
      <c r="H34" s="95">
        <f t="shared" ref="H34" si="39">SUM(H35:H41)</f>
        <v>1831715</v>
      </c>
      <c r="I34" s="95">
        <f t="shared" ref="I34" si="40">SUM(I35:I41)</f>
        <v>2349903</v>
      </c>
      <c r="J34" s="95">
        <f t="shared" ref="J34" si="41">SUM(J35:J41)</f>
        <v>0</v>
      </c>
      <c r="K34" s="95"/>
      <c r="L34" s="682">
        <f t="shared" ref="L34:L65" si="42">IF(H34&gt;0,H34/C34,0)</f>
        <v>0.40614523281596454</v>
      </c>
      <c r="M34" s="683">
        <f t="shared" ref="M34:M65" si="43">IF(I34&gt;0,I34/D34,0)</f>
        <v>0.52104279379157425</v>
      </c>
      <c r="N34" s="209">
        <f t="shared" ref="N34:N65" si="44">IF(J34&gt;0,J34/E34,0)</f>
        <v>0</v>
      </c>
      <c r="O34" s="95"/>
      <c r="P34" s="95">
        <f t="shared" ref="P34:P84" si="45">+(D34-C34)*P$10</f>
        <v>0</v>
      </c>
      <c r="Q34" s="95">
        <f t="shared" ref="Q34:Q84" si="46">+(E34-D34)*Q$10</f>
        <v>0</v>
      </c>
      <c r="R34" s="95">
        <f t="shared" ref="R34:R84" si="47">+(F34-E34)*R$10</f>
        <v>0</v>
      </c>
      <c r="S34" s="95">
        <f t="shared" si="35"/>
        <v>0</v>
      </c>
      <c r="T34" s="265">
        <f t="shared" ref="T34:T84" si="48">IF(C34=0,0,+S34/C34)</f>
        <v>0</v>
      </c>
      <c r="U34" s="95"/>
      <c r="V34" s="259">
        <f t="shared" ref="V34:V84" si="49">+S34-E34+C34</f>
        <v>0</v>
      </c>
    </row>
    <row r="35" spans="1:24" x14ac:dyDescent="0.25">
      <c r="A35" s="14" t="s">
        <v>33</v>
      </c>
      <c r="B35" s="20" t="s">
        <v>35</v>
      </c>
      <c r="C35" s="68">
        <f>300000</f>
        <v>300000</v>
      </c>
      <c r="D35" s="68">
        <v>300000</v>
      </c>
      <c r="E35" s="68">
        <v>300000</v>
      </c>
      <c r="F35" s="68"/>
      <c r="G35" s="68"/>
      <c r="H35" s="68">
        <v>110001</v>
      </c>
      <c r="I35" s="68">
        <v>169596</v>
      </c>
      <c r="J35" s="68"/>
      <c r="K35" s="68"/>
      <c r="L35" s="678">
        <f t="shared" si="42"/>
        <v>0.36667</v>
      </c>
      <c r="M35" s="684">
        <f t="shared" si="43"/>
        <v>0.56532000000000004</v>
      </c>
      <c r="N35" s="206">
        <f t="shared" si="44"/>
        <v>0</v>
      </c>
      <c r="O35" s="68"/>
      <c r="P35" s="68">
        <f t="shared" si="45"/>
        <v>0</v>
      </c>
      <c r="Q35" s="68">
        <f t="shared" si="46"/>
        <v>0</v>
      </c>
      <c r="R35" s="68">
        <f t="shared" si="47"/>
        <v>0</v>
      </c>
      <c r="S35" s="68">
        <f t="shared" si="35"/>
        <v>0</v>
      </c>
      <c r="T35" s="264">
        <f t="shared" si="48"/>
        <v>0</v>
      </c>
      <c r="U35" s="68"/>
      <c r="V35" s="257">
        <f t="shared" si="49"/>
        <v>0</v>
      </c>
    </row>
    <row r="36" spans="1:24" x14ac:dyDescent="0.25">
      <c r="A36" s="14"/>
      <c r="B36" s="20" t="s">
        <v>89</v>
      </c>
      <c r="C36" s="68">
        <v>0</v>
      </c>
      <c r="D36" s="68"/>
      <c r="E36" s="68"/>
      <c r="F36" s="68"/>
      <c r="G36" s="68"/>
      <c r="H36" s="68"/>
      <c r="I36" s="68"/>
      <c r="J36" s="68"/>
      <c r="K36" s="68"/>
      <c r="L36" s="678">
        <f t="shared" si="42"/>
        <v>0</v>
      </c>
      <c r="M36" s="679">
        <f t="shared" si="43"/>
        <v>0</v>
      </c>
      <c r="N36" s="206">
        <f t="shared" si="44"/>
        <v>0</v>
      </c>
      <c r="O36" s="68"/>
      <c r="P36" s="68">
        <f t="shared" si="45"/>
        <v>0</v>
      </c>
      <c r="Q36" s="68">
        <f t="shared" si="46"/>
        <v>0</v>
      </c>
      <c r="R36" s="68">
        <f t="shared" si="47"/>
        <v>0</v>
      </c>
      <c r="S36" s="68">
        <f t="shared" si="35"/>
        <v>0</v>
      </c>
      <c r="T36" s="264">
        <f t="shared" si="48"/>
        <v>0</v>
      </c>
      <c r="U36" s="68"/>
      <c r="V36" s="257">
        <f t="shared" si="49"/>
        <v>0</v>
      </c>
    </row>
    <row r="37" spans="1:24" x14ac:dyDescent="0.25">
      <c r="A37" s="14" t="s">
        <v>34</v>
      </c>
      <c r="B37" s="20" t="s">
        <v>36</v>
      </c>
      <c r="C37" s="68">
        <v>4210000</v>
      </c>
      <c r="D37" s="68">
        <v>4210000</v>
      </c>
      <c r="E37" s="68">
        <v>4210000</v>
      </c>
      <c r="F37" s="68"/>
      <c r="G37" s="68"/>
      <c r="H37" s="68">
        <v>1721714</v>
      </c>
      <c r="I37" s="68">
        <v>2180307</v>
      </c>
      <c r="J37" s="68"/>
      <c r="K37" s="68"/>
      <c r="L37" s="678">
        <f t="shared" si="42"/>
        <v>0.40895819477434681</v>
      </c>
      <c r="M37" s="684">
        <f t="shared" si="43"/>
        <v>0.51788764845605706</v>
      </c>
      <c r="N37" s="206">
        <f t="shared" si="44"/>
        <v>0</v>
      </c>
      <c r="O37" s="68"/>
      <c r="P37" s="68">
        <f t="shared" si="45"/>
        <v>0</v>
      </c>
      <c r="Q37" s="68">
        <f t="shared" si="46"/>
        <v>0</v>
      </c>
      <c r="R37" s="68">
        <f t="shared" si="47"/>
        <v>0</v>
      </c>
      <c r="S37" s="68">
        <f t="shared" si="35"/>
        <v>0</v>
      </c>
      <c r="T37" s="264">
        <f t="shared" si="48"/>
        <v>0</v>
      </c>
      <c r="U37" s="68"/>
      <c r="V37" s="257">
        <f t="shared" si="49"/>
        <v>0</v>
      </c>
      <c r="X37" s="37"/>
    </row>
    <row r="38" spans="1:24" x14ac:dyDescent="0.25">
      <c r="A38" s="14"/>
      <c r="B38" s="20" t="s">
        <v>96</v>
      </c>
      <c r="C38" s="68"/>
      <c r="D38" s="68">
        <v>0</v>
      </c>
      <c r="E38" s="68">
        <v>0</v>
      </c>
      <c r="F38" s="68"/>
      <c r="G38" s="68"/>
      <c r="H38" s="68">
        <v>0</v>
      </c>
      <c r="I38" s="68"/>
      <c r="J38" s="68"/>
      <c r="K38" s="68"/>
      <c r="L38" s="678">
        <f t="shared" si="42"/>
        <v>0</v>
      </c>
      <c r="M38" s="679">
        <f t="shared" si="43"/>
        <v>0</v>
      </c>
      <c r="N38" s="206">
        <f t="shared" si="44"/>
        <v>0</v>
      </c>
      <c r="O38" s="68"/>
      <c r="P38" s="68">
        <f t="shared" si="45"/>
        <v>0</v>
      </c>
      <c r="Q38" s="68">
        <f t="shared" si="46"/>
        <v>0</v>
      </c>
      <c r="R38" s="68">
        <f t="shared" si="47"/>
        <v>0</v>
      </c>
      <c r="S38" s="68">
        <f t="shared" si="35"/>
        <v>0</v>
      </c>
      <c r="T38" s="264">
        <f t="shared" si="48"/>
        <v>0</v>
      </c>
      <c r="U38" s="68"/>
      <c r="V38" s="257">
        <f t="shared" si="49"/>
        <v>0</v>
      </c>
    </row>
    <row r="39" spans="1:24" x14ac:dyDescent="0.25">
      <c r="A39" s="14"/>
      <c r="B39" s="20" t="s">
        <v>95</v>
      </c>
      <c r="C39" s="68"/>
      <c r="D39" s="68"/>
      <c r="E39" s="68"/>
      <c r="F39" s="68"/>
      <c r="G39" s="68"/>
      <c r="H39" s="68"/>
      <c r="I39" s="68"/>
      <c r="J39" s="68"/>
      <c r="K39" s="68"/>
      <c r="L39" s="678">
        <f t="shared" si="42"/>
        <v>0</v>
      </c>
      <c r="M39" s="679">
        <f t="shared" si="43"/>
        <v>0</v>
      </c>
      <c r="N39" s="206">
        <f t="shared" si="44"/>
        <v>0</v>
      </c>
      <c r="O39" s="68"/>
      <c r="P39" s="68">
        <f t="shared" si="45"/>
        <v>0</v>
      </c>
      <c r="Q39" s="68">
        <f t="shared" si="46"/>
        <v>0</v>
      </c>
      <c r="R39" s="68">
        <f t="shared" si="47"/>
        <v>0</v>
      </c>
      <c r="S39" s="68">
        <f t="shared" si="35"/>
        <v>0</v>
      </c>
      <c r="T39" s="264">
        <f t="shared" si="48"/>
        <v>0</v>
      </c>
      <c r="U39" s="68"/>
      <c r="V39" s="257">
        <f t="shared" si="49"/>
        <v>0</v>
      </c>
    </row>
    <row r="40" spans="1:24" x14ac:dyDescent="0.25">
      <c r="A40" s="14"/>
      <c r="B40" s="20" t="s">
        <v>94</v>
      </c>
      <c r="C40" s="68"/>
      <c r="D40" s="68"/>
      <c r="E40" s="68"/>
      <c r="F40" s="68"/>
      <c r="G40" s="68"/>
      <c r="H40" s="68"/>
      <c r="I40" s="68"/>
      <c r="J40" s="68"/>
      <c r="K40" s="68"/>
      <c r="L40" s="678">
        <f t="shared" si="42"/>
        <v>0</v>
      </c>
      <c r="M40" s="679">
        <f t="shared" si="43"/>
        <v>0</v>
      </c>
      <c r="N40" s="206">
        <f t="shared" si="44"/>
        <v>0</v>
      </c>
      <c r="O40" s="68"/>
      <c r="P40" s="68">
        <f t="shared" si="45"/>
        <v>0</v>
      </c>
      <c r="Q40" s="68">
        <f t="shared" si="46"/>
        <v>0</v>
      </c>
      <c r="R40" s="68">
        <f t="shared" si="47"/>
        <v>0</v>
      </c>
      <c r="S40" s="68">
        <f t="shared" si="35"/>
        <v>0</v>
      </c>
      <c r="T40" s="264">
        <f t="shared" si="48"/>
        <v>0</v>
      </c>
      <c r="U40" s="68"/>
      <c r="V40" s="257">
        <f t="shared" si="49"/>
        <v>0</v>
      </c>
    </row>
    <row r="41" spans="1:24" x14ac:dyDescent="0.25">
      <c r="A41" s="14"/>
      <c r="B41" s="20" t="s">
        <v>93</v>
      </c>
      <c r="C41" s="68">
        <v>0</v>
      </c>
      <c r="D41" s="68">
        <v>0</v>
      </c>
      <c r="E41" s="68">
        <v>0</v>
      </c>
      <c r="F41" s="68"/>
      <c r="G41" s="68"/>
      <c r="H41" s="68">
        <v>0</v>
      </c>
      <c r="I41" s="68"/>
      <c r="J41" s="68"/>
      <c r="K41" s="68"/>
      <c r="L41" s="678">
        <f t="shared" si="42"/>
        <v>0</v>
      </c>
      <c r="M41" s="679">
        <f t="shared" si="43"/>
        <v>0</v>
      </c>
      <c r="N41" s="206">
        <f t="shared" si="44"/>
        <v>0</v>
      </c>
      <c r="O41" s="68"/>
      <c r="P41" s="68">
        <f t="shared" si="45"/>
        <v>0</v>
      </c>
      <c r="Q41" s="68">
        <f t="shared" si="46"/>
        <v>0</v>
      </c>
      <c r="R41" s="68">
        <f t="shared" si="47"/>
        <v>0</v>
      </c>
      <c r="S41" s="68">
        <f t="shared" si="35"/>
        <v>0</v>
      </c>
      <c r="T41" s="264">
        <f t="shared" si="48"/>
        <v>0</v>
      </c>
      <c r="U41" s="68"/>
      <c r="V41" s="257">
        <f t="shared" si="49"/>
        <v>0</v>
      </c>
    </row>
    <row r="42" spans="1:24" x14ac:dyDescent="0.25">
      <c r="A42" s="38" t="s">
        <v>37</v>
      </c>
      <c r="B42" s="39" t="s">
        <v>38</v>
      </c>
      <c r="C42" s="95">
        <f>+C43+C47</f>
        <v>600000</v>
      </c>
      <c r="D42" s="95">
        <f>+D43+D47</f>
        <v>600000</v>
      </c>
      <c r="E42" s="95">
        <f>+E43+E47</f>
        <v>600000</v>
      </c>
      <c r="F42" s="95">
        <f>+F43+F47</f>
        <v>0</v>
      </c>
      <c r="G42" s="95"/>
      <c r="H42" s="95">
        <f>+H43+H47</f>
        <v>69087</v>
      </c>
      <c r="I42" s="95">
        <f>+I43+I47</f>
        <v>106728</v>
      </c>
      <c r="J42" s="95">
        <f>+J43+J47</f>
        <v>0</v>
      </c>
      <c r="K42" s="95"/>
      <c r="L42" s="682">
        <f t="shared" si="42"/>
        <v>0.115145</v>
      </c>
      <c r="M42" s="683">
        <f t="shared" si="43"/>
        <v>0.17788000000000001</v>
      </c>
      <c r="N42" s="209">
        <f t="shared" si="44"/>
        <v>0</v>
      </c>
      <c r="O42" s="95"/>
      <c r="P42" s="95">
        <f t="shared" si="45"/>
        <v>0</v>
      </c>
      <c r="Q42" s="95">
        <f t="shared" si="46"/>
        <v>0</v>
      </c>
      <c r="R42" s="95">
        <f t="shared" si="47"/>
        <v>0</v>
      </c>
      <c r="S42" s="95">
        <f t="shared" si="35"/>
        <v>0</v>
      </c>
      <c r="T42" s="265">
        <f t="shared" si="48"/>
        <v>0</v>
      </c>
      <c r="U42" s="95"/>
      <c r="V42" s="259">
        <f t="shared" si="49"/>
        <v>0</v>
      </c>
    </row>
    <row r="43" spans="1:24" x14ac:dyDescent="0.25">
      <c r="A43" s="14" t="s">
        <v>39</v>
      </c>
      <c r="B43" s="20" t="s">
        <v>40</v>
      </c>
      <c r="C43" s="68">
        <v>400000</v>
      </c>
      <c r="D43" s="68">
        <v>400000</v>
      </c>
      <c r="E43" s="68">
        <v>400000</v>
      </c>
      <c r="F43" s="68"/>
      <c r="G43" s="68"/>
      <c r="H43" s="68"/>
      <c r="I43" s="68"/>
      <c r="J43" s="68"/>
      <c r="K43" s="68"/>
      <c r="L43" s="678">
        <f t="shared" si="42"/>
        <v>0</v>
      </c>
      <c r="M43" s="684">
        <f t="shared" si="43"/>
        <v>0</v>
      </c>
      <c r="N43" s="206">
        <f t="shared" si="44"/>
        <v>0</v>
      </c>
      <c r="O43" s="68"/>
      <c r="P43" s="68">
        <f t="shared" si="45"/>
        <v>0</v>
      </c>
      <c r="Q43" s="68">
        <f t="shared" si="46"/>
        <v>0</v>
      </c>
      <c r="R43" s="68">
        <f t="shared" si="47"/>
        <v>0</v>
      </c>
      <c r="S43" s="68">
        <f t="shared" si="35"/>
        <v>0</v>
      </c>
      <c r="T43" s="264">
        <f t="shared" si="48"/>
        <v>0</v>
      </c>
      <c r="U43" s="68"/>
      <c r="V43" s="257">
        <f t="shared" si="49"/>
        <v>0</v>
      </c>
    </row>
    <row r="44" spans="1:24" x14ac:dyDescent="0.25">
      <c r="A44" s="14"/>
      <c r="B44" s="20" t="s">
        <v>41</v>
      </c>
      <c r="C44" s="68">
        <v>0</v>
      </c>
      <c r="D44" s="68"/>
      <c r="E44" s="68"/>
      <c r="F44" s="68"/>
      <c r="G44" s="68"/>
      <c r="H44" s="68"/>
      <c r="I44" s="68"/>
      <c r="J44" s="68"/>
      <c r="K44" s="68"/>
      <c r="L44" s="678">
        <f t="shared" si="42"/>
        <v>0</v>
      </c>
      <c r="M44" s="679">
        <f t="shared" si="43"/>
        <v>0</v>
      </c>
      <c r="N44" s="206">
        <f t="shared" si="44"/>
        <v>0</v>
      </c>
      <c r="O44" s="68"/>
      <c r="P44" s="68">
        <f t="shared" si="45"/>
        <v>0</v>
      </c>
      <c r="Q44" s="68">
        <f t="shared" si="46"/>
        <v>0</v>
      </c>
      <c r="R44" s="68">
        <f t="shared" si="47"/>
        <v>0</v>
      </c>
      <c r="S44" s="68">
        <f t="shared" si="35"/>
        <v>0</v>
      </c>
      <c r="T44" s="264">
        <f t="shared" si="48"/>
        <v>0</v>
      </c>
      <c r="U44" s="68"/>
      <c r="V44" s="257">
        <f t="shared" si="49"/>
        <v>0</v>
      </c>
    </row>
    <row r="45" spans="1:24" x14ac:dyDescent="0.25">
      <c r="A45" s="14"/>
      <c r="B45" s="20" t="s">
        <v>42</v>
      </c>
      <c r="C45" s="68">
        <v>0</v>
      </c>
      <c r="D45" s="68"/>
      <c r="E45" s="68"/>
      <c r="F45" s="68"/>
      <c r="G45" s="68"/>
      <c r="H45" s="68"/>
      <c r="I45" s="68"/>
      <c r="J45" s="68"/>
      <c r="K45" s="68"/>
      <c r="L45" s="678">
        <f t="shared" si="42"/>
        <v>0</v>
      </c>
      <c r="M45" s="679">
        <f t="shared" si="43"/>
        <v>0</v>
      </c>
      <c r="N45" s="206">
        <f t="shared" si="44"/>
        <v>0</v>
      </c>
      <c r="O45" s="68"/>
      <c r="P45" s="68">
        <f t="shared" si="45"/>
        <v>0</v>
      </c>
      <c r="Q45" s="68">
        <f t="shared" si="46"/>
        <v>0</v>
      </c>
      <c r="R45" s="68">
        <f t="shared" si="47"/>
        <v>0</v>
      </c>
      <c r="S45" s="68">
        <f t="shared" si="35"/>
        <v>0</v>
      </c>
      <c r="T45" s="264">
        <f t="shared" si="48"/>
        <v>0</v>
      </c>
      <c r="U45" s="68"/>
      <c r="V45" s="257">
        <f t="shared" si="49"/>
        <v>0</v>
      </c>
    </row>
    <row r="46" spans="1:24" x14ac:dyDescent="0.25">
      <c r="A46" s="14"/>
      <c r="B46" s="20" t="s">
        <v>43</v>
      </c>
      <c r="C46" s="68">
        <v>0</v>
      </c>
      <c r="D46" s="68"/>
      <c r="E46" s="68"/>
      <c r="F46" s="68"/>
      <c r="G46" s="68"/>
      <c r="H46" s="68"/>
      <c r="I46" s="68"/>
      <c r="J46" s="68"/>
      <c r="K46" s="68"/>
      <c r="L46" s="678">
        <f t="shared" si="42"/>
        <v>0</v>
      </c>
      <c r="M46" s="679">
        <f t="shared" si="43"/>
        <v>0</v>
      </c>
      <c r="N46" s="206">
        <f t="shared" si="44"/>
        <v>0</v>
      </c>
      <c r="O46" s="68"/>
      <c r="P46" s="68">
        <f t="shared" si="45"/>
        <v>0</v>
      </c>
      <c r="Q46" s="68">
        <f t="shared" si="46"/>
        <v>0</v>
      </c>
      <c r="R46" s="68">
        <f t="shared" si="47"/>
        <v>0</v>
      </c>
      <c r="S46" s="68">
        <f t="shared" si="35"/>
        <v>0</v>
      </c>
      <c r="T46" s="264">
        <f t="shared" si="48"/>
        <v>0</v>
      </c>
      <c r="U46" s="68"/>
      <c r="V46" s="257">
        <f t="shared" si="49"/>
        <v>0</v>
      </c>
    </row>
    <row r="47" spans="1:24" x14ac:dyDescent="0.25">
      <c r="A47" s="14" t="s">
        <v>44</v>
      </c>
      <c r="B47" s="20" t="s">
        <v>45</v>
      </c>
      <c r="C47" s="68">
        <v>200000</v>
      </c>
      <c r="D47" s="68">
        <v>200000</v>
      </c>
      <c r="E47" s="68">
        <v>200000</v>
      </c>
      <c r="F47" s="68"/>
      <c r="G47" s="68"/>
      <c r="H47" s="68">
        <v>69087</v>
      </c>
      <c r="I47" s="68">
        <v>106728</v>
      </c>
      <c r="J47" s="68"/>
      <c r="K47" s="68"/>
      <c r="L47" s="678">
        <f t="shared" si="42"/>
        <v>0.34543499999999999</v>
      </c>
      <c r="M47" s="684">
        <f t="shared" si="43"/>
        <v>0.53364</v>
      </c>
      <c r="N47" s="206">
        <f t="shared" si="44"/>
        <v>0</v>
      </c>
      <c r="O47" s="68"/>
      <c r="P47" s="68">
        <f t="shared" si="45"/>
        <v>0</v>
      </c>
      <c r="Q47" s="68">
        <f t="shared" si="46"/>
        <v>0</v>
      </c>
      <c r="R47" s="68">
        <f t="shared" si="47"/>
        <v>0</v>
      </c>
      <c r="S47" s="68">
        <f t="shared" si="35"/>
        <v>0</v>
      </c>
      <c r="T47" s="264">
        <f t="shared" si="48"/>
        <v>0</v>
      </c>
      <c r="U47" s="68"/>
      <c r="V47" s="257">
        <f t="shared" si="49"/>
        <v>0</v>
      </c>
    </row>
    <row r="48" spans="1:24" x14ac:dyDescent="0.25">
      <c r="A48" s="14"/>
      <c r="B48" s="20" t="s">
        <v>46</v>
      </c>
      <c r="C48" s="68">
        <v>0</v>
      </c>
      <c r="D48" s="68"/>
      <c r="E48" s="68"/>
      <c r="F48" s="68"/>
      <c r="G48" s="68"/>
      <c r="H48" s="68"/>
      <c r="I48" s="68"/>
      <c r="J48" s="68"/>
      <c r="K48" s="68"/>
      <c r="L48" s="678">
        <f t="shared" si="42"/>
        <v>0</v>
      </c>
      <c r="M48" s="679">
        <f t="shared" si="43"/>
        <v>0</v>
      </c>
      <c r="N48" s="206">
        <f t="shared" si="44"/>
        <v>0</v>
      </c>
      <c r="O48" s="68"/>
      <c r="P48" s="68">
        <f t="shared" si="45"/>
        <v>0</v>
      </c>
      <c r="Q48" s="68">
        <f t="shared" si="46"/>
        <v>0</v>
      </c>
      <c r="R48" s="68">
        <f t="shared" si="47"/>
        <v>0</v>
      </c>
      <c r="S48" s="68">
        <f t="shared" si="35"/>
        <v>0</v>
      </c>
      <c r="T48" s="264">
        <f t="shared" si="48"/>
        <v>0</v>
      </c>
      <c r="U48" s="68"/>
      <c r="V48" s="257">
        <f t="shared" si="49"/>
        <v>0</v>
      </c>
    </row>
    <row r="49" spans="1:22" s="42" customFormat="1" x14ac:dyDescent="0.25">
      <c r="A49" s="38" t="s">
        <v>47</v>
      </c>
      <c r="B49" s="39" t="s">
        <v>48</v>
      </c>
      <c r="C49" s="95">
        <f>+C50+C54+C57+C59+C61+C63+C65</f>
        <v>8370000</v>
      </c>
      <c r="D49" s="95">
        <f>+D50+D54+D57+D59+D61+D63+D65</f>
        <v>8370000</v>
      </c>
      <c r="E49" s="95">
        <f>+E50+E54+E57+E59+E61+E63+E65</f>
        <v>8370000</v>
      </c>
      <c r="F49" s="95">
        <f>+F50+F54+F57+F59+F61+F63+F65</f>
        <v>0</v>
      </c>
      <c r="G49" s="95"/>
      <c r="H49" s="95">
        <f>+H50+H54+H57+H59+H61+H63+H65</f>
        <v>3484791</v>
      </c>
      <c r="I49" s="95">
        <f>+I50+I54+I57+I59+I61+I63+I65</f>
        <v>4912430</v>
      </c>
      <c r="J49" s="95">
        <f>+J50+J54+J57+J59+J61+J63+J65</f>
        <v>0</v>
      </c>
      <c r="K49" s="95"/>
      <c r="L49" s="682">
        <f t="shared" si="42"/>
        <v>0.41634301075268815</v>
      </c>
      <c r="M49" s="683">
        <f t="shared" si="43"/>
        <v>0.58690919952210274</v>
      </c>
      <c r="N49" s="209">
        <f t="shared" si="44"/>
        <v>0</v>
      </c>
      <c r="O49" s="95"/>
      <c r="P49" s="95">
        <f t="shared" si="45"/>
        <v>0</v>
      </c>
      <c r="Q49" s="95">
        <f t="shared" si="46"/>
        <v>0</v>
      </c>
      <c r="R49" s="95">
        <f t="shared" si="47"/>
        <v>0</v>
      </c>
      <c r="S49" s="95">
        <f t="shared" si="35"/>
        <v>0</v>
      </c>
      <c r="T49" s="265">
        <f t="shared" si="48"/>
        <v>0</v>
      </c>
      <c r="U49" s="95"/>
      <c r="V49" s="259">
        <f t="shared" si="49"/>
        <v>0</v>
      </c>
    </row>
    <row r="50" spans="1:22" x14ac:dyDescent="0.25">
      <c r="A50" s="14" t="s">
        <v>49</v>
      </c>
      <c r="B50" s="20" t="s">
        <v>50</v>
      </c>
      <c r="C50" s="215">
        <f>4800000*1.1</f>
        <v>5280000</v>
      </c>
      <c r="D50" s="68">
        <v>5280000</v>
      </c>
      <c r="E50" s="68">
        <v>5280000</v>
      </c>
      <c r="F50" s="68"/>
      <c r="G50" s="68"/>
      <c r="H50" s="68">
        <v>2129574</v>
      </c>
      <c r="I50" s="68">
        <v>3349941</v>
      </c>
      <c r="J50" s="68"/>
      <c r="K50" s="68"/>
      <c r="L50" s="678">
        <f t="shared" si="42"/>
        <v>0.40332840909090911</v>
      </c>
      <c r="M50" s="684">
        <f t="shared" si="43"/>
        <v>0.63445852272727277</v>
      </c>
      <c r="N50" s="206">
        <f t="shared" si="44"/>
        <v>0</v>
      </c>
      <c r="O50" s="68"/>
      <c r="P50" s="68">
        <f t="shared" si="45"/>
        <v>0</v>
      </c>
      <c r="Q50" s="68">
        <f t="shared" si="46"/>
        <v>0</v>
      </c>
      <c r="R50" s="68">
        <f t="shared" si="47"/>
        <v>0</v>
      </c>
      <c r="S50" s="68">
        <f t="shared" si="35"/>
        <v>0</v>
      </c>
      <c r="T50" s="264">
        <f t="shared" si="48"/>
        <v>0</v>
      </c>
      <c r="U50" s="68"/>
      <c r="V50" s="257">
        <f t="shared" si="49"/>
        <v>0</v>
      </c>
    </row>
    <row r="51" spans="1:22" x14ac:dyDescent="0.25">
      <c r="A51" s="14" t="s">
        <v>103</v>
      </c>
      <c r="B51" s="20" t="s">
        <v>97</v>
      </c>
      <c r="C51" s="68"/>
      <c r="D51" s="68"/>
      <c r="E51" s="68"/>
      <c r="F51" s="68"/>
      <c r="G51" s="68"/>
      <c r="H51" s="68"/>
      <c r="I51" s="68"/>
      <c r="J51" s="68"/>
      <c r="K51" s="68"/>
      <c r="L51" s="678">
        <f t="shared" si="42"/>
        <v>0</v>
      </c>
      <c r="M51" s="679">
        <f t="shared" si="43"/>
        <v>0</v>
      </c>
      <c r="N51" s="206">
        <f t="shared" si="44"/>
        <v>0</v>
      </c>
      <c r="O51" s="68"/>
      <c r="P51" s="68">
        <f t="shared" si="45"/>
        <v>0</v>
      </c>
      <c r="Q51" s="68">
        <f t="shared" si="46"/>
        <v>0</v>
      </c>
      <c r="R51" s="68">
        <f t="shared" si="47"/>
        <v>0</v>
      </c>
      <c r="S51" s="68">
        <f t="shared" si="35"/>
        <v>0</v>
      </c>
      <c r="T51" s="264">
        <f t="shared" si="48"/>
        <v>0</v>
      </c>
      <c r="U51" s="68"/>
      <c r="V51" s="257">
        <f t="shared" si="49"/>
        <v>0</v>
      </c>
    </row>
    <row r="52" spans="1:22" x14ac:dyDescent="0.25">
      <c r="A52" s="14"/>
      <c r="B52" s="20" t="s">
        <v>98</v>
      </c>
      <c r="C52" s="68"/>
      <c r="D52" s="68"/>
      <c r="E52" s="68"/>
      <c r="F52" s="68"/>
      <c r="G52" s="68"/>
      <c r="H52" s="68"/>
      <c r="I52" s="68"/>
      <c r="J52" s="68"/>
      <c r="K52" s="68"/>
      <c r="L52" s="678">
        <f t="shared" si="42"/>
        <v>0</v>
      </c>
      <c r="M52" s="679">
        <f t="shared" si="43"/>
        <v>0</v>
      </c>
      <c r="N52" s="206">
        <f t="shared" si="44"/>
        <v>0</v>
      </c>
      <c r="O52" s="68"/>
      <c r="P52" s="68">
        <f t="shared" si="45"/>
        <v>0</v>
      </c>
      <c r="Q52" s="68">
        <f t="shared" si="46"/>
        <v>0</v>
      </c>
      <c r="R52" s="68">
        <f t="shared" si="47"/>
        <v>0</v>
      </c>
      <c r="S52" s="68">
        <f t="shared" si="35"/>
        <v>0</v>
      </c>
      <c r="T52" s="264">
        <f t="shared" si="48"/>
        <v>0</v>
      </c>
      <c r="U52" s="68"/>
      <c r="V52" s="257">
        <f t="shared" si="49"/>
        <v>0</v>
      </c>
    </row>
    <row r="53" spans="1:22" x14ac:dyDescent="0.25">
      <c r="A53" s="14"/>
      <c r="B53" s="20" t="s">
        <v>99</v>
      </c>
      <c r="C53" s="68"/>
      <c r="D53" s="68"/>
      <c r="E53" s="68"/>
      <c r="F53" s="68"/>
      <c r="G53" s="68"/>
      <c r="H53" s="68"/>
      <c r="I53" s="68"/>
      <c r="J53" s="68"/>
      <c r="K53" s="68"/>
      <c r="L53" s="678">
        <f t="shared" si="42"/>
        <v>0</v>
      </c>
      <c r="M53" s="679">
        <f t="shared" si="43"/>
        <v>0</v>
      </c>
      <c r="N53" s="206">
        <f t="shared" si="44"/>
        <v>0</v>
      </c>
      <c r="O53" s="68"/>
      <c r="P53" s="68">
        <f t="shared" si="45"/>
        <v>0</v>
      </c>
      <c r="Q53" s="68">
        <f t="shared" si="46"/>
        <v>0</v>
      </c>
      <c r="R53" s="68">
        <f t="shared" si="47"/>
        <v>0</v>
      </c>
      <c r="S53" s="68">
        <f t="shared" si="35"/>
        <v>0</v>
      </c>
      <c r="T53" s="264">
        <f t="shared" si="48"/>
        <v>0</v>
      </c>
      <c r="U53" s="68"/>
      <c r="V53" s="257">
        <f t="shared" si="49"/>
        <v>0</v>
      </c>
    </row>
    <row r="54" spans="1:22" x14ac:dyDescent="0.25">
      <c r="A54" s="14" t="s">
        <v>51</v>
      </c>
      <c r="B54" s="20" t="s">
        <v>52</v>
      </c>
      <c r="C54" s="68"/>
      <c r="D54" s="68">
        <v>0</v>
      </c>
      <c r="E54" s="68"/>
      <c r="F54" s="68"/>
      <c r="G54" s="68"/>
      <c r="H54" s="68"/>
      <c r="I54" s="68"/>
      <c r="J54" s="68"/>
      <c r="K54" s="68"/>
      <c r="L54" s="678">
        <f t="shared" si="42"/>
        <v>0</v>
      </c>
      <c r="M54" s="679">
        <f t="shared" si="43"/>
        <v>0</v>
      </c>
      <c r="N54" s="206">
        <f t="shared" si="44"/>
        <v>0</v>
      </c>
      <c r="O54" s="68"/>
      <c r="P54" s="68">
        <f t="shared" si="45"/>
        <v>0</v>
      </c>
      <c r="Q54" s="68">
        <f t="shared" si="46"/>
        <v>0</v>
      </c>
      <c r="R54" s="68">
        <f t="shared" si="47"/>
        <v>0</v>
      </c>
      <c r="S54" s="68">
        <f t="shared" si="35"/>
        <v>0</v>
      </c>
      <c r="T54" s="264">
        <f t="shared" si="48"/>
        <v>0</v>
      </c>
      <c r="U54" s="68"/>
      <c r="V54" s="257">
        <f t="shared" si="49"/>
        <v>0</v>
      </c>
    </row>
    <row r="55" spans="1:22" x14ac:dyDescent="0.25">
      <c r="A55" s="14"/>
      <c r="B55" s="20" t="s">
        <v>90</v>
      </c>
      <c r="C55" s="68"/>
      <c r="D55" s="68"/>
      <c r="E55" s="68"/>
      <c r="F55" s="68"/>
      <c r="G55" s="68"/>
      <c r="H55" s="68"/>
      <c r="I55" s="68"/>
      <c r="J55" s="68"/>
      <c r="K55" s="68"/>
      <c r="L55" s="678">
        <f t="shared" si="42"/>
        <v>0</v>
      </c>
      <c r="M55" s="679">
        <f t="shared" si="43"/>
        <v>0</v>
      </c>
      <c r="N55" s="206">
        <f t="shared" si="44"/>
        <v>0</v>
      </c>
      <c r="O55" s="68"/>
      <c r="P55" s="68">
        <f t="shared" si="45"/>
        <v>0</v>
      </c>
      <c r="Q55" s="68">
        <f t="shared" si="46"/>
        <v>0</v>
      </c>
      <c r="R55" s="68">
        <f t="shared" si="47"/>
        <v>0</v>
      </c>
      <c r="S55" s="68">
        <f t="shared" si="35"/>
        <v>0</v>
      </c>
      <c r="T55" s="264">
        <f t="shared" si="48"/>
        <v>0</v>
      </c>
      <c r="U55" s="68"/>
      <c r="V55" s="257">
        <f t="shared" si="49"/>
        <v>0</v>
      </c>
    </row>
    <row r="56" spans="1:22" x14ac:dyDescent="0.25">
      <c r="A56" s="14"/>
      <c r="B56" s="20" t="s">
        <v>53</v>
      </c>
      <c r="C56" s="68"/>
      <c r="D56" s="68"/>
      <c r="E56" s="68"/>
      <c r="F56" s="68"/>
      <c r="G56" s="68"/>
      <c r="H56" s="68"/>
      <c r="I56" s="68"/>
      <c r="J56" s="68"/>
      <c r="K56" s="68"/>
      <c r="L56" s="678">
        <f t="shared" si="42"/>
        <v>0</v>
      </c>
      <c r="M56" s="679">
        <f t="shared" si="43"/>
        <v>0</v>
      </c>
      <c r="N56" s="206">
        <f t="shared" si="44"/>
        <v>0</v>
      </c>
      <c r="O56" s="68"/>
      <c r="P56" s="68">
        <f t="shared" si="45"/>
        <v>0</v>
      </c>
      <c r="Q56" s="68">
        <f t="shared" si="46"/>
        <v>0</v>
      </c>
      <c r="R56" s="68">
        <f t="shared" si="47"/>
        <v>0</v>
      </c>
      <c r="S56" s="68">
        <f t="shared" si="35"/>
        <v>0</v>
      </c>
      <c r="T56" s="264">
        <f t="shared" si="48"/>
        <v>0</v>
      </c>
      <c r="U56" s="68"/>
      <c r="V56" s="257">
        <f t="shared" si="49"/>
        <v>0</v>
      </c>
    </row>
    <row r="57" spans="1:22" x14ac:dyDescent="0.25">
      <c r="A57" s="14" t="s">
        <v>54</v>
      </c>
      <c r="B57" s="20" t="s">
        <v>55</v>
      </c>
      <c r="C57" s="68"/>
      <c r="D57" s="68">
        <v>0</v>
      </c>
      <c r="E57" s="68"/>
      <c r="F57" s="68"/>
      <c r="G57" s="68"/>
      <c r="H57" s="68"/>
      <c r="I57" s="68"/>
      <c r="J57" s="68"/>
      <c r="K57" s="68"/>
      <c r="L57" s="678">
        <f t="shared" si="42"/>
        <v>0</v>
      </c>
      <c r="M57" s="679">
        <f t="shared" si="43"/>
        <v>0</v>
      </c>
      <c r="N57" s="206">
        <f t="shared" si="44"/>
        <v>0</v>
      </c>
      <c r="O57" s="68"/>
      <c r="P57" s="68">
        <f t="shared" si="45"/>
        <v>0</v>
      </c>
      <c r="Q57" s="68">
        <f t="shared" si="46"/>
        <v>0</v>
      </c>
      <c r="R57" s="68">
        <f t="shared" si="47"/>
        <v>0</v>
      </c>
      <c r="S57" s="68">
        <f t="shared" si="35"/>
        <v>0</v>
      </c>
      <c r="T57" s="264">
        <f t="shared" si="48"/>
        <v>0</v>
      </c>
      <c r="U57" s="68"/>
      <c r="V57" s="257">
        <f t="shared" si="49"/>
        <v>0</v>
      </c>
    </row>
    <row r="58" spans="1:22" x14ac:dyDescent="0.25">
      <c r="A58" s="14"/>
      <c r="B58" s="20" t="s">
        <v>56</v>
      </c>
      <c r="C58" s="68"/>
      <c r="D58" s="68"/>
      <c r="E58" s="68"/>
      <c r="F58" s="68"/>
      <c r="G58" s="68"/>
      <c r="H58" s="68"/>
      <c r="I58" s="68"/>
      <c r="J58" s="68"/>
      <c r="K58" s="68"/>
      <c r="L58" s="678">
        <f t="shared" si="42"/>
        <v>0</v>
      </c>
      <c r="M58" s="679">
        <f t="shared" si="43"/>
        <v>0</v>
      </c>
      <c r="N58" s="206">
        <f t="shared" si="44"/>
        <v>0</v>
      </c>
      <c r="O58" s="68"/>
      <c r="P58" s="68">
        <f t="shared" si="45"/>
        <v>0</v>
      </c>
      <c r="Q58" s="68">
        <f t="shared" si="46"/>
        <v>0</v>
      </c>
      <c r="R58" s="68">
        <f t="shared" si="47"/>
        <v>0</v>
      </c>
      <c r="S58" s="68">
        <f t="shared" si="35"/>
        <v>0</v>
      </c>
      <c r="T58" s="264">
        <f t="shared" si="48"/>
        <v>0</v>
      </c>
      <c r="U58" s="68"/>
      <c r="V58" s="257">
        <f t="shared" si="49"/>
        <v>0</v>
      </c>
    </row>
    <row r="59" spans="1:22" x14ac:dyDescent="0.25">
      <c r="A59" s="14" t="s">
        <v>57</v>
      </c>
      <c r="B59" s="20" t="s">
        <v>91</v>
      </c>
      <c r="C59" s="68">
        <f>500000</f>
        <v>500000</v>
      </c>
      <c r="D59" s="68">
        <v>500000</v>
      </c>
      <c r="E59" s="68">
        <v>500000</v>
      </c>
      <c r="F59" s="68"/>
      <c r="G59" s="68"/>
      <c r="H59" s="68">
        <v>88704</v>
      </c>
      <c r="I59" s="68">
        <v>94216</v>
      </c>
      <c r="J59" s="68"/>
      <c r="K59" s="68"/>
      <c r="L59" s="678">
        <f t="shared" si="42"/>
        <v>0.17740800000000001</v>
      </c>
      <c r="M59" s="684">
        <f t="shared" si="43"/>
        <v>0.18843199999999999</v>
      </c>
      <c r="N59" s="206">
        <f t="shared" si="44"/>
        <v>0</v>
      </c>
      <c r="O59" s="68"/>
      <c r="P59" s="68">
        <f t="shared" si="45"/>
        <v>0</v>
      </c>
      <c r="Q59" s="68">
        <f t="shared" si="46"/>
        <v>0</v>
      </c>
      <c r="R59" s="68">
        <f t="shared" si="47"/>
        <v>0</v>
      </c>
      <c r="S59" s="68">
        <f t="shared" si="35"/>
        <v>0</v>
      </c>
      <c r="T59" s="264">
        <f t="shared" si="48"/>
        <v>0</v>
      </c>
      <c r="U59" s="68"/>
      <c r="V59" s="257">
        <f t="shared" si="49"/>
        <v>0</v>
      </c>
    </row>
    <row r="60" spans="1:22" x14ac:dyDescent="0.25">
      <c r="A60" s="14"/>
      <c r="B60" s="20" t="s">
        <v>58</v>
      </c>
      <c r="C60" s="68"/>
      <c r="D60" s="68"/>
      <c r="E60" s="68"/>
      <c r="F60" s="68"/>
      <c r="G60" s="68"/>
      <c r="H60" s="68"/>
      <c r="I60" s="68"/>
      <c r="J60" s="68"/>
      <c r="K60" s="68"/>
      <c r="L60" s="678">
        <f t="shared" si="42"/>
        <v>0</v>
      </c>
      <c r="M60" s="679">
        <f t="shared" si="43"/>
        <v>0</v>
      </c>
      <c r="N60" s="206">
        <f t="shared" si="44"/>
        <v>0</v>
      </c>
      <c r="O60" s="68"/>
      <c r="P60" s="68">
        <f t="shared" si="45"/>
        <v>0</v>
      </c>
      <c r="Q60" s="68">
        <f t="shared" si="46"/>
        <v>0</v>
      </c>
      <c r="R60" s="68">
        <f t="shared" si="47"/>
        <v>0</v>
      </c>
      <c r="S60" s="68">
        <f t="shared" si="35"/>
        <v>0</v>
      </c>
      <c r="T60" s="264">
        <f t="shared" si="48"/>
        <v>0</v>
      </c>
      <c r="U60" s="68"/>
      <c r="V60" s="257">
        <f t="shared" si="49"/>
        <v>0</v>
      </c>
    </row>
    <row r="61" spans="1:22" x14ac:dyDescent="0.25">
      <c r="A61" s="14" t="s">
        <v>59</v>
      </c>
      <c r="B61" s="20" t="s">
        <v>60</v>
      </c>
      <c r="C61" s="68"/>
      <c r="D61" s="68"/>
      <c r="E61" s="68"/>
      <c r="F61" s="68"/>
      <c r="G61" s="68"/>
      <c r="H61" s="68"/>
      <c r="I61" s="68"/>
      <c r="J61" s="68"/>
      <c r="K61" s="68"/>
      <c r="L61" s="678">
        <f t="shared" si="42"/>
        <v>0</v>
      </c>
      <c r="M61" s="679">
        <f t="shared" si="43"/>
        <v>0</v>
      </c>
      <c r="N61" s="206">
        <f t="shared" si="44"/>
        <v>0</v>
      </c>
      <c r="O61" s="68"/>
      <c r="P61" s="68">
        <f t="shared" si="45"/>
        <v>0</v>
      </c>
      <c r="Q61" s="68">
        <f t="shared" si="46"/>
        <v>0</v>
      </c>
      <c r="R61" s="68">
        <f t="shared" si="47"/>
        <v>0</v>
      </c>
      <c r="S61" s="68">
        <f t="shared" si="35"/>
        <v>0</v>
      </c>
      <c r="T61" s="264">
        <f t="shared" si="48"/>
        <v>0</v>
      </c>
      <c r="U61" s="68"/>
      <c r="V61" s="257">
        <f t="shared" si="49"/>
        <v>0</v>
      </c>
    </row>
    <row r="62" spans="1:22" ht="26.4" x14ac:dyDescent="0.25">
      <c r="A62" s="20"/>
      <c r="B62" s="20" t="s">
        <v>61</v>
      </c>
      <c r="C62" s="68"/>
      <c r="D62" s="68"/>
      <c r="E62" s="68"/>
      <c r="F62" s="68"/>
      <c r="G62" s="68"/>
      <c r="H62" s="68"/>
      <c r="I62" s="68"/>
      <c r="J62" s="68"/>
      <c r="K62" s="68"/>
      <c r="L62" s="678">
        <f t="shared" si="42"/>
        <v>0</v>
      </c>
      <c r="M62" s="679">
        <f t="shared" si="43"/>
        <v>0</v>
      </c>
      <c r="N62" s="206">
        <f t="shared" si="44"/>
        <v>0</v>
      </c>
      <c r="O62" s="68"/>
      <c r="P62" s="68">
        <f t="shared" si="45"/>
        <v>0</v>
      </c>
      <c r="Q62" s="68">
        <f t="shared" si="46"/>
        <v>0</v>
      </c>
      <c r="R62" s="68">
        <f t="shared" si="47"/>
        <v>0</v>
      </c>
      <c r="S62" s="68">
        <f t="shared" si="35"/>
        <v>0</v>
      </c>
      <c r="T62" s="264">
        <f t="shared" si="48"/>
        <v>0</v>
      </c>
      <c r="U62" s="68"/>
      <c r="V62" s="257">
        <f t="shared" si="49"/>
        <v>0</v>
      </c>
    </row>
    <row r="63" spans="1:22" x14ac:dyDescent="0.25">
      <c r="A63" s="14" t="s">
        <v>62</v>
      </c>
      <c r="B63" s="20" t="s">
        <v>63</v>
      </c>
      <c r="C63" s="68">
        <f>940000+1150000</f>
        <v>2090000</v>
      </c>
      <c r="D63" s="68">
        <v>2090000</v>
      </c>
      <c r="E63" s="68">
        <v>2090000</v>
      </c>
      <c r="F63" s="68"/>
      <c r="G63" s="68"/>
      <c r="H63" s="68">
        <v>946300</v>
      </c>
      <c r="I63" s="68">
        <v>1030300</v>
      </c>
      <c r="J63" s="68"/>
      <c r="K63" s="68"/>
      <c r="L63" s="678">
        <f t="shared" si="42"/>
        <v>0.45277511961722489</v>
      </c>
      <c r="M63" s="684">
        <f t="shared" si="43"/>
        <v>0.4929665071770335</v>
      </c>
      <c r="N63" s="206">
        <f t="shared" si="44"/>
        <v>0</v>
      </c>
      <c r="O63" s="68"/>
      <c r="P63" s="68">
        <f t="shared" si="45"/>
        <v>0</v>
      </c>
      <c r="Q63" s="68">
        <f t="shared" si="46"/>
        <v>0</v>
      </c>
      <c r="R63" s="68">
        <f t="shared" si="47"/>
        <v>0</v>
      </c>
      <c r="S63" s="68">
        <f t="shared" si="35"/>
        <v>0</v>
      </c>
      <c r="T63" s="264">
        <f t="shared" si="48"/>
        <v>0</v>
      </c>
      <c r="U63" s="68"/>
      <c r="V63" s="257">
        <f t="shared" si="49"/>
        <v>0</v>
      </c>
    </row>
    <row r="64" spans="1:22" ht="79.2" x14ac:dyDescent="0.25">
      <c r="A64" s="14"/>
      <c r="B64" s="20" t="s">
        <v>102</v>
      </c>
      <c r="C64" s="68"/>
      <c r="D64" s="68"/>
      <c r="E64" s="68"/>
      <c r="F64" s="68"/>
      <c r="G64" s="68"/>
      <c r="H64" s="68">
        <v>0</v>
      </c>
      <c r="I64" s="68"/>
      <c r="J64" s="68"/>
      <c r="K64" s="68"/>
      <c r="L64" s="678">
        <f t="shared" si="42"/>
        <v>0</v>
      </c>
      <c r="M64" s="679">
        <f t="shared" si="43"/>
        <v>0</v>
      </c>
      <c r="N64" s="206">
        <f t="shared" si="44"/>
        <v>0</v>
      </c>
      <c r="O64" s="68"/>
      <c r="P64" s="68">
        <f t="shared" si="45"/>
        <v>0</v>
      </c>
      <c r="Q64" s="68">
        <f t="shared" si="46"/>
        <v>0</v>
      </c>
      <c r="R64" s="68">
        <f t="shared" si="47"/>
        <v>0</v>
      </c>
      <c r="S64" s="68">
        <f t="shared" si="35"/>
        <v>0</v>
      </c>
      <c r="T64" s="264">
        <f t="shared" si="48"/>
        <v>0</v>
      </c>
      <c r="U64" s="68"/>
      <c r="V64" s="257">
        <f t="shared" si="49"/>
        <v>0</v>
      </c>
    </row>
    <row r="65" spans="1:24" x14ac:dyDescent="0.25">
      <c r="A65" s="14" t="s">
        <v>64</v>
      </c>
      <c r="B65" s="20" t="s">
        <v>65</v>
      </c>
      <c r="C65" s="68">
        <v>500000</v>
      </c>
      <c r="D65" s="68">
        <v>500000</v>
      </c>
      <c r="E65" s="68">
        <v>500000</v>
      </c>
      <c r="F65" s="68"/>
      <c r="G65" s="68"/>
      <c r="H65" s="68">
        <v>320213</v>
      </c>
      <c r="I65" s="68">
        <v>437973</v>
      </c>
      <c r="J65" s="68"/>
      <c r="K65" s="68"/>
      <c r="L65" s="678">
        <f t="shared" si="42"/>
        <v>0.64042600000000005</v>
      </c>
      <c r="M65" s="684">
        <f t="shared" si="43"/>
        <v>0.875946</v>
      </c>
      <c r="N65" s="206">
        <f t="shared" si="44"/>
        <v>0</v>
      </c>
      <c r="O65" s="68"/>
      <c r="P65" s="68">
        <f t="shared" si="45"/>
        <v>0</v>
      </c>
      <c r="Q65" s="68">
        <f t="shared" si="46"/>
        <v>0</v>
      </c>
      <c r="R65" s="68">
        <f t="shared" si="47"/>
        <v>0</v>
      </c>
      <c r="S65" s="68">
        <f t="shared" si="35"/>
        <v>0</v>
      </c>
      <c r="T65" s="264">
        <f t="shared" si="48"/>
        <v>0</v>
      </c>
      <c r="U65" s="68"/>
      <c r="V65" s="257">
        <f t="shared" si="49"/>
        <v>0</v>
      </c>
    </row>
    <row r="66" spans="1:24" ht="39.6" x14ac:dyDescent="0.25">
      <c r="A66" s="14"/>
      <c r="B66" s="20" t="s">
        <v>66</v>
      </c>
      <c r="C66" s="68"/>
      <c r="D66" s="68"/>
      <c r="E66" s="68"/>
      <c r="F66" s="68"/>
      <c r="G66" s="68"/>
      <c r="H66" s="68"/>
      <c r="I66" s="68"/>
      <c r="J66" s="68"/>
      <c r="K66" s="68"/>
      <c r="L66" s="678">
        <f t="shared" ref="L66:N102" si="50">IF(H66&gt;0,H66/C66,0)</f>
        <v>0</v>
      </c>
      <c r="M66" s="679">
        <f t="shared" ref="M66:M102" si="51">IF(I66&gt;0,I66/D66,0)</f>
        <v>0</v>
      </c>
      <c r="N66" s="206">
        <f t="shared" ref="N66:N102" si="52">IF(J66&gt;0,J66/E66,0)</f>
        <v>0</v>
      </c>
      <c r="O66" s="68"/>
      <c r="P66" s="68">
        <f t="shared" si="45"/>
        <v>0</v>
      </c>
      <c r="Q66" s="68">
        <f t="shared" si="46"/>
        <v>0</v>
      </c>
      <c r="R66" s="68">
        <f t="shared" si="47"/>
        <v>0</v>
      </c>
      <c r="S66" s="68">
        <f t="shared" si="35"/>
        <v>0</v>
      </c>
      <c r="T66" s="264">
        <f t="shared" si="48"/>
        <v>0</v>
      </c>
      <c r="U66" s="68"/>
      <c r="V66" s="257">
        <f t="shared" si="49"/>
        <v>0</v>
      </c>
    </row>
    <row r="67" spans="1:24" s="42" customFormat="1" x14ac:dyDescent="0.25">
      <c r="A67" s="38" t="s">
        <v>67</v>
      </c>
      <c r="B67" s="39" t="s">
        <v>68</v>
      </c>
      <c r="C67" s="95">
        <f>+C68+C70</f>
        <v>200000</v>
      </c>
      <c r="D67" s="95">
        <f t="shared" ref="D67:F67" si="53">+D68+D70</f>
        <v>200000</v>
      </c>
      <c r="E67" s="95">
        <f t="shared" si="53"/>
        <v>200000</v>
      </c>
      <c r="F67" s="95">
        <f t="shared" si="53"/>
        <v>0</v>
      </c>
      <c r="G67" s="95"/>
      <c r="H67" s="95">
        <f>+H68+H70</f>
        <v>72125</v>
      </c>
      <c r="I67" s="95">
        <f>+I68+I70</f>
        <v>95105</v>
      </c>
      <c r="J67" s="95"/>
      <c r="K67" s="95"/>
      <c r="L67" s="682">
        <f t="shared" si="50"/>
        <v>0.36062499999999997</v>
      </c>
      <c r="M67" s="683">
        <f t="shared" si="51"/>
        <v>0.47552499999999998</v>
      </c>
      <c r="N67" s="209">
        <f t="shared" si="52"/>
        <v>0</v>
      </c>
      <c r="O67" s="95"/>
      <c r="P67" s="95">
        <f t="shared" si="45"/>
        <v>0</v>
      </c>
      <c r="Q67" s="95">
        <f t="shared" si="46"/>
        <v>0</v>
      </c>
      <c r="R67" s="95">
        <f t="shared" si="47"/>
        <v>0</v>
      </c>
      <c r="S67" s="95">
        <f t="shared" si="35"/>
        <v>0</v>
      </c>
      <c r="T67" s="265">
        <f t="shared" si="48"/>
        <v>0</v>
      </c>
      <c r="U67" s="95"/>
      <c r="V67" s="259">
        <f t="shared" si="49"/>
        <v>0</v>
      </c>
      <c r="X67" s="58"/>
    </row>
    <row r="68" spans="1:24" x14ac:dyDescent="0.25">
      <c r="A68" s="14" t="s">
        <v>69</v>
      </c>
      <c r="B68" s="20" t="s">
        <v>70</v>
      </c>
      <c r="C68" s="68">
        <v>200000</v>
      </c>
      <c r="D68" s="68">
        <v>200000</v>
      </c>
      <c r="E68" s="68">
        <v>200000</v>
      </c>
      <c r="F68" s="68"/>
      <c r="G68" s="68"/>
      <c r="H68" s="68">
        <v>72125</v>
      </c>
      <c r="I68" s="68">
        <v>95105</v>
      </c>
      <c r="J68" s="68"/>
      <c r="K68" s="68"/>
      <c r="L68" s="678">
        <f t="shared" si="50"/>
        <v>0.36062499999999997</v>
      </c>
      <c r="M68" s="679">
        <f t="shared" si="51"/>
        <v>0.47552499999999998</v>
      </c>
      <c r="N68" s="206">
        <f t="shared" si="52"/>
        <v>0</v>
      </c>
      <c r="O68" s="68"/>
      <c r="P68" s="68">
        <f t="shared" si="45"/>
        <v>0</v>
      </c>
      <c r="Q68" s="68">
        <f t="shared" si="46"/>
        <v>0</v>
      </c>
      <c r="R68" s="68">
        <f t="shared" si="47"/>
        <v>0</v>
      </c>
      <c r="S68" s="68">
        <f t="shared" si="35"/>
        <v>0</v>
      </c>
      <c r="T68" s="264">
        <f t="shared" si="48"/>
        <v>0</v>
      </c>
      <c r="U68" s="68"/>
      <c r="V68" s="257">
        <f t="shared" si="49"/>
        <v>0</v>
      </c>
    </row>
    <row r="69" spans="1:24" ht="39.6" x14ac:dyDescent="0.25">
      <c r="A69" s="14"/>
      <c r="B69" s="20" t="s">
        <v>71</v>
      </c>
      <c r="C69" s="68"/>
      <c r="D69" s="68">
        <v>0</v>
      </c>
      <c r="E69" s="68"/>
      <c r="F69" s="68"/>
      <c r="G69" s="68"/>
      <c r="H69" s="68"/>
      <c r="I69" s="68"/>
      <c r="J69" s="68"/>
      <c r="K69" s="68"/>
      <c r="L69" s="678">
        <f t="shared" si="50"/>
        <v>0</v>
      </c>
      <c r="M69" s="679">
        <f t="shared" si="51"/>
        <v>0</v>
      </c>
      <c r="N69" s="206">
        <f t="shared" si="52"/>
        <v>0</v>
      </c>
      <c r="O69" s="68"/>
      <c r="P69" s="68">
        <f t="shared" si="45"/>
        <v>0</v>
      </c>
      <c r="Q69" s="68">
        <f t="shared" si="46"/>
        <v>0</v>
      </c>
      <c r="R69" s="68">
        <f t="shared" si="47"/>
        <v>0</v>
      </c>
      <c r="S69" s="68">
        <f t="shared" si="35"/>
        <v>0</v>
      </c>
      <c r="T69" s="264">
        <f t="shared" si="48"/>
        <v>0</v>
      </c>
      <c r="U69" s="68"/>
      <c r="V69" s="257">
        <f t="shared" si="49"/>
        <v>0</v>
      </c>
      <c r="X69" s="37"/>
    </row>
    <row r="70" spans="1:24" x14ac:dyDescent="0.25">
      <c r="A70" s="14" t="s">
        <v>72</v>
      </c>
      <c r="B70" s="20" t="s">
        <v>100</v>
      </c>
      <c r="C70" s="68"/>
      <c r="D70" s="68"/>
      <c r="E70" s="68"/>
      <c r="F70" s="68"/>
      <c r="G70" s="68"/>
      <c r="H70" s="68"/>
      <c r="I70" s="68"/>
      <c r="J70" s="68"/>
      <c r="K70" s="68"/>
      <c r="L70" s="678">
        <f t="shared" si="50"/>
        <v>0</v>
      </c>
      <c r="M70" s="679">
        <f t="shared" si="51"/>
        <v>0</v>
      </c>
      <c r="N70" s="206">
        <f t="shared" si="52"/>
        <v>0</v>
      </c>
      <c r="O70" s="68"/>
      <c r="P70" s="68">
        <f t="shared" si="45"/>
        <v>0</v>
      </c>
      <c r="Q70" s="68">
        <f t="shared" si="46"/>
        <v>0</v>
      </c>
      <c r="R70" s="68">
        <f t="shared" si="47"/>
        <v>0</v>
      </c>
      <c r="S70" s="68">
        <f t="shared" si="35"/>
        <v>0</v>
      </c>
      <c r="T70" s="264">
        <f t="shared" si="48"/>
        <v>0</v>
      </c>
      <c r="U70" s="68"/>
      <c r="V70" s="257">
        <f t="shared" si="49"/>
        <v>0</v>
      </c>
      <c r="X70" s="37"/>
    </row>
    <row r="71" spans="1:24" ht="39.6" x14ac:dyDescent="0.25">
      <c r="A71" s="14"/>
      <c r="B71" s="20" t="s">
        <v>73</v>
      </c>
      <c r="C71" s="68"/>
      <c r="D71" s="68"/>
      <c r="E71" s="68"/>
      <c r="F71" s="68"/>
      <c r="G71" s="68"/>
      <c r="H71" s="68"/>
      <c r="I71" s="68"/>
      <c r="J71" s="68"/>
      <c r="K71" s="68"/>
      <c r="L71" s="678">
        <f t="shared" si="50"/>
        <v>0</v>
      </c>
      <c r="M71" s="679">
        <f t="shared" si="51"/>
        <v>0</v>
      </c>
      <c r="N71" s="206">
        <f t="shared" si="52"/>
        <v>0</v>
      </c>
      <c r="O71" s="68"/>
      <c r="P71" s="68">
        <f t="shared" si="45"/>
        <v>0</v>
      </c>
      <c r="Q71" s="68">
        <f t="shared" si="46"/>
        <v>0</v>
      </c>
      <c r="R71" s="68">
        <f t="shared" si="47"/>
        <v>0</v>
      </c>
      <c r="S71" s="68">
        <f t="shared" si="35"/>
        <v>0</v>
      </c>
      <c r="T71" s="264">
        <f t="shared" si="48"/>
        <v>0</v>
      </c>
      <c r="U71" s="68"/>
      <c r="V71" s="257">
        <f t="shared" si="49"/>
        <v>0</v>
      </c>
      <c r="X71" s="37"/>
    </row>
    <row r="72" spans="1:24" x14ac:dyDescent="0.25">
      <c r="A72" s="38" t="s">
        <v>74</v>
      </c>
      <c r="B72" s="39" t="s">
        <v>75</v>
      </c>
      <c r="C72" s="95">
        <f>+C73+C75+C77+C79+C81</f>
        <v>2205000</v>
      </c>
      <c r="D72" s="95">
        <f>+D73+D75+D77+D79+D81</f>
        <v>2205000</v>
      </c>
      <c r="E72" s="95">
        <f>+E73+E75+E77+E79+E81</f>
        <v>2205000</v>
      </c>
      <c r="F72" s="95">
        <f>+F73+F75+F77+F79+F81</f>
        <v>0</v>
      </c>
      <c r="G72" s="95"/>
      <c r="H72" s="95">
        <f>+H73+H75+H77+H79+H81</f>
        <v>814865</v>
      </c>
      <c r="I72" s="95">
        <f>+I73+I75+I77+I79+I81</f>
        <v>1276766</v>
      </c>
      <c r="J72" s="95">
        <f>+J73+J75+J77+J79+J81</f>
        <v>0</v>
      </c>
      <c r="K72" s="95"/>
      <c r="L72" s="682">
        <f t="shared" si="50"/>
        <v>0.36955328798185944</v>
      </c>
      <c r="M72" s="683">
        <f t="shared" si="51"/>
        <v>0.57903219954648522</v>
      </c>
      <c r="N72" s="209">
        <f t="shared" si="52"/>
        <v>0</v>
      </c>
      <c r="O72" s="95"/>
      <c r="P72" s="95">
        <f t="shared" si="45"/>
        <v>0</v>
      </c>
      <c r="Q72" s="95">
        <f t="shared" si="46"/>
        <v>0</v>
      </c>
      <c r="R72" s="95">
        <f t="shared" si="47"/>
        <v>0</v>
      </c>
      <c r="S72" s="95">
        <f t="shared" si="35"/>
        <v>0</v>
      </c>
      <c r="T72" s="265">
        <f t="shared" si="48"/>
        <v>0</v>
      </c>
      <c r="U72" s="95"/>
      <c r="V72" s="259">
        <f t="shared" si="49"/>
        <v>0</v>
      </c>
      <c r="X72" s="37"/>
    </row>
    <row r="73" spans="1:24" x14ac:dyDescent="0.25">
      <c r="A73" s="14" t="s">
        <v>76</v>
      </c>
      <c r="B73" s="20" t="s">
        <v>77</v>
      </c>
      <c r="C73" s="68">
        <v>2200000</v>
      </c>
      <c r="D73" s="68">
        <v>2197000</v>
      </c>
      <c r="E73" s="68">
        <v>2197000</v>
      </c>
      <c r="F73" s="68"/>
      <c r="G73" s="68"/>
      <c r="H73" s="68">
        <v>810058</v>
      </c>
      <c r="I73" s="68">
        <v>1271899</v>
      </c>
      <c r="J73" s="68"/>
      <c r="K73" s="68"/>
      <c r="L73" s="678">
        <f t="shared" si="50"/>
        <v>0.36820818181818182</v>
      </c>
      <c r="M73" s="684">
        <f t="shared" si="51"/>
        <v>0.57892535275375512</v>
      </c>
      <c r="N73" s="206">
        <f t="shared" si="52"/>
        <v>0</v>
      </c>
      <c r="O73" s="68"/>
      <c r="P73" s="68">
        <f t="shared" si="45"/>
        <v>-3000</v>
      </c>
      <c r="Q73" s="68">
        <f t="shared" si="46"/>
        <v>0</v>
      </c>
      <c r="R73" s="68">
        <f t="shared" si="47"/>
        <v>0</v>
      </c>
      <c r="S73" s="68">
        <f t="shared" si="35"/>
        <v>-3000</v>
      </c>
      <c r="T73" s="264">
        <f t="shared" si="48"/>
        <v>-1.3636363636363637E-3</v>
      </c>
      <c r="U73" s="68"/>
      <c r="V73" s="257">
        <f t="shared" si="49"/>
        <v>0</v>
      </c>
      <c r="X73" s="37"/>
    </row>
    <row r="74" spans="1:24" x14ac:dyDescent="0.25">
      <c r="A74" s="14"/>
      <c r="B74" s="20" t="s">
        <v>78</v>
      </c>
      <c r="C74" s="68"/>
      <c r="D74" s="68">
        <v>0</v>
      </c>
      <c r="E74" s="68">
        <v>0</v>
      </c>
      <c r="F74" s="68"/>
      <c r="G74" s="68"/>
      <c r="H74" s="68"/>
      <c r="I74" s="68"/>
      <c r="J74" s="68"/>
      <c r="K74" s="68"/>
      <c r="L74" s="678">
        <f t="shared" si="50"/>
        <v>0</v>
      </c>
      <c r="M74" s="679">
        <f t="shared" si="51"/>
        <v>0</v>
      </c>
      <c r="N74" s="206">
        <f t="shared" si="52"/>
        <v>0</v>
      </c>
      <c r="O74" s="68"/>
      <c r="P74" s="68">
        <f t="shared" si="45"/>
        <v>0</v>
      </c>
      <c r="Q74" s="68">
        <f t="shared" si="46"/>
        <v>0</v>
      </c>
      <c r="R74" s="68">
        <f t="shared" si="47"/>
        <v>0</v>
      </c>
      <c r="S74" s="68">
        <f t="shared" si="35"/>
        <v>0</v>
      </c>
      <c r="T74" s="264">
        <f t="shared" si="48"/>
        <v>0</v>
      </c>
      <c r="U74" s="68"/>
      <c r="V74" s="257">
        <f t="shared" si="49"/>
        <v>0</v>
      </c>
      <c r="X74" s="37"/>
    </row>
    <row r="75" spans="1:24" x14ac:dyDescent="0.25">
      <c r="A75" s="14" t="s">
        <v>79</v>
      </c>
      <c r="B75" s="20" t="s">
        <v>80</v>
      </c>
      <c r="C75" s="68"/>
      <c r="D75" s="68">
        <v>3000</v>
      </c>
      <c r="E75" s="68">
        <v>3000</v>
      </c>
      <c r="F75" s="68"/>
      <c r="G75" s="68"/>
      <c r="H75" s="68">
        <v>3000</v>
      </c>
      <c r="I75" s="68">
        <v>3000</v>
      </c>
      <c r="J75" s="68"/>
      <c r="K75" s="68"/>
      <c r="L75" s="678" t="e">
        <f t="shared" si="50"/>
        <v>#DIV/0!</v>
      </c>
      <c r="M75" s="679">
        <f t="shared" si="51"/>
        <v>1</v>
      </c>
      <c r="N75" s="206">
        <f t="shared" si="52"/>
        <v>0</v>
      </c>
      <c r="O75" s="68"/>
      <c r="P75" s="68">
        <f t="shared" si="45"/>
        <v>3000</v>
      </c>
      <c r="Q75" s="68">
        <f t="shared" si="46"/>
        <v>0</v>
      </c>
      <c r="R75" s="68">
        <f t="shared" si="47"/>
        <v>0</v>
      </c>
      <c r="S75" s="68">
        <f t="shared" si="35"/>
        <v>3000</v>
      </c>
      <c r="T75" s="264">
        <f t="shared" si="48"/>
        <v>0</v>
      </c>
      <c r="U75" s="68"/>
      <c r="V75" s="257">
        <f t="shared" si="49"/>
        <v>0</v>
      </c>
      <c r="X75" s="37"/>
    </row>
    <row r="76" spans="1:24" ht="26.4" x14ac:dyDescent="0.25">
      <c r="A76" s="14"/>
      <c r="B76" s="20" t="s">
        <v>101</v>
      </c>
      <c r="C76" s="68"/>
      <c r="D76" s="68"/>
      <c r="E76" s="68"/>
      <c r="F76" s="68"/>
      <c r="G76" s="68"/>
      <c r="H76" s="68"/>
      <c r="I76" s="68"/>
      <c r="J76" s="68"/>
      <c r="K76" s="68"/>
      <c r="L76" s="678">
        <f t="shared" si="50"/>
        <v>0</v>
      </c>
      <c r="M76" s="679">
        <f t="shared" si="51"/>
        <v>0</v>
      </c>
      <c r="N76" s="206">
        <f t="shared" si="52"/>
        <v>0</v>
      </c>
      <c r="O76" s="68"/>
      <c r="P76" s="68">
        <f t="shared" si="45"/>
        <v>0</v>
      </c>
      <c r="Q76" s="68">
        <f t="shared" si="46"/>
        <v>0</v>
      </c>
      <c r="R76" s="68">
        <f t="shared" si="47"/>
        <v>0</v>
      </c>
      <c r="S76" s="68">
        <f t="shared" si="35"/>
        <v>0</v>
      </c>
      <c r="T76" s="264">
        <f t="shared" si="48"/>
        <v>0</v>
      </c>
      <c r="U76" s="68"/>
      <c r="V76" s="257">
        <f t="shared" si="49"/>
        <v>0</v>
      </c>
      <c r="X76" s="37"/>
    </row>
    <row r="77" spans="1:24" x14ac:dyDescent="0.25">
      <c r="A77" s="14" t="s">
        <v>81</v>
      </c>
      <c r="B77" s="20" t="s">
        <v>82</v>
      </c>
      <c r="C77" s="68"/>
      <c r="D77" s="68"/>
      <c r="E77" s="68"/>
      <c r="F77" s="68"/>
      <c r="G77" s="68"/>
      <c r="H77" s="68"/>
      <c r="I77" s="68"/>
      <c r="J77" s="68"/>
      <c r="K77" s="68"/>
      <c r="L77" s="678">
        <f t="shared" si="50"/>
        <v>0</v>
      </c>
      <c r="M77" s="679">
        <f t="shared" si="51"/>
        <v>0</v>
      </c>
      <c r="N77" s="206">
        <f t="shared" si="52"/>
        <v>0</v>
      </c>
      <c r="O77" s="68"/>
      <c r="P77" s="68">
        <f t="shared" si="45"/>
        <v>0</v>
      </c>
      <c r="Q77" s="68">
        <f t="shared" si="46"/>
        <v>0</v>
      </c>
      <c r="R77" s="68">
        <f t="shared" si="47"/>
        <v>0</v>
      </c>
      <c r="S77" s="68">
        <f t="shared" si="35"/>
        <v>0</v>
      </c>
      <c r="T77" s="264">
        <f t="shared" si="48"/>
        <v>0</v>
      </c>
      <c r="U77" s="68"/>
      <c r="V77" s="257">
        <f t="shared" si="49"/>
        <v>0</v>
      </c>
      <c r="X77" s="37"/>
    </row>
    <row r="78" spans="1:24" ht="26.4" x14ac:dyDescent="0.25">
      <c r="A78" s="14"/>
      <c r="B78" s="20" t="s">
        <v>83</v>
      </c>
      <c r="C78" s="68"/>
      <c r="D78" s="68"/>
      <c r="E78" s="68"/>
      <c r="F78" s="68"/>
      <c r="G78" s="68"/>
      <c r="H78" s="68"/>
      <c r="I78" s="68"/>
      <c r="J78" s="68"/>
      <c r="K78" s="68"/>
      <c r="L78" s="678">
        <f t="shared" si="50"/>
        <v>0</v>
      </c>
      <c r="M78" s="679">
        <f t="shared" si="51"/>
        <v>0</v>
      </c>
      <c r="N78" s="206">
        <f t="shared" si="52"/>
        <v>0</v>
      </c>
      <c r="O78" s="68"/>
      <c r="P78" s="68">
        <f t="shared" si="45"/>
        <v>0</v>
      </c>
      <c r="Q78" s="68">
        <f t="shared" si="46"/>
        <v>0</v>
      </c>
      <c r="R78" s="68">
        <f t="shared" si="47"/>
        <v>0</v>
      </c>
      <c r="S78" s="68">
        <f t="shared" si="35"/>
        <v>0</v>
      </c>
      <c r="T78" s="264">
        <f t="shared" si="48"/>
        <v>0</v>
      </c>
      <c r="U78" s="68"/>
      <c r="V78" s="257">
        <f t="shared" si="49"/>
        <v>0</v>
      </c>
      <c r="X78" s="37"/>
    </row>
    <row r="79" spans="1:24" x14ac:dyDescent="0.25">
      <c r="A79" s="14" t="s">
        <v>84</v>
      </c>
      <c r="B79" s="20" t="s">
        <v>85</v>
      </c>
      <c r="C79" s="68"/>
      <c r="D79" s="68"/>
      <c r="E79" s="68"/>
      <c r="F79" s="68"/>
      <c r="G79" s="68"/>
      <c r="H79" s="68"/>
      <c r="I79" s="68"/>
      <c r="J79" s="68"/>
      <c r="K79" s="68"/>
      <c r="L79" s="678">
        <f t="shared" si="50"/>
        <v>0</v>
      </c>
      <c r="M79" s="679">
        <f t="shared" si="51"/>
        <v>0</v>
      </c>
      <c r="N79" s="206">
        <f t="shared" si="52"/>
        <v>0</v>
      </c>
      <c r="O79" s="68"/>
      <c r="P79" s="68">
        <f t="shared" si="45"/>
        <v>0</v>
      </c>
      <c r="Q79" s="68">
        <f t="shared" si="46"/>
        <v>0</v>
      </c>
      <c r="R79" s="68">
        <f t="shared" si="47"/>
        <v>0</v>
      </c>
      <c r="S79" s="68">
        <f t="shared" si="35"/>
        <v>0</v>
      </c>
      <c r="T79" s="264">
        <f t="shared" si="48"/>
        <v>0</v>
      </c>
      <c r="U79" s="68"/>
      <c r="V79" s="257">
        <f t="shared" si="49"/>
        <v>0</v>
      </c>
      <c r="X79" s="37"/>
    </row>
    <row r="80" spans="1:24" x14ac:dyDescent="0.25">
      <c r="A80" s="14"/>
      <c r="B80" s="20" t="s">
        <v>86</v>
      </c>
      <c r="C80" s="68"/>
      <c r="D80" s="68"/>
      <c r="E80" s="68"/>
      <c r="F80" s="68"/>
      <c r="G80" s="68"/>
      <c r="H80" s="68"/>
      <c r="I80" s="68"/>
      <c r="J80" s="68"/>
      <c r="K80" s="68"/>
      <c r="L80" s="678">
        <f t="shared" si="50"/>
        <v>0</v>
      </c>
      <c r="M80" s="679">
        <f t="shared" si="51"/>
        <v>0</v>
      </c>
      <c r="N80" s="206">
        <f t="shared" si="52"/>
        <v>0</v>
      </c>
      <c r="O80" s="68"/>
      <c r="P80" s="68">
        <f t="shared" si="45"/>
        <v>0</v>
      </c>
      <c r="Q80" s="68">
        <f t="shared" si="46"/>
        <v>0</v>
      </c>
      <c r="R80" s="68">
        <f t="shared" si="47"/>
        <v>0</v>
      </c>
      <c r="S80" s="68">
        <f t="shared" si="35"/>
        <v>0</v>
      </c>
      <c r="T80" s="264">
        <f t="shared" si="48"/>
        <v>0</v>
      </c>
      <c r="U80" s="68"/>
      <c r="V80" s="257">
        <f t="shared" si="49"/>
        <v>0</v>
      </c>
      <c r="X80" s="37"/>
    </row>
    <row r="81" spans="1:24" x14ac:dyDescent="0.25">
      <c r="A81" s="14" t="s">
        <v>87</v>
      </c>
      <c r="B81" s="20" t="s">
        <v>88</v>
      </c>
      <c r="C81" s="145">
        <v>5000</v>
      </c>
      <c r="D81" s="68">
        <v>5000</v>
      </c>
      <c r="E81" s="68">
        <v>5000</v>
      </c>
      <c r="F81" s="68"/>
      <c r="G81" s="68"/>
      <c r="H81" s="68">
        <v>1807</v>
      </c>
      <c r="I81" s="68">
        <v>1867</v>
      </c>
      <c r="J81" s="68"/>
      <c r="K81" s="68"/>
      <c r="L81" s="678">
        <f t="shared" si="50"/>
        <v>0.3614</v>
      </c>
      <c r="M81" s="651">
        <f t="shared" si="51"/>
        <v>0.37340000000000001</v>
      </c>
      <c r="N81" s="206">
        <f t="shared" si="52"/>
        <v>0</v>
      </c>
      <c r="O81" s="68"/>
      <c r="P81" s="68">
        <f t="shared" si="45"/>
        <v>0</v>
      </c>
      <c r="Q81" s="68">
        <f t="shared" si="46"/>
        <v>0</v>
      </c>
      <c r="R81" s="68">
        <f t="shared" si="47"/>
        <v>0</v>
      </c>
      <c r="S81" s="68">
        <f t="shared" si="35"/>
        <v>0</v>
      </c>
      <c r="T81" s="264">
        <f t="shared" si="48"/>
        <v>0</v>
      </c>
      <c r="U81" s="68"/>
      <c r="V81" s="257">
        <f t="shared" si="49"/>
        <v>0</v>
      </c>
      <c r="X81" s="37"/>
    </row>
    <row r="82" spans="1:24" ht="52.8" x14ac:dyDescent="0.25">
      <c r="A82" s="14"/>
      <c r="B82" s="20" t="s">
        <v>92</v>
      </c>
      <c r="C82" s="68">
        <v>0</v>
      </c>
      <c r="D82" s="68">
        <v>0</v>
      </c>
      <c r="E82" s="68">
        <v>0</v>
      </c>
      <c r="F82" s="68"/>
      <c r="G82" s="68"/>
      <c r="H82" s="68">
        <v>0</v>
      </c>
      <c r="I82" s="68"/>
      <c r="J82" s="68"/>
      <c r="K82" s="68"/>
      <c r="L82" s="678">
        <f t="shared" si="50"/>
        <v>0</v>
      </c>
      <c r="M82" s="651">
        <f t="shared" si="51"/>
        <v>0</v>
      </c>
      <c r="N82" s="206">
        <f t="shared" si="52"/>
        <v>0</v>
      </c>
      <c r="O82" s="68"/>
      <c r="P82" s="68">
        <f t="shared" si="45"/>
        <v>0</v>
      </c>
      <c r="Q82" s="68">
        <f t="shared" si="46"/>
        <v>0</v>
      </c>
      <c r="R82" s="68">
        <f t="shared" si="47"/>
        <v>0</v>
      </c>
      <c r="S82" s="68">
        <f t="shared" si="35"/>
        <v>0</v>
      </c>
      <c r="T82" s="264">
        <f t="shared" si="48"/>
        <v>0</v>
      </c>
      <c r="U82" s="68"/>
      <c r="V82" s="257">
        <f t="shared" si="49"/>
        <v>0</v>
      </c>
      <c r="X82" s="37"/>
    </row>
    <row r="83" spans="1:24" x14ac:dyDescent="0.25">
      <c r="A83" s="14"/>
      <c r="B83" s="14"/>
      <c r="C83" s="68"/>
      <c r="D83" s="68"/>
      <c r="E83" s="68"/>
      <c r="F83" s="68"/>
      <c r="G83" s="68"/>
      <c r="H83" s="68"/>
      <c r="I83" s="68"/>
      <c r="J83" s="68"/>
      <c r="K83" s="68"/>
      <c r="L83" s="678"/>
      <c r="M83" s="679"/>
      <c r="N83" s="206"/>
      <c r="O83" s="68"/>
      <c r="P83" s="68"/>
      <c r="Q83" s="68"/>
      <c r="R83" s="68"/>
      <c r="S83" s="68"/>
      <c r="T83" s="264"/>
      <c r="U83" s="68"/>
      <c r="V83" s="257"/>
    </row>
    <row r="84" spans="1:24" x14ac:dyDescent="0.25">
      <c r="A84" s="55" t="s">
        <v>158</v>
      </c>
      <c r="B84" s="51" t="s">
        <v>159</v>
      </c>
      <c r="C84" s="67">
        <f>+C85</f>
        <v>1650000</v>
      </c>
      <c r="D84" s="67">
        <f>SUM(D85)</f>
        <v>1650000</v>
      </c>
      <c r="E84" s="67">
        <f>SUM(E85)</f>
        <v>1650000</v>
      </c>
      <c r="F84" s="67">
        <f>SUM(F85)</f>
        <v>0</v>
      </c>
      <c r="G84" s="67"/>
      <c r="H84" s="67">
        <f>SUM(H85)</f>
        <v>1297203</v>
      </c>
      <c r="I84" s="67">
        <f>SUM(I85)</f>
        <v>1398983</v>
      </c>
      <c r="J84" s="67">
        <f>SUM(J85)</f>
        <v>0</v>
      </c>
      <c r="K84" s="216"/>
      <c r="L84" s="685">
        <f t="shared" si="50"/>
        <v>0.78618363636363642</v>
      </c>
      <c r="M84" s="686">
        <f t="shared" si="51"/>
        <v>0.84786848484848487</v>
      </c>
      <c r="N84" s="210">
        <f t="shared" si="52"/>
        <v>0</v>
      </c>
      <c r="O84" s="216"/>
      <c r="P84" s="216">
        <f t="shared" si="45"/>
        <v>0</v>
      </c>
      <c r="Q84" s="216">
        <f t="shared" si="46"/>
        <v>0</v>
      </c>
      <c r="R84" s="216">
        <f t="shared" si="47"/>
        <v>0</v>
      </c>
      <c r="S84" s="216">
        <f t="shared" ref="S84:S90" si="54">+P84*P$10+Q84*Q$10+R84*R$10</f>
        <v>0</v>
      </c>
      <c r="T84" s="266">
        <f t="shared" si="48"/>
        <v>0</v>
      </c>
      <c r="U84" s="216"/>
      <c r="V84" s="260">
        <f t="shared" si="49"/>
        <v>0</v>
      </c>
      <c r="X84" s="37"/>
    </row>
    <row r="85" spans="1:24" x14ac:dyDescent="0.25">
      <c r="A85" s="14" t="s">
        <v>167</v>
      </c>
      <c r="B85" s="20" t="s">
        <v>386</v>
      </c>
      <c r="C85" s="68">
        <f>1650000</f>
        <v>1650000</v>
      </c>
      <c r="D85" s="68">
        <v>1650000</v>
      </c>
      <c r="E85" s="68">
        <v>1650000</v>
      </c>
      <c r="F85" s="68"/>
      <c r="G85" s="68"/>
      <c r="H85" s="68">
        <v>1297203</v>
      </c>
      <c r="I85" s="68">
        <v>1398983</v>
      </c>
      <c r="J85" s="68"/>
      <c r="K85" s="68"/>
      <c r="L85" s="651">
        <f t="shared" ref="L85" si="55">IF(H85&gt;0,H85/C85,0)</f>
        <v>0.78618363636363642</v>
      </c>
      <c r="M85" s="651">
        <f t="shared" ref="M85" si="56">IF(I85&gt;0,I85/D85,0)</f>
        <v>0.84786848484848487</v>
      </c>
      <c r="N85" s="207">
        <f t="shared" ref="N85" si="57">IF(J85&gt;0,J85/E85,0)</f>
        <v>0</v>
      </c>
      <c r="O85" s="68"/>
      <c r="P85" s="81">
        <f t="shared" ref="P85" si="58">+(D85-C85)*P$10</f>
        <v>0</v>
      </c>
      <c r="Q85" s="81">
        <f t="shared" ref="Q85" si="59">+(E85-D85)*Q$10</f>
        <v>0</v>
      </c>
      <c r="R85" s="81">
        <f t="shared" ref="R85" si="60">+(F85-E85)*R$10</f>
        <v>0</v>
      </c>
      <c r="S85" s="81">
        <f t="shared" si="54"/>
        <v>0</v>
      </c>
      <c r="T85" s="283">
        <f t="shared" ref="T85" si="61">IF(C85=0,0,+S85/C85)</f>
        <v>0</v>
      </c>
      <c r="U85" s="120"/>
      <c r="V85" s="196">
        <f t="shared" ref="V85" si="62">+S85-E85+C85</f>
        <v>0</v>
      </c>
    </row>
    <row r="86" spans="1:24" x14ac:dyDescent="0.25">
      <c r="A86" s="14"/>
      <c r="B86" s="14"/>
      <c r="C86" s="68"/>
      <c r="D86" s="68"/>
      <c r="E86" s="68"/>
      <c r="F86" s="68"/>
      <c r="G86" s="68"/>
      <c r="H86" s="68"/>
      <c r="I86" s="68"/>
      <c r="J86" s="68"/>
      <c r="K86" s="68"/>
      <c r="L86" s="678"/>
      <c r="M86" s="679"/>
      <c r="N86" s="206"/>
      <c r="O86" s="68"/>
      <c r="P86" s="68"/>
      <c r="Q86" s="68"/>
      <c r="R86" s="68"/>
      <c r="S86" s="68">
        <f t="shared" si="54"/>
        <v>0</v>
      </c>
      <c r="T86" s="264"/>
      <c r="U86" s="68"/>
      <c r="V86" s="257"/>
    </row>
    <row r="87" spans="1:24" x14ac:dyDescent="0.25">
      <c r="A87" s="7" t="s">
        <v>173</v>
      </c>
      <c r="B87" s="5" t="s">
        <v>174</v>
      </c>
      <c r="C87" s="67">
        <f>+C88</f>
        <v>0</v>
      </c>
      <c r="D87" s="67">
        <f>SUM(D88)</f>
        <v>0</v>
      </c>
      <c r="E87" s="67">
        <f>SUM(E88)</f>
        <v>0</v>
      </c>
      <c r="F87" s="67">
        <f>SUM(F88)</f>
        <v>0</v>
      </c>
      <c r="G87" s="67"/>
      <c r="H87" s="67">
        <f>SUM(H88)</f>
        <v>0</v>
      </c>
      <c r="I87" s="67">
        <f>SUM(I88)</f>
        <v>0</v>
      </c>
      <c r="J87" s="67">
        <f>SUM(J88)</f>
        <v>0</v>
      </c>
      <c r="K87" s="67"/>
      <c r="L87" s="685">
        <f t="shared" si="50"/>
        <v>0</v>
      </c>
      <c r="M87" s="681" t="e">
        <f>+I87/E87</f>
        <v>#DIV/0!</v>
      </c>
      <c r="N87" s="208"/>
      <c r="O87" s="67"/>
      <c r="P87" s="67">
        <f t="shared" ref="P87:P88" si="63">+(D87-C87)*P$10</f>
        <v>0</v>
      </c>
      <c r="Q87" s="67">
        <f t="shared" ref="Q87:Q88" si="64">+(E87-D87)*Q$10</f>
        <v>0</v>
      </c>
      <c r="R87" s="67">
        <f t="shared" ref="R87:R88" si="65">+(F87-E87)*R$10</f>
        <v>0</v>
      </c>
      <c r="S87" s="67">
        <f t="shared" si="54"/>
        <v>0</v>
      </c>
      <c r="T87" s="263">
        <f t="shared" ref="T87:T88" si="66">IF(C87=0,0,+S87/C87)</f>
        <v>0</v>
      </c>
      <c r="U87" s="67"/>
      <c r="V87" s="258">
        <f t="shared" ref="V87:V88" si="67">+S87-E87+C87</f>
        <v>0</v>
      </c>
    </row>
    <row r="88" spans="1:24" x14ac:dyDescent="0.25">
      <c r="A88" s="14"/>
      <c r="B88" s="20"/>
      <c r="C88" s="68"/>
      <c r="D88" s="68"/>
      <c r="E88" s="68"/>
      <c r="F88" s="68"/>
      <c r="G88" s="68"/>
      <c r="H88" s="68"/>
      <c r="I88" s="68"/>
      <c r="J88" s="68"/>
      <c r="K88" s="68"/>
      <c r="L88" s="651">
        <f>IF(H88&gt;0,H88/C88,0)</f>
        <v>0</v>
      </c>
      <c r="M88" s="651">
        <f>IF(I88&gt;0,I88/D88,0)</f>
        <v>0</v>
      </c>
      <c r="N88" s="207">
        <f>IF(J88&gt;0,J88/E88,0)</f>
        <v>0</v>
      </c>
      <c r="O88" s="68"/>
      <c r="P88" s="81">
        <f t="shared" si="63"/>
        <v>0</v>
      </c>
      <c r="Q88" s="81">
        <f t="shared" si="64"/>
        <v>0</v>
      </c>
      <c r="R88" s="81">
        <f t="shared" si="65"/>
        <v>0</v>
      </c>
      <c r="S88" s="81">
        <f t="shared" si="54"/>
        <v>0</v>
      </c>
      <c r="T88" s="283">
        <f t="shared" si="66"/>
        <v>0</v>
      </c>
      <c r="U88" s="120"/>
      <c r="V88" s="196">
        <f t="shared" si="67"/>
        <v>0</v>
      </c>
    </row>
    <row r="89" spans="1:24" hidden="1" x14ac:dyDescent="0.25">
      <c r="A89" s="14"/>
      <c r="B89" s="14"/>
      <c r="C89" s="68"/>
      <c r="D89" s="68"/>
      <c r="E89" s="68"/>
      <c r="F89" s="68"/>
      <c r="G89" s="68"/>
      <c r="H89" s="68"/>
      <c r="I89" s="68"/>
      <c r="J89" s="68"/>
      <c r="K89" s="68"/>
      <c r="L89" s="678"/>
      <c r="M89" s="679"/>
      <c r="N89" s="206"/>
      <c r="O89" s="68"/>
      <c r="P89" s="68"/>
      <c r="Q89" s="68"/>
      <c r="R89" s="68"/>
      <c r="S89" s="68">
        <f t="shared" si="54"/>
        <v>0</v>
      </c>
      <c r="T89" s="264"/>
      <c r="U89" s="68"/>
      <c r="V89" s="257"/>
    </row>
    <row r="90" spans="1:24" x14ac:dyDescent="0.25">
      <c r="A90" s="7"/>
      <c r="B90" s="5" t="s">
        <v>377</v>
      </c>
      <c r="C90" s="217">
        <f>C13+C30+C33+C84+C87</f>
        <v>193219000</v>
      </c>
      <c r="D90" s="217">
        <f t="shared" ref="D90:J90" si="68">D13+D30+D33+D84+D87</f>
        <v>193219000</v>
      </c>
      <c r="E90" s="217">
        <f t="shared" si="68"/>
        <v>193219000</v>
      </c>
      <c r="F90" s="217">
        <f t="shared" si="68"/>
        <v>0</v>
      </c>
      <c r="G90" s="217"/>
      <c r="H90" s="217">
        <f t="shared" si="68"/>
        <v>91525357</v>
      </c>
      <c r="I90" s="217">
        <f t="shared" si="68"/>
        <v>138520194</v>
      </c>
      <c r="J90" s="217">
        <f t="shared" si="68"/>
        <v>0</v>
      </c>
      <c r="K90" s="217"/>
      <c r="L90" s="680">
        <f t="shared" si="50"/>
        <v>0.47368714774426945</v>
      </c>
      <c r="M90" s="681">
        <f t="shared" si="51"/>
        <v>0.71690772646582379</v>
      </c>
      <c r="N90" s="211">
        <f t="shared" si="52"/>
        <v>0</v>
      </c>
      <c r="O90" s="217"/>
      <c r="P90" s="217">
        <f>P13+P30+P33+P84</f>
        <v>0</v>
      </c>
      <c r="Q90" s="217">
        <f>Q13+Q30+Q33+Q84</f>
        <v>0</v>
      </c>
      <c r="R90" s="217">
        <f>R13+R30+R33+R84</f>
        <v>0</v>
      </c>
      <c r="S90" s="217">
        <f t="shared" si="54"/>
        <v>0</v>
      </c>
      <c r="T90" s="267">
        <f>T13+T30+T33+T84</f>
        <v>0</v>
      </c>
      <c r="U90" s="217"/>
      <c r="V90" s="261"/>
      <c r="X90" s="37"/>
    </row>
    <row r="91" spans="1:24" ht="10.35" customHeight="1" x14ac:dyDescent="0.25">
      <c r="A91" s="25"/>
      <c r="B91" s="25"/>
      <c r="C91" s="97"/>
      <c r="D91" s="98"/>
      <c r="E91" s="98"/>
      <c r="F91" s="98"/>
      <c r="G91" s="98"/>
      <c r="H91" s="98"/>
      <c r="I91" s="98"/>
      <c r="J91" s="98"/>
      <c r="K91" s="98"/>
      <c r="L91" s="657"/>
      <c r="M91" s="657"/>
      <c r="N91" s="98"/>
      <c r="O91" s="98"/>
      <c r="P91" s="98"/>
      <c r="Q91" s="98"/>
      <c r="R91" s="98"/>
      <c r="S91" s="98"/>
      <c r="T91" s="98"/>
      <c r="U91" s="22"/>
      <c r="V91" s="196">
        <f t="shared" ref="V91" si="69">+S91-E91+C91</f>
        <v>0</v>
      </c>
      <c r="W91" s="122"/>
      <c r="X91" s="122"/>
    </row>
    <row r="92" spans="1:24" ht="10.35" customHeight="1" x14ac:dyDescent="0.25">
      <c r="A92" s="469"/>
      <c r="B92" s="469"/>
      <c r="C92" s="470"/>
      <c r="D92" s="471"/>
      <c r="E92" s="471"/>
      <c r="F92" s="471"/>
      <c r="G92" s="471"/>
      <c r="H92" s="471"/>
      <c r="I92" s="471"/>
      <c r="J92" s="471"/>
      <c r="K92" s="471"/>
      <c r="L92" s="658"/>
      <c r="M92" s="658"/>
      <c r="N92" s="471"/>
      <c r="O92" s="471"/>
      <c r="P92" s="471"/>
      <c r="Q92" s="471"/>
      <c r="R92" s="471"/>
      <c r="S92" s="471"/>
      <c r="T92" s="471"/>
      <c r="U92" s="472"/>
      <c r="V92" s="473"/>
      <c r="W92" s="122"/>
      <c r="X92" s="122"/>
    </row>
    <row r="93" spans="1:24" s="42" customFormat="1" x14ac:dyDescent="0.25">
      <c r="A93" s="4" t="s">
        <v>241</v>
      </c>
      <c r="B93" s="3" t="s">
        <v>242</v>
      </c>
      <c r="C93" s="220">
        <f>SUM(C94:C94)</f>
        <v>0</v>
      </c>
      <c r="D93" s="220">
        <f>SUM(D94:D94)</f>
        <v>0</v>
      </c>
      <c r="E93" s="220">
        <f>SUM(E94:E94)</f>
        <v>0</v>
      </c>
      <c r="F93" s="220">
        <f>SUM(F94:F94)</f>
        <v>0</v>
      </c>
      <c r="G93" s="220"/>
      <c r="H93" s="220">
        <f>SUM(H94:H94)</f>
        <v>0</v>
      </c>
      <c r="I93" s="220">
        <f>SUM(I94:I94)</f>
        <v>0</v>
      </c>
      <c r="J93" s="220">
        <f>SUM(J94:J94)</f>
        <v>0</v>
      </c>
      <c r="K93" s="220"/>
      <c r="L93" s="687">
        <f t="shared" ref="L93:L94" si="70">IF(H93&gt;0,H93/C93,0)</f>
        <v>0</v>
      </c>
      <c r="M93" s="681">
        <f t="shared" ref="M93:M94" si="71">IF(I93&gt;0,I93/D93,0)</f>
        <v>0</v>
      </c>
      <c r="N93" s="213">
        <f t="shared" ref="N93:N94" si="72">IF(J93&gt;0,J93/E93,0)</f>
        <v>0</v>
      </c>
      <c r="O93" s="220"/>
      <c r="P93" s="220">
        <f t="shared" ref="P93:P94" si="73">+(D93-C93)*P$10</f>
        <v>0</v>
      </c>
      <c r="Q93" s="220">
        <f t="shared" ref="Q93:Q94" si="74">+(E93-D93)*Q$10</f>
        <v>0</v>
      </c>
      <c r="R93" s="220">
        <f t="shared" ref="R93:R94" si="75">+(F93-E93)*R$10</f>
        <v>0</v>
      </c>
      <c r="S93" s="220">
        <f t="shared" ref="S93:S102" si="76">+P93*P$10+Q93*Q$10+R93*R$10</f>
        <v>0</v>
      </c>
      <c r="T93" s="268">
        <f t="shared" ref="T93:T94" si="77">IF(C93=0,0,+S93/C93)</f>
        <v>0</v>
      </c>
      <c r="U93" s="220"/>
      <c r="V93" s="262">
        <f t="shared" ref="V93:V94" si="78">+S93-E93+C93</f>
        <v>0</v>
      </c>
    </row>
    <row r="94" spans="1:24" x14ac:dyDescent="0.25">
      <c r="A94" s="14"/>
      <c r="B94" s="20"/>
      <c r="C94" s="221"/>
      <c r="D94" s="222"/>
      <c r="E94" s="222"/>
      <c r="F94" s="222"/>
      <c r="G94" s="222"/>
      <c r="H94" s="222"/>
      <c r="I94" s="222"/>
      <c r="J94" s="222"/>
      <c r="K94" s="222"/>
      <c r="L94" s="678">
        <f t="shared" si="70"/>
        <v>0</v>
      </c>
      <c r="M94" s="688">
        <f t="shared" si="71"/>
        <v>0</v>
      </c>
      <c r="N94" s="214">
        <f t="shared" si="72"/>
        <v>0</v>
      </c>
      <c r="O94" s="222"/>
      <c r="P94" s="81">
        <f t="shared" si="73"/>
        <v>0</v>
      </c>
      <c r="Q94" s="81">
        <f t="shared" si="74"/>
        <v>0</v>
      </c>
      <c r="R94" s="81">
        <f t="shared" si="75"/>
        <v>0</v>
      </c>
      <c r="S94" s="81">
        <f t="shared" si="76"/>
        <v>0</v>
      </c>
      <c r="T94" s="263">
        <f t="shared" si="77"/>
        <v>0</v>
      </c>
      <c r="U94" s="120"/>
      <c r="V94" s="196">
        <f t="shared" si="78"/>
        <v>0</v>
      </c>
    </row>
    <row r="95" spans="1:24" s="42" customFormat="1" x14ac:dyDescent="0.25">
      <c r="A95" s="4" t="s">
        <v>284</v>
      </c>
      <c r="B95" s="3" t="s">
        <v>285</v>
      </c>
      <c r="C95" s="220">
        <f>SUM(C96:C98)</f>
        <v>0</v>
      </c>
      <c r="D95" s="220">
        <f>SUM(D96:D98)</f>
        <v>0</v>
      </c>
      <c r="E95" s="220">
        <f>SUM(E96:E98)</f>
        <v>0</v>
      </c>
      <c r="F95" s="220">
        <f t="shared" ref="F95" si="79">SUM(F96:F97)</f>
        <v>0</v>
      </c>
      <c r="G95" s="220"/>
      <c r="H95" s="220">
        <f>SUM(H96:H98)</f>
        <v>1422</v>
      </c>
      <c r="I95" s="220">
        <f>SUM(I96:I98)</f>
        <v>2093</v>
      </c>
      <c r="J95" s="220">
        <f t="shared" ref="J95" si="80">SUM(J96:J97)</f>
        <v>0</v>
      </c>
      <c r="K95" s="220"/>
      <c r="L95" s="687" t="e">
        <f t="shared" si="50"/>
        <v>#DIV/0!</v>
      </c>
      <c r="M95" s="681" t="e">
        <f t="shared" si="51"/>
        <v>#DIV/0!</v>
      </c>
      <c r="N95" s="213">
        <f t="shared" si="52"/>
        <v>0</v>
      </c>
      <c r="O95" s="220"/>
      <c r="P95" s="220">
        <f t="shared" ref="P95" si="81">+(D95-C95)*P$10</f>
        <v>0</v>
      </c>
      <c r="Q95" s="220">
        <f t="shared" ref="Q95" si="82">+(E95-D95)*Q$10</f>
        <v>0</v>
      </c>
      <c r="R95" s="220">
        <f t="shared" ref="R95" si="83">+(F95-E95)*R$10</f>
        <v>0</v>
      </c>
      <c r="S95" s="220">
        <f t="shared" si="76"/>
        <v>0</v>
      </c>
      <c r="T95" s="268">
        <f t="shared" ref="T95" si="84">IF(C95=0,0,+S95/C95)</f>
        <v>0</v>
      </c>
      <c r="U95" s="220"/>
      <c r="V95" s="262">
        <f t="shared" ref="V95" si="85">+S95-E95+C95</f>
        <v>0</v>
      </c>
      <c r="W95" s="59" t="s">
        <v>401</v>
      </c>
    </row>
    <row r="96" spans="1:24" x14ac:dyDescent="0.25">
      <c r="A96" s="14" t="s">
        <v>295</v>
      </c>
      <c r="B96" s="20" t="s">
        <v>296</v>
      </c>
      <c r="C96" s="221">
        <v>0</v>
      </c>
      <c r="D96" s="221">
        <v>0</v>
      </c>
      <c r="E96" s="221"/>
      <c r="F96" s="221"/>
      <c r="G96" s="221"/>
      <c r="H96" s="221">
        <v>0</v>
      </c>
      <c r="I96" s="221"/>
      <c r="J96" s="221"/>
      <c r="K96" s="221"/>
      <c r="L96" s="679">
        <f t="shared" si="50"/>
        <v>0</v>
      </c>
      <c r="M96" s="688">
        <f t="shared" si="51"/>
        <v>0</v>
      </c>
      <c r="N96" s="212">
        <f t="shared" si="52"/>
        <v>0</v>
      </c>
      <c r="O96" s="221"/>
      <c r="P96" s="81">
        <f t="shared" ref="P96:R99" si="86">+(D96-C96)*P$10</f>
        <v>0</v>
      </c>
      <c r="Q96" s="81">
        <f t="shared" ref="Q96:Q99" si="87">+(E96-D96)*Q$10</f>
        <v>0</v>
      </c>
      <c r="R96" s="81">
        <f t="shared" ref="R96:R99" si="88">+(F96-E96)*R$10</f>
        <v>0</v>
      </c>
      <c r="S96" s="81">
        <f t="shared" si="76"/>
        <v>0</v>
      </c>
      <c r="T96" s="263">
        <f t="shared" ref="T96:T102" si="89">IF(C96=0,0,+S96/C96)</f>
        <v>0</v>
      </c>
      <c r="U96" s="120"/>
      <c r="V96" s="196">
        <f t="shared" ref="V96:V99" si="90">+S96-E96+C96</f>
        <v>0</v>
      </c>
    </row>
    <row r="97" spans="1:24" x14ac:dyDescent="0.25">
      <c r="A97" s="14" t="s">
        <v>298</v>
      </c>
      <c r="B97" s="20" t="s">
        <v>299</v>
      </c>
      <c r="C97" s="221">
        <v>0</v>
      </c>
      <c r="D97" s="221">
        <v>0</v>
      </c>
      <c r="E97" s="221"/>
      <c r="F97" s="221"/>
      <c r="G97" s="221"/>
      <c r="H97" s="221">
        <v>0</v>
      </c>
      <c r="I97" s="221"/>
      <c r="J97" s="221"/>
      <c r="K97" s="221"/>
      <c r="L97" s="679">
        <f t="shared" si="50"/>
        <v>0</v>
      </c>
      <c r="M97" s="689">
        <f t="shared" si="51"/>
        <v>0</v>
      </c>
      <c r="N97" s="212">
        <f t="shared" si="52"/>
        <v>0</v>
      </c>
      <c r="O97" s="221"/>
      <c r="P97" s="81">
        <f t="shared" si="86"/>
        <v>0</v>
      </c>
      <c r="Q97" s="81">
        <f t="shared" si="87"/>
        <v>0</v>
      </c>
      <c r="R97" s="81">
        <f t="shared" si="88"/>
        <v>0</v>
      </c>
      <c r="S97" s="81">
        <f t="shared" si="76"/>
        <v>0</v>
      </c>
      <c r="T97" s="263">
        <f t="shared" si="89"/>
        <v>0</v>
      </c>
      <c r="U97" s="120"/>
      <c r="V97" s="196">
        <f t="shared" si="90"/>
        <v>0</v>
      </c>
    </row>
    <row r="98" spans="1:24" ht="25.95" customHeight="1" x14ac:dyDescent="0.25">
      <c r="A98" s="485" t="s">
        <v>468</v>
      </c>
      <c r="B98" s="485" t="s">
        <v>467</v>
      </c>
      <c r="C98" s="71">
        <v>0</v>
      </c>
      <c r="D98" s="71">
        <v>0</v>
      </c>
      <c r="E98" s="142">
        <v>0</v>
      </c>
      <c r="F98" s="71"/>
      <c r="G98" s="117"/>
      <c r="H98" s="96">
        <f>99+1323</f>
        <v>1422</v>
      </c>
      <c r="I98" s="96">
        <v>2093</v>
      </c>
      <c r="J98" s="96"/>
      <c r="K98" s="117"/>
      <c r="L98" s="653" t="e">
        <f t="shared" si="50"/>
        <v>#DIV/0!</v>
      </c>
      <c r="M98" s="653" t="e">
        <f t="shared" si="50"/>
        <v>#DIV/0!</v>
      </c>
      <c r="N98" s="137">
        <f t="shared" si="50"/>
        <v>0</v>
      </c>
      <c r="O98" s="120"/>
      <c r="P98" s="81">
        <f t="shared" si="86"/>
        <v>0</v>
      </c>
      <c r="Q98" s="81">
        <f t="shared" si="86"/>
        <v>0</v>
      </c>
      <c r="R98" s="81">
        <f t="shared" si="86"/>
        <v>0</v>
      </c>
      <c r="S98" s="81">
        <f t="shared" si="76"/>
        <v>0</v>
      </c>
      <c r="T98" s="85">
        <f t="shared" si="89"/>
        <v>0</v>
      </c>
      <c r="U98" s="120"/>
      <c r="V98" s="196">
        <f t="shared" si="90"/>
        <v>0</v>
      </c>
      <c r="W98" s="122"/>
      <c r="X98" s="122"/>
    </row>
    <row r="99" spans="1:24" s="42" customFormat="1" x14ac:dyDescent="0.25">
      <c r="A99" s="4" t="s">
        <v>333</v>
      </c>
      <c r="B99" s="3" t="s">
        <v>334</v>
      </c>
      <c r="C99" s="220">
        <f>SUM(C100:C101)</f>
        <v>193219000</v>
      </c>
      <c r="D99" s="220">
        <f t="shared" ref="D99:F99" si="91">SUM(D100:D101)</f>
        <v>193219000</v>
      </c>
      <c r="E99" s="220">
        <f t="shared" si="91"/>
        <v>193219000</v>
      </c>
      <c r="F99" s="220">
        <f t="shared" si="91"/>
        <v>0</v>
      </c>
      <c r="G99" s="220"/>
      <c r="H99" s="220">
        <f t="shared" ref="H99" si="92">SUM(H100:H101)</f>
        <v>94141502</v>
      </c>
      <c r="I99" s="220">
        <f t="shared" ref="I99" si="93">SUM(I100:I101)</f>
        <v>140302554</v>
      </c>
      <c r="J99" s="220">
        <f t="shared" ref="J99" si="94">SUM(J100:J101)</f>
        <v>0</v>
      </c>
      <c r="K99" s="220"/>
      <c r="L99" s="687">
        <f t="shared" si="50"/>
        <v>0.48722693937966766</v>
      </c>
      <c r="M99" s="681">
        <f t="shared" si="51"/>
        <v>0.72613228512723904</v>
      </c>
      <c r="N99" s="213">
        <f t="shared" si="52"/>
        <v>0</v>
      </c>
      <c r="O99" s="220"/>
      <c r="P99" s="220">
        <f t="shared" si="86"/>
        <v>0</v>
      </c>
      <c r="Q99" s="220">
        <f t="shared" si="87"/>
        <v>0</v>
      </c>
      <c r="R99" s="220">
        <f t="shared" si="88"/>
        <v>0</v>
      </c>
      <c r="S99" s="220">
        <f t="shared" si="76"/>
        <v>0</v>
      </c>
      <c r="T99" s="268">
        <f t="shared" si="89"/>
        <v>0</v>
      </c>
      <c r="U99" s="220"/>
      <c r="V99" s="262">
        <f t="shared" si="90"/>
        <v>0</v>
      </c>
    </row>
    <row r="100" spans="1:24" x14ac:dyDescent="0.25">
      <c r="A100" s="14" t="s">
        <v>359</v>
      </c>
      <c r="B100" s="20" t="s">
        <v>387</v>
      </c>
      <c r="C100" s="142">
        <f>+C104</f>
        <v>191656859</v>
      </c>
      <c r="D100" s="222">
        <v>191656859</v>
      </c>
      <c r="E100" s="222">
        <v>191656859</v>
      </c>
      <c r="F100" s="222"/>
      <c r="G100" s="222"/>
      <c r="H100" s="222">
        <v>92579361</v>
      </c>
      <c r="I100" s="221">
        <v>138740413</v>
      </c>
      <c r="J100" s="222"/>
      <c r="K100" s="222"/>
      <c r="L100" s="678">
        <f t="shared" si="50"/>
        <v>0.48304747079257937</v>
      </c>
      <c r="M100" s="688">
        <f t="shared" si="51"/>
        <v>0.72390006662897466</v>
      </c>
      <c r="N100" s="214">
        <f t="shared" si="52"/>
        <v>0</v>
      </c>
      <c r="O100" s="222"/>
      <c r="P100" s="81">
        <f t="shared" ref="P100:P102" si="95">+(D100-C100)*P$10</f>
        <v>0</v>
      </c>
      <c r="Q100" s="81">
        <f t="shared" ref="Q100:Q102" si="96">+(E100-D100)*Q$10</f>
        <v>0</v>
      </c>
      <c r="R100" s="81">
        <f t="shared" ref="R100:R102" si="97">+(F100-E100)*R$10</f>
        <v>0</v>
      </c>
      <c r="S100" s="81">
        <f t="shared" si="76"/>
        <v>0</v>
      </c>
      <c r="T100" s="263">
        <f t="shared" si="89"/>
        <v>0</v>
      </c>
      <c r="U100" s="120"/>
      <c r="V100" s="196">
        <f t="shared" ref="V100:V102" si="98">+S100-E100+C100</f>
        <v>0</v>
      </c>
    </row>
    <row r="101" spans="1:24" ht="14.4" x14ac:dyDescent="0.3">
      <c r="A101" s="14" t="s">
        <v>347</v>
      </c>
      <c r="B101" s="20" t="s">
        <v>348</v>
      </c>
      <c r="C101" s="782">
        <v>1562141</v>
      </c>
      <c r="D101" s="581">
        <v>1562141</v>
      </c>
      <c r="E101" s="581">
        <v>1562141</v>
      </c>
      <c r="F101" s="222"/>
      <c r="G101" s="222"/>
      <c r="H101" s="581">
        <v>1562141</v>
      </c>
      <c r="I101" s="221">
        <v>1562141</v>
      </c>
      <c r="J101" s="221"/>
      <c r="K101" s="222"/>
      <c r="L101" s="679">
        <f t="shared" si="50"/>
        <v>1</v>
      </c>
      <c r="M101" s="689">
        <f t="shared" si="51"/>
        <v>1</v>
      </c>
      <c r="N101" s="212">
        <f t="shared" si="52"/>
        <v>0</v>
      </c>
      <c r="O101" s="222"/>
      <c r="P101" s="81">
        <f t="shared" si="95"/>
        <v>0</v>
      </c>
      <c r="Q101" s="81">
        <f t="shared" si="96"/>
        <v>0</v>
      </c>
      <c r="R101" s="81">
        <f t="shared" si="97"/>
        <v>0</v>
      </c>
      <c r="S101" s="81">
        <f t="shared" si="76"/>
        <v>0</v>
      </c>
      <c r="T101" s="263">
        <f t="shared" si="89"/>
        <v>0</v>
      </c>
      <c r="U101" s="120"/>
      <c r="V101" s="196">
        <f t="shared" si="98"/>
        <v>0</v>
      </c>
    </row>
    <row r="102" spans="1:24" x14ac:dyDescent="0.25">
      <c r="A102" s="5"/>
      <c r="B102" s="5" t="s">
        <v>376</v>
      </c>
      <c r="C102" s="217">
        <f>+C95+C99+C93</f>
        <v>193219000</v>
      </c>
      <c r="D102" s="217">
        <f>+D95+D99+D93</f>
        <v>193219000</v>
      </c>
      <c r="E102" s="217">
        <f>+E95+E99+E93</f>
        <v>193219000</v>
      </c>
      <c r="F102" s="217">
        <f>+F95+F99+F93</f>
        <v>0</v>
      </c>
      <c r="G102" s="217"/>
      <c r="H102" s="217">
        <f>+H95+H99+H93</f>
        <v>94142924</v>
      </c>
      <c r="I102" s="217">
        <f>+I95+I99+I93</f>
        <v>140304647</v>
      </c>
      <c r="J102" s="217">
        <f>+J95+J99+J93</f>
        <v>0</v>
      </c>
      <c r="K102" s="217"/>
      <c r="L102" s="680">
        <f t="shared" si="50"/>
        <v>0.48723429890435205</v>
      </c>
      <c r="M102" s="681">
        <f t="shared" si="51"/>
        <v>0.72614311739528725</v>
      </c>
      <c r="N102" s="211">
        <f t="shared" si="52"/>
        <v>0</v>
      </c>
      <c r="O102" s="217"/>
      <c r="P102" s="217">
        <f t="shared" si="95"/>
        <v>0</v>
      </c>
      <c r="Q102" s="217">
        <f t="shared" si="96"/>
        <v>0</v>
      </c>
      <c r="R102" s="217">
        <f t="shared" si="97"/>
        <v>0</v>
      </c>
      <c r="S102" s="217">
        <f t="shared" si="76"/>
        <v>0</v>
      </c>
      <c r="T102" s="267">
        <f t="shared" si="89"/>
        <v>0</v>
      </c>
      <c r="U102" s="217"/>
      <c r="V102" s="261">
        <f t="shared" si="98"/>
        <v>0</v>
      </c>
    </row>
    <row r="103" spans="1:24" x14ac:dyDescent="0.25">
      <c r="B103" s="25"/>
      <c r="C103" s="97"/>
      <c r="D103" s="98"/>
      <c r="E103" s="98"/>
      <c r="F103" s="98"/>
      <c r="G103" s="98"/>
      <c r="H103" s="98"/>
      <c r="I103" s="98"/>
      <c r="J103" s="98"/>
      <c r="K103" s="98"/>
      <c r="L103" s="660"/>
      <c r="M103" s="660"/>
      <c r="O103" s="98"/>
      <c r="P103" s="98"/>
      <c r="Q103" s="98"/>
      <c r="R103" s="98"/>
      <c r="S103" s="98"/>
      <c r="T103" s="98"/>
      <c r="U103" s="98"/>
      <c r="V103" s="123"/>
    </row>
    <row r="104" spans="1:24" x14ac:dyDescent="0.25">
      <c r="B104" s="25"/>
      <c r="C104" s="97">
        <f>+C90-C101</f>
        <v>191656859</v>
      </c>
      <c r="D104" s="98"/>
      <c r="E104" s="98"/>
      <c r="F104" s="98"/>
      <c r="G104" s="98"/>
      <c r="H104" s="98"/>
      <c r="I104" s="98"/>
      <c r="J104" s="98"/>
      <c r="K104" s="98"/>
      <c r="L104" s="660"/>
      <c r="M104" s="660"/>
      <c r="O104" s="98"/>
      <c r="P104" s="98"/>
      <c r="Q104" s="98"/>
      <c r="R104" s="98"/>
      <c r="S104" s="98"/>
      <c r="T104" s="98"/>
      <c r="U104" s="98"/>
      <c r="V104" s="123"/>
    </row>
    <row r="105" spans="1:24" x14ac:dyDescent="0.25">
      <c r="B105" s="25"/>
      <c r="C105" s="17"/>
      <c r="L105" s="660"/>
      <c r="M105" s="660"/>
      <c r="V105" s="123"/>
    </row>
    <row r="106" spans="1:24" x14ac:dyDescent="0.25">
      <c r="B106" s="25"/>
      <c r="C106" s="17"/>
      <c r="D106" s="19"/>
      <c r="E106" s="19"/>
      <c r="F106" s="19"/>
      <c r="G106" s="19"/>
      <c r="K106" s="19"/>
      <c r="L106" s="660"/>
      <c r="M106" s="660"/>
      <c r="O106" s="19"/>
      <c r="V106" s="123"/>
    </row>
    <row r="107" spans="1:24" x14ac:dyDescent="0.25">
      <c r="A107" s="59"/>
      <c r="B107" s="59" t="s">
        <v>500</v>
      </c>
      <c r="C107" s="71">
        <v>192807166</v>
      </c>
      <c r="D107" s="98">
        <f>+C104-C107</f>
        <v>-1150307</v>
      </c>
      <c r="E107" s="777"/>
      <c r="L107" s="660"/>
      <c r="M107" s="660"/>
      <c r="V107" s="123"/>
    </row>
    <row r="108" spans="1:24" x14ac:dyDescent="0.25">
      <c r="B108" s="577"/>
      <c r="C108" s="636"/>
      <c r="D108" s="98"/>
      <c r="L108" s="660"/>
      <c r="M108" s="660"/>
      <c r="V108" s="123"/>
    </row>
    <row r="109" spans="1:24" x14ac:dyDescent="0.25">
      <c r="B109" s="25"/>
      <c r="C109" s="17"/>
      <c r="L109" s="660"/>
      <c r="M109" s="660"/>
    </row>
    <row r="110" spans="1:24" x14ac:dyDescent="0.25">
      <c r="B110" s="25"/>
      <c r="C110" s="17"/>
      <c r="L110" s="660"/>
      <c r="M110" s="660"/>
    </row>
    <row r="111" spans="1:24" x14ac:dyDescent="0.25">
      <c r="B111" s="25"/>
      <c r="C111" s="17"/>
      <c r="L111" s="660"/>
      <c r="M111" s="660"/>
    </row>
    <row r="112" spans="1:24" x14ac:dyDescent="0.25">
      <c r="B112" s="25"/>
      <c r="C112" s="17"/>
      <c r="L112" s="660"/>
      <c r="M112" s="660"/>
    </row>
    <row r="113" spans="1:13" x14ac:dyDescent="0.25">
      <c r="B113" s="25"/>
      <c r="C113" s="17"/>
      <c r="L113" s="660"/>
      <c r="M113" s="660"/>
    </row>
    <row r="114" spans="1:13" x14ac:dyDescent="0.25">
      <c r="B114" s="25"/>
      <c r="C114" s="17"/>
      <c r="L114" s="660"/>
      <c r="M114" s="660"/>
    </row>
    <row r="115" spans="1:13" x14ac:dyDescent="0.25">
      <c r="B115" s="25"/>
      <c r="C115" s="17"/>
      <c r="L115" s="660"/>
      <c r="M115" s="660"/>
    </row>
    <row r="116" spans="1:13" x14ac:dyDescent="0.25">
      <c r="B116" s="25"/>
      <c r="C116" s="17"/>
      <c r="L116" s="660"/>
      <c r="M116" s="660"/>
    </row>
    <row r="117" spans="1:13" x14ac:dyDescent="0.25">
      <c r="C117" s="17"/>
      <c r="L117" s="660"/>
      <c r="M117" s="660"/>
    </row>
    <row r="118" spans="1:13" x14ac:dyDescent="0.25">
      <c r="A118" s="30"/>
      <c r="B118" s="26"/>
      <c r="C118" s="17"/>
      <c r="L118" s="660"/>
      <c r="M118" s="660"/>
    </row>
    <row r="119" spans="1:13" x14ac:dyDescent="0.25">
      <c r="B119" s="25"/>
      <c r="C119" s="17"/>
      <c r="L119" s="660"/>
      <c r="M119" s="660"/>
    </row>
    <row r="120" spans="1:13" x14ac:dyDescent="0.25">
      <c r="B120" s="25"/>
      <c r="C120" s="17"/>
      <c r="L120" s="660"/>
      <c r="M120" s="660"/>
    </row>
    <row r="121" spans="1:13" x14ac:dyDescent="0.25">
      <c r="B121" s="25"/>
      <c r="C121" s="17"/>
      <c r="L121" s="660"/>
      <c r="M121" s="660"/>
    </row>
    <row r="122" spans="1:13" x14ac:dyDescent="0.25">
      <c r="B122" s="25"/>
      <c r="C122" s="17"/>
      <c r="L122" s="660"/>
      <c r="M122" s="660"/>
    </row>
    <row r="123" spans="1:13" x14ac:dyDescent="0.25">
      <c r="B123" s="25"/>
      <c r="C123" s="17"/>
      <c r="L123" s="660"/>
      <c r="M123" s="660"/>
    </row>
    <row r="124" spans="1:13" x14ac:dyDescent="0.25">
      <c r="B124" s="25"/>
      <c r="C124" s="17"/>
      <c r="L124" s="660"/>
      <c r="M124" s="660"/>
    </row>
    <row r="125" spans="1:13" x14ac:dyDescent="0.25">
      <c r="B125" s="25"/>
      <c r="C125" s="17"/>
      <c r="L125" s="660"/>
      <c r="M125" s="660"/>
    </row>
    <row r="126" spans="1:13" x14ac:dyDescent="0.25">
      <c r="B126" s="25"/>
      <c r="C126" s="17"/>
      <c r="L126" s="660"/>
      <c r="M126" s="660"/>
    </row>
    <row r="127" spans="1:13" x14ac:dyDescent="0.25">
      <c r="B127" s="25"/>
      <c r="C127" s="17"/>
      <c r="L127" s="660"/>
      <c r="M127" s="660"/>
    </row>
    <row r="128" spans="1:13" x14ac:dyDescent="0.25">
      <c r="C128" s="17"/>
      <c r="L128" s="660"/>
      <c r="M128" s="660"/>
    </row>
    <row r="129" spans="1:13" x14ac:dyDescent="0.25">
      <c r="A129" s="30"/>
      <c r="B129" s="26"/>
      <c r="C129" s="17"/>
      <c r="L129" s="660"/>
      <c r="M129" s="660"/>
    </row>
    <row r="130" spans="1:13" x14ac:dyDescent="0.25">
      <c r="B130" s="25"/>
      <c r="C130" s="17"/>
      <c r="L130" s="660"/>
      <c r="M130" s="660"/>
    </row>
    <row r="131" spans="1:13" x14ac:dyDescent="0.25">
      <c r="B131" s="25"/>
      <c r="C131" s="17"/>
      <c r="L131" s="660"/>
      <c r="M131" s="660"/>
    </row>
    <row r="132" spans="1:13" x14ac:dyDescent="0.25">
      <c r="B132" s="25"/>
      <c r="C132" s="17"/>
      <c r="L132" s="660"/>
      <c r="M132" s="660"/>
    </row>
    <row r="133" spans="1:13" x14ac:dyDescent="0.25">
      <c r="B133" s="25"/>
      <c r="C133" s="17"/>
      <c r="L133" s="660"/>
      <c r="M133" s="660"/>
    </row>
    <row r="134" spans="1:13" x14ac:dyDescent="0.25">
      <c r="B134" s="25"/>
      <c r="C134" s="17"/>
      <c r="L134" s="660"/>
      <c r="M134" s="660"/>
    </row>
    <row r="135" spans="1:13" x14ac:dyDescent="0.25">
      <c r="B135" s="25"/>
      <c r="C135" s="17"/>
      <c r="L135" s="660"/>
      <c r="M135" s="660"/>
    </row>
    <row r="136" spans="1:13" x14ac:dyDescent="0.25">
      <c r="B136" s="25"/>
      <c r="C136" s="17"/>
      <c r="L136" s="660"/>
      <c r="M136" s="660"/>
    </row>
    <row r="137" spans="1:13" x14ac:dyDescent="0.25">
      <c r="C137" s="17"/>
      <c r="L137" s="660"/>
      <c r="M137" s="660"/>
    </row>
    <row r="138" spans="1:13" x14ac:dyDescent="0.25">
      <c r="A138" s="30"/>
      <c r="B138" s="26"/>
      <c r="C138" s="17"/>
      <c r="L138" s="660"/>
      <c r="M138" s="660"/>
    </row>
    <row r="139" spans="1:13" x14ac:dyDescent="0.25">
      <c r="B139" s="25"/>
      <c r="C139" s="17"/>
      <c r="L139" s="660"/>
      <c r="M139" s="660"/>
    </row>
    <row r="140" spans="1:13" x14ac:dyDescent="0.25">
      <c r="B140" s="25"/>
      <c r="C140" s="17"/>
      <c r="L140" s="660"/>
      <c r="M140" s="660"/>
    </row>
    <row r="141" spans="1:13" x14ac:dyDescent="0.25">
      <c r="B141" s="25"/>
      <c r="C141" s="17"/>
      <c r="L141" s="660"/>
      <c r="M141" s="660"/>
    </row>
    <row r="142" spans="1:13" x14ac:dyDescent="0.25">
      <c r="B142" s="25"/>
      <c r="C142" s="17"/>
    </row>
    <row r="143" spans="1:13" x14ac:dyDescent="0.25">
      <c r="C143" s="17"/>
    </row>
    <row r="144" spans="1:13" x14ac:dyDescent="0.25">
      <c r="A144" s="30"/>
      <c r="B144" s="26"/>
      <c r="C144" s="17"/>
    </row>
    <row r="145" spans="1:3" x14ac:dyDescent="0.25">
      <c r="B145" s="25"/>
      <c r="C145" s="17"/>
    </row>
    <row r="146" spans="1:3" x14ac:dyDescent="0.25">
      <c r="B146" s="25"/>
      <c r="C146" s="17"/>
    </row>
    <row r="147" spans="1:3" x14ac:dyDescent="0.25">
      <c r="B147" s="25"/>
      <c r="C147" s="17"/>
    </row>
    <row r="148" spans="1:3" x14ac:dyDescent="0.25">
      <c r="B148" s="25"/>
      <c r="C148" s="17"/>
    </row>
    <row r="149" spans="1:3" x14ac:dyDescent="0.25">
      <c r="B149" s="25"/>
      <c r="C149" s="17"/>
    </row>
    <row r="150" spans="1:3" x14ac:dyDescent="0.25">
      <c r="B150" s="25"/>
      <c r="C150" s="17"/>
    </row>
    <row r="151" spans="1:3" x14ac:dyDescent="0.25">
      <c r="B151" s="25"/>
      <c r="C151" s="17"/>
    </row>
    <row r="152" spans="1:3" x14ac:dyDescent="0.25">
      <c r="B152" s="25"/>
      <c r="C152" s="17"/>
    </row>
    <row r="153" spans="1:3" x14ac:dyDescent="0.25">
      <c r="C153" s="17"/>
    </row>
    <row r="154" spans="1:3" x14ac:dyDescent="0.25">
      <c r="A154" s="30"/>
      <c r="B154" s="26"/>
      <c r="C154" s="17"/>
    </row>
    <row r="155" spans="1:3" x14ac:dyDescent="0.25">
      <c r="B155" s="25"/>
      <c r="C155" s="17"/>
    </row>
    <row r="156" spans="1:3" x14ac:dyDescent="0.25">
      <c r="B156" s="25"/>
      <c r="C156" s="17"/>
    </row>
    <row r="157" spans="1:3" x14ac:dyDescent="0.25">
      <c r="B157" s="25"/>
      <c r="C157" s="17"/>
    </row>
    <row r="158" spans="1:3" x14ac:dyDescent="0.25">
      <c r="B158" s="25"/>
      <c r="C158" s="17"/>
    </row>
    <row r="159" spans="1:3" x14ac:dyDescent="0.25">
      <c r="B159" s="25"/>
      <c r="C159" s="17"/>
    </row>
    <row r="160" spans="1:3" x14ac:dyDescent="0.25">
      <c r="B160" s="25"/>
      <c r="C160" s="17"/>
    </row>
    <row r="161" spans="2:3" x14ac:dyDescent="0.25">
      <c r="B161" s="25"/>
      <c r="C161" s="17"/>
    </row>
    <row r="162" spans="2:3" x14ac:dyDescent="0.25">
      <c r="B162" s="25"/>
      <c r="C162" s="17"/>
    </row>
    <row r="163" spans="2:3" x14ac:dyDescent="0.25">
      <c r="B163" s="25"/>
      <c r="C163" s="17"/>
    </row>
    <row r="164" spans="2:3" x14ac:dyDescent="0.25">
      <c r="B164" s="25"/>
      <c r="C164" s="17"/>
    </row>
    <row r="165" spans="2:3" x14ac:dyDescent="0.25">
      <c r="B165" s="25"/>
      <c r="C165" s="17"/>
    </row>
    <row r="166" spans="2:3" x14ac:dyDescent="0.25">
      <c r="B166" s="25"/>
      <c r="C166" s="17"/>
    </row>
    <row r="167" spans="2:3" x14ac:dyDescent="0.25">
      <c r="B167" s="25"/>
      <c r="C167" s="17"/>
    </row>
    <row r="168" spans="2:3" x14ac:dyDescent="0.25">
      <c r="B168" s="25"/>
      <c r="C168" s="17"/>
    </row>
    <row r="169" spans="2:3" x14ac:dyDescent="0.25">
      <c r="B169" s="25"/>
      <c r="C169" s="17"/>
    </row>
    <row r="170" spans="2:3" x14ac:dyDescent="0.25">
      <c r="B170" s="25"/>
      <c r="C170" s="17"/>
    </row>
    <row r="171" spans="2:3" x14ac:dyDescent="0.25">
      <c r="B171" s="25"/>
      <c r="C171" s="17"/>
    </row>
    <row r="172" spans="2:3" x14ac:dyDescent="0.25">
      <c r="B172" s="25"/>
      <c r="C172" s="17"/>
    </row>
    <row r="173" spans="2:3" x14ac:dyDescent="0.25">
      <c r="B173" s="25"/>
      <c r="C173" s="17"/>
    </row>
    <row r="174" spans="2:3" x14ac:dyDescent="0.25">
      <c r="B174" s="25"/>
      <c r="C174" s="17"/>
    </row>
    <row r="175" spans="2:3" x14ac:dyDescent="0.25">
      <c r="B175" s="25"/>
      <c r="C175" s="17"/>
    </row>
    <row r="176" spans="2:3" x14ac:dyDescent="0.25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3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zoomScaleNormal="65" zoomScaleSheetLayoutView="100" workbookViewId="0">
      <selection activeCell="F11" sqref="F11"/>
    </sheetView>
  </sheetViews>
  <sheetFormatPr defaultRowHeight="12.75" customHeight="1" x14ac:dyDescent="0.25"/>
  <cols>
    <col min="1" max="1" width="7.44140625" style="13" customWidth="1"/>
    <col min="2" max="2" width="55.44140625" style="13" customWidth="1"/>
    <col min="3" max="5" width="15.5546875" style="13" customWidth="1"/>
    <col min="6" max="6" width="15.5546875" style="13" hidden="1" customWidth="1"/>
    <col min="7" max="7" width="0.6640625" style="13" customWidth="1"/>
    <col min="8" max="9" width="15.5546875" style="13" customWidth="1"/>
    <col min="10" max="10" width="15.5546875" style="13" hidden="1" customWidth="1"/>
    <col min="11" max="11" width="0.6640625" style="13" customWidth="1"/>
    <col min="12" max="13" width="10.5546875" style="13" customWidth="1"/>
    <col min="14" max="14" width="10.5546875" style="13" hidden="1" customWidth="1"/>
    <col min="15" max="15" width="0.6640625" style="13" customWidth="1"/>
    <col min="16" max="17" width="14.5546875" style="13" customWidth="1"/>
    <col min="18" max="18" width="14.5546875" style="13" hidden="1" customWidth="1"/>
    <col min="19" max="19" width="15.5546875" style="13" customWidth="1"/>
    <col min="21" max="21" width="1.5546875" customWidth="1"/>
    <col min="22" max="22" width="4.5546875" customWidth="1"/>
  </cols>
  <sheetData>
    <row r="1" spans="1:26" ht="24.6" x14ac:dyDescent="0.4">
      <c r="A1" s="230" t="s">
        <v>427</v>
      </c>
      <c r="B1" s="229"/>
      <c r="C1" s="229"/>
      <c r="D1" s="229"/>
      <c r="E1" s="229"/>
      <c r="F1" s="229"/>
      <c r="G1" s="228"/>
      <c r="H1" s="227"/>
      <c r="I1" s="227"/>
      <c r="J1" s="225" t="str">
        <f>+'1. Sülysáp összesen'!J1</f>
        <v>2019. ÉV KÖLTSÉGVETÉS</v>
      </c>
      <c r="K1" s="231"/>
      <c r="L1" s="231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46"/>
      <c r="X1" s="46"/>
      <c r="Y1" s="46"/>
    </row>
    <row r="2" spans="1:26" ht="13.2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22"/>
      <c r="X2" s="122"/>
    </row>
    <row r="3" spans="1:26" ht="13.2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</row>
    <row r="4" spans="1:26" ht="13.2" x14ac:dyDescent="0.25">
      <c r="A4" s="270"/>
      <c r="B4" s="269"/>
      <c r="C4" s="88"/>
      <c r="D4" s="88"/>
      <c r="E4" s="88"/>
      <c r="F4" s="88"/>
      <c r="G4" s="88"/>
      <c r="H4" s="88"/>
      <c r="I4" s="88"/>
      <c r="J4" s="88"/>
      <c r="K4" s="88"/>
      <c r="L4" s="269"/>
      <c r="M4" s="269"/>
      <c r="N4" s="269"/>
      <c r="O4" s="269"/>
      <c r="P4" s="88"/>
      <c r="Q4" s="88"/>
      <c r="R4" s="88"/>
      <c r="S4" s="88"/>
      <c r="T4" s="88"/>
      <c r="U4" s="269"/>
      <c r="V4" s="255"/>
      <c r="W4" s="122"/>
      <c r="X4" s="122"/>
    </row>
    <row r="5" spans="1:26" ht="20.100000000000001" customHeight="1" x14ac:dyDescent="0.3">
      <c r="A5" s="251"/>
      <c r="B5" s="251" t="s">
        <v>377</v>
      </c>
      <c r="C5" s="252">
        <f>+C89</f>
        <v>65578000</v>
      </c>
      <c r="D5" s="252">
        <f t="shared" ref="D5:E5" si="0">+D89</f>
        <v>65578000</v>
      </c>
      <c r="E5" s="252">
        <f t="shared" si="0"/>
        <v>65578000</v>
      </c>
      <c r="F5" s="252">
        <f>+F89</f>
        <v>0</v>
      </c>
      <c r="G5" s="252"/>
      <c r="H5" s="252">
        <f>+H89</f>
        <v>31656497</v>
      </c>
      <c r="I5" s="252">
        <f t="shared" ref="I5:J5" si="1">+I89</f>
        <v>46781710</v>
      </c>
      <c r="J5" s="252">
        <f t="shared" si="1"/>
        <v>0</v>
      </c>
      <c r="K5" s="89"/>
      <c r="L5" s="701">
        <f t="shared" ref="L5:N6" si="2">IF(H5&gt;0,H5/C5,0)</f>
        <v>0.48273044313641772</v>
      </c>
      <c r="M5" s="701">
        <f t="shared" si="2"/>
        <v>0.71337506480831991</v>
      </c>
      <c r="N5" s="701">
        <f t="shared" si="2"/>
        <v>0</v>
      </c>
      <c r="O5" s="701"/>
      <c r="P5" s="252">
        <f>+P89</f>
        <v>0</v>
      </c>
      <c r="Q5" s="252">
        <f>+Q89</f>
        <v>0</v>
      </c>
      <c r="R5" s="252">
        <f>+R89</f>
        <v>0</v>
      </c>
      <c r="S5" s="252">
        <f>+S89</f>
        <v>0</v>
      </c>
      <c r="T5" s="133">
        <f>IF(C5=0,0,+S5/C5)</f>
        <v>0</v>
      </c>
      <c r="U5" s="118"/>
      <c r="V5" s="199">
        <f t="shared" ref="V5:V7" si="3">+S5-E5+C5</f>
        <v>0</v>
      </c>
      <c r="W5" s="122"/>
      <c r="X5" s="122"/>
    </row>
    <row r="6" spans="1:26" ht="20.100000000000001" customHeight="1" x14ac:dyDescent="0.3">
      <c r="A6" s="253"/>
      <c r="B6" s="253" t="s">
        <v>376</v>
      </c>
      <c r="C6" s="254">
        <f>+C102</f>
        <v>65578000</v>
      </c>
      <c r="D6" s="254">
        <f t="shared" ref="D6:F6" si="4">+D102</f>
        <v>65578000</v>
      </c>
      <c r="E6" s="254">
        <f t="shared" si="4"/>
        <v>65578000</v>
      </c>
      <c r="F6" s="254">
        <f t="shared" si="4"/>
        <v>0</v>
      </c>
      <c r="G6" s="254"/>
      <c r="H6" s="254">
        <f t="shared" ref="H6:J6" si="5">+H102</f>
        <v>37591080</v>
      </c>
      <c r="I6" s="254">
        <f t="shared" si="5"/>
        <v>51159254</v>
      </c>
      <c r="J6" s="254">
        <f t="shared" si="5"/>
        <v>0</v>
      </c>
      <c r="K6" s="67"/>
      <c r="L6" s="701">
        <f t="shared" si="2"/>
        <v>0.5732269968587026</v>
      </c>
      <c r="M6" s="701">
        <f t="shared" si="2"/>
        <v>0.78012830522431298</v>
      </c>
      <c r="N6" s="701">
        <f t="shared" si="2"/>
        <v>0</v>
      </c>
      <c r="O6" s="701"/>
      <c r="P6" s="254">
        <f t="shared" ref="P6:S6" si="6">+P102</f>
        <v>0</v>
      </c>
      <c r="Q6" s="254">
        <f t="shared" si="6"/>
        <v>0</v>
      </c>
      <c r="R6" s="254">
        <f t="shared" si="6"/>
        <v>0</v>
      </c>
      <c r="S6" s="254">
        <f t="shared" si="6"/>
        <v>0</v>
      </c>
      <c r="T6" s="31">
        <f>IF(C6=0,0,+S6/C6)</f>
        <v>0</v>
      </c>
      <c r="U6" s="118"/>
      <c r="V6" s="199">
        <f t="shared" si="3"/>
        <v>0</v>
      </c>
      <c r="W6" s="122"/>
      <c r="X6" s="122"/>
    </row>
    <row r="7" spans="1:26" ht="20.100000000000001" customHeight="1" x14ac:dyDescent="0.3">
      <c r="A7" s="253"/>
      <c r="B7" s="253" t="s">
        <v>411</v>
      </c>
      <c r="C7" s="254">
        <f>+C6-C5</f>
        <v>0</v>
      </c>
      <c r="D7" s="254">
        <f t="shared" ref="D7:H7" si="7">+D6-D5</f>
        <v>0</v>
      </c>
      <c r="E7" s="254">
        <f t="shared" si="7"/>
        <v>0</v>
      </c>
      <c r="F7" s="254">
        <f t="shared" si="7"/>
        <v>0</v>
      </c>
      <c r="G7" s="254"/>
      <c r="H7" s="254">
        <f t="shared" si="7"/>
        <v>5934583</v>
      </c>
      <c r="I7" s="254">
        <f>+I6-I5</f>
        <v>4377544</v>
      </c>
      <c r="J7" s="254">
        <f t="shared" ref="J7" si="8">+J6-J5</f>
        <v>0</v>
      </c>
      <c r="K7" s="67"/>
      <c r="L7" s="701"/>
      <c r="M7" s="701"/>
      <c r="N7" s="701"/>
      <c r="O7" s="701"/>
      <c r="P7" s="254">
        <f t="shared" ref="P7:S7" si="9">+P6-P5</f>
        <v>0</v>
      </c>
      <c r="Q7" s="254">
        <f t="shared" si="9"/>
        <v>0</v>
      </c>
      <c r="R7" s="254">
        <f t="shared" si="9"/>
        <v>0</v>
      </c>
      <c r="S7" s="254">
        <f t="shared" si="9"/>
        <v>0</v>
      </c>
      <c r="T7" s="31">
        <f>IF(C7=0,0,+S7/C7)</f>
        <v>0</v>
      </c>
      <c r="U7" s="118"/>
      <c r="V7" s="199">
        <f t="shared" si="3"/>
        <v>0</v>
      </c>
      <c r="W7" s="122"/>
      <c r="X7" s="122"/>
    </row>
    <row r="8" spans="1:26" ht="13.2" x14ac:dyDescent="0.25">
      <c r="A8" s="237"/>
      <c r="B8" s="238"/>
      <c r="C8" s="671"/>
      <c r="D8" s="672"/>
      <c r="E8" s="672"/>
      <c r="F8" s="672"/>
      <c r="G8" s="673"/>
      <c r="H8" s="673"/>
      <c r="I8" s="673"/>
      <c r="J8" s="673"/>
      <c r="K8" s="673"/>
      <c r="L8" s="137"/>
      <c r="M8" s="137"/>
      <c r="N8" s="137"/>
      <c r="O8" s="120"/>
      <c r="P8" s="81"/>
      <c r="Q8" s="81"/>
      <c r="R8" s="81"/>
      <c r="S8" s="81"/>
      <c r="T8" s="152"/>
      <c r="U8" s="120"/>
      <c r="V8" s="196"/>
      <c r="W8" s="122"/>
      <c r="X8" s="122"/>
    </row>
    <row r="9" spans="1:26" ht="15.6" x14ac:dyDescent="0.3">
      <c r="A9" s="62"/>
      <c r="B9" s="239"/>
      <c r="C9" s="912" t="s">
        <v>410</v>
      </c>
      <c r="D9" s="920"/>
      <c r="E9" s="920"/>
      <c r="F9" s="921"/>
      <c r="G9" s="154"/>
      <c r="H9" s="912" t="s">
        <v>409</v>
      </c>
      <c r="I9" s="920"/>
      <c r="J9" s="920"/>
      <c r="K9" s="920"/>
      <c r="L9" s="920"/>
      <c r="M9" s="920"/>
      <c r="N9" s="921"/>
      <c r="O9" s="154"/>
      <c r="P9" s="912" t="s">
        <v>406</v>
      </c>
      <c r="Q9" s="920"/>
      <c r="R9" s="920"/>
      <c r="S9" s="920"/>
      <c r="T9" s="921"/>
      <c r="U9" s="200"/>
      <c r="V9" s="196"/>
      <c r="W9" s="122"/>
      <c r="X9" s="122"/>
    </row>
    <row r="10" spans="1:26" ht="13.2" x14ac:dyDescent="0.25">
      <c r="A10" s="270"/>
      <c r="B10" s="269"/>
      <c r="C10" s="235"/>
      <c r="D10" s="88"/>
      <c r="E10" s="88"/>
      <c r="F10" s="236"/>
      <c r="G10" s="134"/>
      <c r="H10" s="909" t="s">
        <v>422</v>
      </c>
      <c r="I10" s="922"/>
      <c r="J10" s="923"/>
      <c r="K10" s="134"/>
      <c r="L10" s="909" t="s">
        <v>421</v>
      </c>
      <c r="M10" s="922"/>
      <c r="N10" s="923"/>
      <c r="O10" s="135"/>
      <c r="P10" s="128">
        <f>+'3. Önk. Kiadások'!P8</f>
        <v>1</v>
      </c>
      <c r="Q10" s="128">
        <f>+'3. Önk. Kiadások'!Q8</f>
        <v>1</v>
      </c>
      <c r="R10" s="128">
        <f>+'3. Önk. Kiadások'!R8</f>
        <v>0</v>
      </c>
      <c r="S10" s="127"/>
      <c r="T10" s="127"/>
      <c r="U10" s="153"/>
      <c r="V10" s="256"/>
      <c r="W10" s="131"/>
      <c r="X10" s="131"/>
      <c r="Y10" s="131"/>
      <c r="Z10" s="131"/>
    </row>
    <row r="11" spans="1:26" ht="61.2" x14ac:dyDescent="0.25">
      <c r="A11" s="27" t="s">
        <v>372</v>
      </c>
      <c r="B11" s="27" t="s">
        <v>370</v>
      </c>
      <c r="C11" s="523" t="s">
        <v>550</v>
      </c>
      <c r="D11" s="361" t="s">
        <v>551</v>
      </c>
      <c r="E11" s="361" t="s">
        <v>552</v>
      </c>
      <c r="F11" s="524" t="s">
        <v>510</v>
      </c>
      <c r="G11" s="361"/>
      <c r="H11" s="497" t="s">
        <v>553</v>
      </c>
      <c r="I11" s="362" t="s">
        <v>554</v>
      </c>
      <c r="J11" s="362" t="s">
        <v>514</v>
      </c>
      <c r="K11" s="361"/>
      <c r="L11" s="363" t="s">
        <v>555</v>
      </c>
      <c r="M11" s="363" t="s">
        <v>556</v>
      </c>
      <c r="N11" s="498" t="s">
        <v>515</v>
      </c>
      <c r="O11" s="361"/>
      <c r="P11" s="497" t="s">
        <v>557</v>
      </c>
      <c r="Q11" s="362" t="s">
        <v>558</v>
      </c>
      <c r="R11" s="362" t="s">
        <v>513</v>
      </c>
      <c r="S11" s="362" t="s">
        <v>407</v>
      </c>
      <c r="T11" s="498" t="s">
        <v>408</v>
      </c>
      <c r="U11" s="190"/>
      <c r="V11" s="132" t="s">
        <v>412</v>
      </c>
      <c r="W11" s="122"/>
      <c r="X11" s="122"/>
    </row>
    <row r="12" spans="1:26" ht="13.2" x14ac:dyDescent="0.25">
      <c r="A12" s="14"/>
      <c r="B12" s="20"/>
      <c r="C12" s="68"/>
      <c r="D12" s="68"/>
      <c r="E12" s="68"/>
      <c r="F12" s="68"/>
      <c r="G12" s="68"/>
      <c r="H12" s="68"/>
      <c r="I12" s="68"/>
      <c r="J12" s="68"/>
      <c r="K12" s="68"/>
      <c r="L12" s="668"/>
      <c r="M12" s="668"/>
      <c r="N12" s="668"/>
      <c r="O12" s="68"/>
      <c r="P12" s="68"/>
      <c r="Q12" s="68"/>
      <c r="R12" s="68"/>
      <c r="S12" s="68"/>
      <c r="T12" s="68"/>
      <c r="U12" s="68"/>
      <c r="V12" s="257"/>
    </row>
    <row r="13" spans="1:26" ht="12.75" customHeight="1" x14ac:dyDescent="0.25">
      <c r="A13" s="7" t="s">
        <v>0</v>
      </c>
      <c r="B13" s="5" t="s">
        <v>3</v>
      </c>
      <c r="C13" s="273">
        <f>+C14+C24</f>
        <v>43340000</v>
      </c>
      <c r="D13" s="273">
        <f>+D14+D24</f>
        <v>43340000</v>
      </c>
      <c r="E13" s="273">
        <f>+E14+E24</f>
        <v>43340000</v>
      </c>
      <c r="F13" s="273">
        <f t="shared" ref="F13:K13" si="10">SUM(F14:F28)</f>
        <v>0</v>
      </c>
      <c r="G13" s="273"/>
      <c r="H13" s="273">
        <f>+H14+H24</f>
        <v>20669168</v>
      </c>
      <c r="I13" s="273">
        <f>+I14+I24</f>
        <v>31333670</v>
      </c>
      <c r="J13" s="273">
        <f t="shared" si="10"/>
        <v>0</v>
      </c>
      <c r="K13" s="273">
        <f t="shared" si="10"/>
        <v>0</v>
      </c>
      <c r="L13" s="650">
        <f t="shared" ref="L13:L27" si="11">IF(H13&gt;0,H13/C13,0)</f>
        <v>0.47690742962621135</v>
      </c>
      <c r="M13" s="650">
        <f t="shared" ref="M13:M27" si="12">IF(I13&gt;0,I13/D13,0)</f>
        <v>0.72297346562067377</v>
      </c>
      <c r="N13" s="650">
        <f t="shared" ref="N13:N27" si="13">IF(J13&gt;0,J13/E13,0)</f>
        <v>0</v>
      </c>
      <c r="O13" s="273"/>
      <c r="P13" s="273">
        <f t="shared" ref="P13:P27" si="14">+(D13-C13)*P$10</f>
        <v>0</v>
      </c>
      <c r="Q13" s="273">
        <f t="shared" ref="Q13:Q27" si="15">+(E13-D13)*Q$10</f>
        <v>0</v>
      </c>
      <c r="R13" s="273">
        <f t="shared" ref="R13:R27" si="16">+(F13-E13)*R$10</f>
        <v>0</v>
      </c>
      <c r="S13" s="273">
        <f>+P13*P$10+Q13*Q$10+R13*R$10</f>
        <v>0</v>
      </c>
      <c r="T13" s="284">
        <f t="shared" ref="T13:T14" si="17">IF(C13=0,0,+S13/C13)</f>
        <v>0</v>
      </c>
      <c r="U13" s="120"/>
      <c r="V13" s="196">
        <f t="shared" ref="V13:V14" si="18">+S13-E13+C13</f>
        <v>0</v>
      </c>
    </row>
    <row r="14" spans="1:26" ht="12.75" customHeight="1" x14ac:dyDescent="0.25">
      <c r="A14" s="14" t="s">
        <v>1</v>
      </c>
      <c r="B14" s="20"/>
      <c r="C14" s="277">
        <f>SUM(C15:C23)</f>
        <v>43100000</v>
      </c>
      <c r="D14" s="277">
        <f>SUM(D15:D23)</f>
        <v>43100000</v>
      </c>
      <c r="E14" s="277">
        <f>SUM(E15:E23)</f>
        <v>43100000</v>
      </c>
      <c r="F14" s="274"/>
      <c r="G14" s="274"/>
      <c r="H14" s="277">
        <f>SUM(H15:H23)</f>
        <v>20549168</v>
      </c>
      <c r="I14" s="277">
        <f>SUM(I15:I23)</f>
        <v>31153670</v>
      </c>
      <c r="J14" s="275"/>
      <c r="K14" s="274"/>
      <c r="L14" s="653">
        <f t="shared" si="11"/>
        <v>0.47677883990719255</v>
      </c>
      <c r="M14" s="653">
        <f t="shared" si="12"/>
        <v>0.72282296983758698</v>
      </c>
      <c r="N14" s="653">
        <f t="shared" si="13"/>
        <v>0</v>
      </c>
      <c r="O14" s="274"/>
      <c r="P14" s="81">
        <f t="shared" si="14"/>
        <v>0</v>
      </c>
      <c r="Q14" s="81">
        <f t="shared" si="15"/>
        <v>0</v>
      </c>
      <c r="R14" s="81">
        <f t="shared" si="16"/>
        <v>0</v>
      </c>
      <c r="S14" s="81">
        <f t="shared" ref="S14:S30" si="19">+P14*P$10+Q14*Q$10+R14*R$10</f>
        <v>0</v>
      </c>
      <c r="T14" s="283">
        <f t="shared" si="17"/>
        <v>0</v>
      </c>
      <c r="U14" s="120"/>
      <c r="V14" s="196">
        <f t="shared" si="18"/>
        <v>0</v>
      </c>
    </row>
    <row r="15" spans="1:26" ht="12.75" customHeight="1" x14ac:dyDescent="0.25">
      <c r="A15" s="14" t="s">
        <v>2</v>
      </c>
      <c r="B15" s="485" t="s">
        <v>362</v>
      </c>
      <c r="C15" s="274">
        <f>41250000-600000</f>
        <v>40650000</v>
      </c>
      <c r="D15" s="274">
        <v>40650000</v>
      </c>
      <c r="E15" s="274">
        <v>40650000</v>
      </c>
      <c r="F15" s="274"/>
      <c r="G15" s="274"/>
      <c r="H15" s="275">
        <v>20251489</v>
      </c>
      <c r="I15" s="275">
        <v>29862813</v>
      </c>
      <c r="J15" s="275"/>
      <c r="K15" s="274"/>
      <c r="L15" s="653">
        <f t="shared" si="11"/>
        <v>0.49819161131611317</v>
      </c>
      <c r="M15" s="653">
        <f t="shared" si="12"/>
        <v>0.73463254612546125</v>
      </c>
      <c r="N15" s="653">
        <f t="shared" si="13"/>
        <v>0</v>
      </c>
      <c r="O15" s="274"/>
      <c r="P15" s="81">
        <f t="shared" si="14"/>
        <v>0</v>
      </c>
      <c r="Q15" s="81">
        <f t="shared" si="15"/>
        <v>0</v>
      </c>
      <c r="R15" s="81">
        <f t="shared" si="16"/>
        <v>0</v>
      </c>
      <c r="S15" s="81">
        <f t="shared" si="19"/>
        <v>0</v>
      </c>
      <c r="T15" s="283">
        <f t="shared" ref="T15:T27" si="20">IF(C15=0,0,+S15/C15)</f>
        <v>0</v>
      </c>
      <c r="U15" s="120"/>
      <c r="V15" s="196">
        <f t="shared" ref="V15:V27" si="21">+S15-E15+C15</f>
        <v>0</v>
      </c>
    </row>
    <row r="16" spans="1:26" ht="12.75" customHeight="1" x14ac:dyDescent="0.25">
      <c r="A16" s="14" t="s">
        <v>12</v>
      </c>
      <c r="B16" s="20" t="s">
        <v>380</v>
      </c>
      <c r="C16" s="274">
        <v>0</v>
      </c>
      <c r="D16" s="274"/>
      <c r="E16" s="274"/>
      <c r="F16" s="274"/>
      <c r="G16" s="274"/>
      <c r="H16" s="275"/>
      <c r="I16" s="275"/>
      <c r="J16" s="275"/>
      <c r="K16" s="274"/>
      <c r="L16" s="653">
        <f t="shared" si="11"/>
        <v>0</v>
      </c>
      <c r="M16" s="653">
        <f t="shared" si="12"/>
        <v>0</v>
      </c>
      <c r="N16" s="653">
        <f t="shared" si="13"/>
        <v>0</v>
      </c>
      <c r="O16" s="274"/>
      <c r="P16" s="81">
        <f t="shared" si="14"/>
        <v>0</v>
      </c>
      <c r="Q16" s="81">
        <f t="shared" si="15"/>
        <v>0</v>
      </c>
      <c r="R16" s="81">
        <f t="shared" si="16"/>
        <v>0</v>
      </c>
      <c r="S16" s="81">
        <f t="shared" si="19"/>
        <v>0</v>
      </c>
      <c r="T16" s="283">
        <f t="shared" si="20"/>
        <v>0</v>
      </c>
      <c r="U16" s="120"/>
      <c r="V16" s="196">
        <f t="shared" si="21"/>
        <v>0</v>
      </c>
    </row>
    <row r="17" spans="1:22" ht="12.75" customHeight="1" x14ac:dyDescent="0.25">
      <c r="A17" s="14" t="s">
        <v>13</v>
      </c>
      <c r="B17" s="20" t="s">
        <v>379</v>
      </c>
      <c r="C17" s="274">
        <v>0</v>
      </c>
      <c r="D17" s="274"/>
      <c r="E17" s="274"/>
      <c r="F17" s="274"/>
      <c r="G17" s="274"/>
      <c r="H17" s="275"/>
      <c r="I17" s="275"/>
      <c r="J17" s="275"/>
      <c r="K17" s="274"/>
      <c r="L17" s="653">
        <f t="shared" si="11"/>
        <v>0</v>
      </c>
      <c r="M17" s="653">
        <f t="shared" si="12"/>
        <v>0</v>
      </c>
      <c r="N17" s="653">
        <f t="shared" si="13"/>
        <v>0</v>
      </c>
      <c r="O17" s="274"/>
      <c r="P17" s="81">
        <f t="shared" si="14"/>
        <v>0</v>
      </c>
      <c r="Q17" s="81">
        <f t="shared" si="15"/>
        <v>0</v>
      </c>
      <c r="R17" s="81">
        <f t="shared" si="16"/>
        <v>0</v>
      </c>
      <c r="S17" s="81">
        <f t="shared" si="19"/>
        <v>0</v>
      </c>
      <c r="T17" s="283">
        <f t="shared" si="20"/>
        <v>0</v>
      </c>
      <c r="U17" s="120"/>
      <c r="V17" s="196">
        <f t="shared" si="21"/>
        <v>0</v>
      </c>
    </row>
    <row r="18" spans="1:22" ht="12.75" customHeight="1" x14ac:dyDescent="0.25">
      <c r="A18" s="532" t="s">
        <v>385</v>
      </c>
      <c r="B18" s="20" t="s">
        <v>6</v>
      </c>
      <c r="C18" s="274"/>
      <c r="D18" s="274"/>
      <c r="E18" s="274"/>
      <c r="F18" s="274"/>
      <c r="G18" s="274"/>
      <c r="H18" s="275"/>
      <c r="I18" s="275"/>
      <c r="J18" s="275"/>
      <c r="K18" s="274"/>
      <c r="L18" s="653">
        <f t="shared" si="11"/>
        <v>0</v>
      </c>
      <c r="M18" s="653">
        <f t="shared" si="12"/>
        <v>0</v>
      </c>
      <c r="N18" s="653">
        <f t="shared" si="13"/>
        <v>0</v>
      </c>
      <c r="O18" s="274"/>
      <c r="P18" s="81">
        <f t="shared" si="14"/>
        <v>0</v>
      </c>
      <c r="Q18" s="81">
        <f t="shared" si="15"/>
        <v>0</v>
      </c>
      <c r="R18" s="81">
        <f t="shared" si="16"/>
        <v>0</v>
      </c>
      <c r="S18" s="81">
        <f t="shared" si="19"/>
        <v>0</v>
      </c>
      <c r="T18" s="283">
        <f t="shared" si="20"/>
        <v>0</v>
      </c>
      <c r="U18" s="120"/>
      <c r="V18" s="196">
        <f t="shared" si="21"/>
        <v>0</v>
      </c>
    </row>
    <row r="19" spans="1:22" ht="12.75" customHeight="1" x14ac:dyDescent="0.25">
      <c r="A19" s="14" t="s">
        <v>14</v>
      </c>
      <c r="B19" s="20" t="s">
        <v>7</v>
      </c>
      <c r="C19" s="274">
        <f>16*5000*12</f>
        <v>960000</v>
      </c>
      <c r="D19" s="274">
        <f>16*5000*12</f>
        <v>960000</v>
      </c>
      <c r="E19" s="274">
        <f>305862+654138</f>
        <v>960000</v>
      </c>
      <c r="F19" s="274"/>
      <c r="G19" s="274"/>
      <c r="H19" s="274">
        <v>15228</v>
      </c>
      <c r="I19" s="274">
        <f>15228+654138</f>
        <v>669366</v>
      </c>
      <c r="J19" s="274"/>
      <c r="K19" s="274"/>
      <c r="L19" s="653">
        <f t="shared" si="11"/>
        <v>1.5862500000000002E-2</v>
      </c>
      <c r="M19" s="653">
        <f t="shared" si="12"/>
        <v>0.69725625000000002</v>
      </c>
      <c r="N19" s="653">
        <f t="shared" si="13"/>
        <v>0</v>
      </c>
      <c r="O19" s="274"/>
      <c r="P19" s="81">
        <f t="shared" si="14"/>
        <v>0</v>
      </c>
      <c r="Q19" s="81">
        <f t="shared" si="15"/>
        <v>0</v>
      </c>
      <c r="R19" s="81">
        <f t="shared" si="16"/>
        <v>0</v>
      </c>
      <c r="S19" s="81">
        <f t="shared" si="19"/>
        <v>0</v>
      </c>
      <c r="T19" s="283">
        <f t="shared" si="20"/>
        <v>0</v>
      </c>
      <c r="U19" s="120"/>
      <c r="V19" s="196">
        <f t="shared" si="21"/>
        <v>0</v>
      </c>
    </row>
    <row r="20" spans="1:22" ht="12.75" customHeight="1" x14ac:dyDescent="0.25">
      <c r="A20" s="14" t="s">
        <v>15</v>
      </c>
      <c r="B20" s="20" t="s">
        <v>8</v>
      </c>
      <c r="C20" s="274">
        <f>16*40000</f>
        <v>640000</v>
      </c>
      <c r="D20" s="274">
        <f>16*40000</f>
        <v>640000</v>
      </c>
      <c r="E20" s="274">
        <v>640000</v>
      </c>
      <c r="F20" s="274"/>
      <c r="G20" s="274"/>
      <c r="H20" s="275">
        <v>0</v>
      </c>
      <c r="I20" s="275"/>
      <c r="J20" s="275"/>
      <c r="K20" s="274"/>
      <c r="L20" s="653">
        <f t="shared" si="11"/>
        <v>0</v>
      </c>
      <c r="M20" s="653">
        <f t="shared" si="12"/>
        <v>0</v>
      </c>
      <c r="N20" s="653">
        <f t="shared" si="13"/>
        <v>0</v>
      </c>
      <c r="O20" s="274"/>
      <c r="P20" s="81">
        <f t="shared" si="14"/>
        <v>0</v>
      </c>
      <c r="Q20" s="81">
        <f t="shared" si="15"/>
        <v>0</v>
      </c>
      <c r="R20" s="81">
        <f t="shared" si="16"/>
        <v>0</v>
      </c>
      <c r="S20" s="81">
        <f t="shared" si="19"/>
        <v>0</v>
      </c>
      <c r="T20" s="283">
        <f t="shared" si="20"/>
        <v>0</v>
      </c>
      <c r="U20" s="120"/>
      <c r="V20" s="196">
        <f t="shared" si="21"/>
        <v>0</v>
      </c>
    </row>
    <row r="21" spans="1:22" ht="12.75" customHeight="1" x14ac:dyDescent="0.25">
      <c r="A21" s="14" t="s">
        <v>16</v>
      </c>
      <c r="B21" s="20" t="s">
        <v>9</v>
      </c>
      <c r="C21" s="274">
        <v>250000</v>
      </c>
      <c r="D21" s="274">
        <v>250000</v>
      </c>
      <c r="E21" s="274">
        <v>250000</v>
      </c>
      <c r="F21" s="274"/>
      <c r="G21" s="274"/>
      <c r="H21" s="275">
        <v>99314</v>
      </c>
      <c r="I21" s="275">
        <v>163279</v>
      </c>
      <c r="J21" s="275"/>
      <c r="K21" s="274"/>
      <c r="L21" s="653">
        <f t="shared" si="11"/>
        <v>0.397256</v>
      </c>
      <c r="M21" s="653">
        <f t="shared" si="12"/>
        <v>0.65311600000000003</v>
      </c>
      <c r="N21" s="653">
        <f t="shared" si="13"/>
        <v>0</v>
      </c>
      <c r="O21" s="274"/>
      <c r="P21" s="81">
        <f t="shared" si="14"/>
        <v>0</v>
      </c>
      <c r="Q21" s="81">
        <f t="shared" si="15"/>
        <v>0</v>
      </c>
      <c r="R21" s="81">
        <f t="shared" si="16"/>
        <v>0</v>
      </c>
      <c r="S21" s="81">
        <f t="shared" si="19"/>
        <v>0</v>
      </c>
      <c r="T21" s="283">
        <f t="shared" si="20"/>
        <v>0</v>
      </c>
      <c r="U21" s="120"/>
      <c r="V21" s="196">
        <f t="shared" si="21"/>
        <v>0</v>
      </c>
    </row>
    <row r="22" spans="1:22" ht="12.75" customHeight="1" x14ac:dyDescent="0.25">
      <c r="A22" s="14" t="s">
        <v>17</v>
      </c>
      <c r="B22" s="20" t="s">
        <v>10</v>
      </c>
      <c r="C22" s="274"/>
      <c r="D22" s="274"/>
      <c r="E22" s="274"/>
      <c r="F22" s="274"/>
      <c r="G22" s="274"/>
      <c r="H22" s="275"/>
      <c r="I22" s="275"/>
      <c r="J22" s="275"/>
      <c r="K22" s="274"/>
      <c r="L22" s="653">
        <f t="shared" si="11"/>
        <v>0</v>
      </c>
      <c r="M22" s="653">
        <f t="shared" si="12"/>
        <v>0</v>
      </c>
      <c r="N22" s="653">
        <f t="shared" si="13"/>
        <v>0</v>
      </c>
      <c r="O22" s="274"/>
      <c r="P22" s="81">
        <f t="shared" si="14"/>
        <v>0</v>
      </c>
      <c r="Q22" s="81">
        <f t="shared" si="15"/>
        <v>0</v>
      </c>
      <c r="R22" s="81">
        <f t="shared" si="16"/>
        <v>0</v>
      </c>
      <c r="S22" s="81">
        <f t="shared" si="19"/>
        <v>0</v>
      </c>
      <c r="T22" s="283">
        <f t="shared" si="20"/>
        <v>0</v>
      </c>
      <c r="U22" s="120"/>
      <c r="V22" s="196">
        <f t="shared" si="21"/>
        <v>0</v>
      </c>
    </row>
    <row r="23" spans="1:22" ht="12.75" customHeight="1" x14ac:dyDescent="0.25">
      <c r="A23" s="14" t="s">
        <v>18</v>
      </c>
      <c r="B23" s="20" t="s">
        <v>11</v>
      </c>
      <c r="C23" s="274">
        <v>600000</v>
      </c>
      <c r="D23" s="274">
        <v>600000</v>
      </c>
      <c r="E23" s="274">
        <v>600000</v>
      </c>
      <c r="F23" s="274"/>
      <c r="G23" s="274"/>
      <c r="H23" s="275">
        <v>183137</v>
      </c>
      <c r="I23" s="275">
        <v>458212</v>
      </c>
      <c r="J23" s="275"/>
      <c r="K23" s="274"/>
      <c r="L23" s="653">
        <f t="shared" si="11"/>
        <v>0.30522833333333332</v>
      </c>
      <c r="M23" s="653">
        <f t="shared" si="12"/>
        <v>0.76368666666666662</v>
      </c>
      <c r="N23" s="653">
        <f t="shared" si="13"/>
        <v>0</v>
      </c>
      <c r="O23" s="274"/>
      <c r="P23" s="81">
        <f t="shared" si="14"/>
        <v>0</v>
      </c>
      <c r="Q23" s="81">
        <f t="shared" si="15"/>
        <v>0</v>
      </c>
      <c r="R23" s="81">
        <f t="shared" si="16"/>
        <v>0</v>
      </c>
      <c r="S23" s="81">
        <f t="shared" si="19"/>
        <v>0</v>
      </c>
      <c r="T23" s="283">
        <f t="shared" si="20"/>
        <v>0</v>
      </c>
      <c r="U23" s="120"/>
      <c r="V23" s="196">
        <f t="shared" si="21"/>
        <v>0</v>
      </c>
    </row>
    <row r="24" spans="1:22" ht="12.75" customHeight="1" x14ac:dyDescent="0.25">
      <c r="A24" s="14" t="s">
        <v>19</v>
      </c>
      <c r="B24" s="20"/>
      <c r="C24" s="277">
        <f>SUM(C25:C27)</f>
        <v>240000</v>
      </c>
      <c r="D24" s="277">
        <f>SUM(D25:D27)</f>
        <v>240000</v>
      </c>
      <c r="E24" s="277">
        <f>SUM(E25:E27)</f>
        <v>240000</v>
      </c>
      <c r="F24" s="274"/>
      <c r="G24" s="274"/>
      <c r="H24" s="277">
        <f>SUM(H25:H27)</f>
        <v>120000</v>
      </c>
      <c r="I24" s="277">
        <f>SUM(I25:I27)</f>
        <v>180000</v>
      </c>
      <c r="J24" s="275"/>
      <c r="K24" s="274"/>
      <c r="L24" s="653">
        <f t="shared" si="11"/>
        <v>0.5</v>
      </c>
      <c r="M24" s="653">
        <f t="shared" si="12"/>
        <v>0.75</v>
      </c>
      <c r="N24" s="653">
        <f t="shared" si="13"/>
        <v>0</v>
      </c>
      <c r="O24" s="274"/>
      <c r="P24" s="81">
        <f t="shared" si="14"/>
        <v>0</v>
      </c>
      <c r="Q24" s="81">
        <f t="shared" si="15"/>
        <v>0</v>
      </c>
      <c r="R24" s="81">
        <f t="shared" si="16"/>
        <v>0</v>
      </c>
      <c r="S24" s="81">
        <f t="shared" si="19"/>
        <v>0</v>
      </c>
      <c r="T24" s="283">
        <f t="shared" si="20"/>
        <v>0</v>
      </c>
      <c r="U24" s="120"/>
      <c r="V24" s="196">
        <f t="shared" si="21"/>
        <v>0</v>
      </c>
    </row>
    <row r="25" spans="1:22" ht="12.75" customHeight="1" x14ac:dyDescent="0.25">
      <c r="A25" s="14" t="s">
        <v>20</v>
      </c>
      <c r="B25" s="20" t="s">
        <v>21</v>
      </c>
      <c r="C25" s="274"/>
      <c r="D25" s="274"/>
      <c r="E25" s="274"/>
      <c r="F25" s="274"/>
      <c r="G25" s="274"/>
      <c r="H25" s="275"/>
      <c r="I25" s="275"/>
      <c r="J25" s="275"/>
      <c r="K25" s="274"/>
      <c r="L25" s="653">
        <f t="shared" si="11"/>
        <v>0</v>
      </c>
      <c r="M25" s="653">
        <f t="shared" si="12"/>
        <v>0</v>
      </c>
      <c r="N25" s="653">
        <f t="shared" si="13"/>
        <v>0</v>
      </c>
      <c r="O25" s="274"/>
      <c r="P25" s="81">
        <f t="shared" si="14"/>
        <v>0</v>
      </c>
      <c r="Q25" s="81">
        <f t="shared" si="15"/>
        <v>0</v>
      </c>
      <c r="R25" s="81">
        <f t="shared" si="16"/>
        <v>0</v>
      </c>
      <c r="S25" s="81">
        <f t="shared" si="19"/>
        <v>0</v>
      </c>
      <c r="T25" s="283">
        <f t="shared" si="20"/>
        <v>0</v>
      </c>
      <c r="U25" s="120"/>
      <c r="V25" s="196">
        <f t="shared" si="21"/>
        <v>0</v>
      </c>
    </row>
    <row r="26" spans="1:22" ht="12.75" customHeight="1" x14ac:dyDescent="0.25">
      <c r="A26" s="14" t="s">
        <v>22</v>
      </c>
      <c r="B26" s="20" t="s">
        <v>23</v>
      </c>
      <c r="C26" s="625">
        <f>20000*12</f>
        <v>240000</v>
      </c>
      <c r="D26" s="625">
        <f>20000*12</f>
        <v>240000</v>
      </c>
      <c r="E26" s="274">
        <v>240000</v>
      </c>
      <c r="F26" s="274"/>
      <c r="G26" s="274"/>
      <c r="H26" s="275">
        <v>120000</v>
      </c>
      <c r="I26" s="275">
        <v>180000</v>
      </c>
      <c r="J26" s="275"/>
      <c r="K26" s="274"/>
      <c r="L26" s="653">
        <f t="shared" si="11"/>
        <v>0.5</v>
      </c>
      <c r="M26" s="653">
        <f t="shared" si="12"/>
        <v>0.75</v>
      </c>
      <c r="N26" s="653">
        <f t="shared" si="13"/>
        <v>0</v>
      </c>
      <c r="O26" s="274"/>
      <c r="P26" s="81">
        <f t="shared" si="14"/>
        <v>0</v>
      </c>
      <c r="Q26" s="81">
        <f t="shared" si="15"/>
        <v>0</v>
      </c>
      <c r="R26" s="81">
        <f t="shared" si="16"/>
        <v>0</v>
      </c>
      <c r="S26" s="81">
        <f t="shared" si="19"/>
        <v>0</v>
      </c>
      <c r="T26" s="283">
        <f t="shared" si="20"/>
        <v>0</v>
      </c>
      <c r="U26" s="120"/>
      <c r="V26" s="196">
        <f t="shared" si="21"/>
        <v>0</v>
      </c>
    </row>
    <row r="27" spans="1:22" ht="12.75" customHeight="1" x14ac:dyDescent="0.25">
      <c r="A27" s="14" t="s">
        <v>24</v>
      </c>
      <c r="B27" s="20" t="s">
        <v>25</v>
      </c>
      <c r="C27" s="274">
        <v>0</v>
      </c>
      <c r="D27" s="274">
        <v>0</v>
      </c>
      <c r="E27" s="274">
        <v>0</v>
      </c>
      <c r="F27" s="274"/>
      <c r="G27" s="274"/>
      <c r="H27" s="275">
        <v>0</v>
      </c>
      <c r="I27" s="275">
        <v>0</v>
      </c>
      <c r="J27" s="275"/>
      <c r="K27" s="274"/>
      <c r="L27" s="653">
        <f t="shared" si="11"/>
        <v>0</v>
      </c>
      <c r="M27" s="653">
        <f t="shared" si="12"/>
        <v>0</v>
      </c>
      <c r="N27" s="653">
        <f t="shared" si="13"/>
        <v>0</v>
      </c>
      <c r="O27" s="274"/>
      <c r="P27" s="81">
        <f t="shared" si="14"/>
        <v>0</v>
      </c>
      <c r="Q27" s="81">
        <f t="shared" si="15"/>
        <v>0</v>
      </c>
      <c r="R27" s="81">
        <f t="shared" si="16"/>
        <v>0</v>
      </c>
      <c r="S27" s="81">
        <f t="shared" si="19"/>
        <v>0</v>
      </c>
      <c r="T27" s="283">
        <f t="shared" si="20"/>
        <v>0</v>
      </c>
      <c r="U27" s="120"/>
      <c r="V27" s="196">
        <f t="shared" si="21"/>
        <v>0</v>
      </c>
    </row>
    <row r="28" spans="1:22" ht="12.75" customHeight="1" x14ac:dyDescent="0.25">
      <c r="A28" s="14"/>
      <c r="B28" s="14"/>
      <c r="C28" s="274"/>
      <c r="D28" s="274"/>
      <c r="E28" s="274"/>
      <c r="F28" s="274"/>
      <c r="G28" s="274"/>
      <c r="H28" s="275"/>
      <c r="I28" s="275"/>
      <c r="J28" s="275"/>
      <c r="K28" s="274"/>
      <c r="L28" s="652"/>
      <c r="M28" s="652"/>
      <c r="N28" s="652"/>
      <c r="O28" s="274"/>
      <c r="P28" s="81">
        <f t="shared" ref="P28:P101" si="22">+(D28-C28)*P$10</f>
        <v>0</v>
      </c>
      <c r="Q28" s="81">
        <f t="shared" ref="Q28:Q101" si="23">+(E28-D28)*Q$10</f>
        <v>0</v>
      </c>
      <c r="R28" s="81">
        <f t="shared" ref="R28:R101" si="24">+(F28-E28)*R$10</f>
        <v>0</v>
      </c>
      <c r="S28" s="81">
        <f t="shared" si="19"/>
        <v>0</v>
      </c>
      <c r="T28" s="283"/>
      <c r="U28" s="120"/>
      <c r="V28" s="196"/>
    </row>
    <row r="29" spans="1:22" ht="12.75" customHeight="1" x14ac:dyDescent="0.25">
      <c r="A29" s="7" t="s">
        <v>26</v>
      </c>
      <c r="B29" s="5" t="s">
        <v>27</v>
      </c>
      <c r="C29" s="273">
        <f>SUM(C30:C31)</f>
        <v>8153000</v>
      </c>
      <c r="D29" s="273">
        <f t="shared" ref="D29:F29" si="25">SUM(D30:D31)</f>
        <v>8153000</v>
      </c>
      <c r="E29" s="273">
        <f t="shared" si="25"/>
        <v>8153000</v>
      </c>
      <c r="F29" s="273">
        <f t="shared" si="25"/>
        <v>0</v>
      </c>
      <c r="G29" s="273"/>
      <c r="H29" s="273">
        <f t="shared" ref="H29" si="26">SUM(H30:H31)</f>
        <v>4692885</v>
      </c>
      <c r="I29" s="273">
        <f t="shared" ref="I29" si="27">SUM(I30:I31)</f>
        <v>6664922</v>
      </c>
      <c r="J29" s="273">
        <f t="shared" ref="J29" si="28">SUM(J30:J31)</f>
        <v>0</v>
      </c>
      <c r="K29" s="273"/>
      <c r="L29" s="650">
        <f t="shared" ref="L29:L30" si="29">IF(H29&gt;0,H29/C29,0)</f>
        <v>0.57560223230712626</v>
      </c>
      <c r="M29" s="650">
        <f t="shared" ref="M29:M30" si="30">IF(I29&gt;0,I29/D29,0)</f>
        <v>0.81748092726603705</v>
      </c>
      <c r="N29" s="650">
        <f t="shared" ref="N29:N30" si="31">IF(J29&gt;0,J29/E29,0)</f>
        <v>0</v>
      </c>
      <c r="O29" s="273"/>
      <c r="P29" s="273">
        <f t="shared" si="22"/>
        <v>0</v>
      </c>
      <c r="Q29" s="273">
        <f t="shared" si="23"/>
        <v>0</v>
      </c>
      <c r="R29" s="273">
        <f t="shared" si="24"/>
        <v>0</v>
      </c>
      <c r="S29" s="273">
        <f t="shared" si="19"/>
        <v>0</v>
      </c>
      <c r="T29" s="284">
        <f t="shared" ref="T29:T30" si="32">IF(C29=0,0,+S29/C29)</f>
        <v>0</v>
      </c>
      <c r="U29" s="120"/>
      <c r="V29" s="196">
        <f t="shared" ref="V29:V30" si="33">+S29-E29+C29</f>
        <v>0</v>
      </c>
    </row>
    <row r="30" spans="1:22" ht="12.75" customHeight="1" x14ac:dyDescent="0.25">
      <c r="A30" s="14"/>
      <c r="B30" s="20" t="s">
        <v>28</v>
      </c>
      <c r="C30" s="274">
        <v>8153000</v>
      </c>
      <c r="D30" s="274">
        <v>8153000</v>
      </c>
      <c r="E30" s="274">
        <v>8153000</v>
      </c>
      <c r="F30" s="274"/>
      <c r="G30" s="274"/>
      <c r="H30" s="275">
        <v>4692885</v>
      </c>
      <c r="I30" s="276">
        <v>6664922</v>
      </c>
      <c r="J30" s="276"/>
      <c r="K30" s="274"/>
      <c r="L30" s="653">
        <f t="shared" si="29"/>
        <v>0.57560223230712626</v>
      </c>
      <c r="M30" s="653">
        <f t="shared" si="30"/>
        <v>0.81748092726603705</v>
      </c>
      <c r="N30" s="653">
        <f t="shared" si="31"/>
        <v>0</v>
      </c>
      <c r="O30" s="274"/>
      <c r="P30" s="81">
        <f t="shared" si="22"/>
        <v>0</v>
      </c>
      <c r="Q30" s="81">
        <f t="shared" si="23"/>
        <v>0</v>
      </c>
      <c r="R30" s="81">
        <f t="shared" si="24"/>
        <v>0</v>
      </c>
      <c r="S30" s="81">
        <f t="shared" si="19"/>
        <v>0</v>
      </c>
      <c r="T30" s="283">
        <f t="shared" si="32"/>
        <v>0</v>
      </c>
      <c r="U30" s="120"/>
      <c r="V30" s="196">
        <f t="shared" si="33"/>
        <v>0</v>
      </c>
    </row>
    <row r="31" spans="1:22" ht="12.75" customHeight="1" x14ac:dyDescent="0.25">
      <c r="A31" s="14"/>
      <c r="B31" s="14"/>
      <c r="C31" s="274"/>
      <c r="D31" s="274"/>
      <c r="E31" s="274"/>
      <c r="F31" s="274"/>
      <c r="G31" s="274"/>
      <c r="H31" s="275"/>
      <c r="I31" s="275"/>
      <c r="J31" s="275"/>
      <c r="K31" s="274"/>
      <c r="L31" s="652"/>
      <c r="M31" s="652"/>
      <c r="N31" s="652"/>
      <c r="O31" s="274"/>
      <c r="P31" s="81"/>
      <c r="Q31" s="81"/>
      <c r="R31" s="81"/>
      <c r="S31" s="81"/>
      <c r="T31" s="283"/>
      <c r="U31" s="120"/>
      <c r="V31" s="196"/>
    </row>
    <row r="32" spans="1:22" ht="12.75" customHeight="1" x14ac:dyDescent="0.25">
      <c r="A32" s="7" t="s">
        <v>29</v>
      </c>
      <c r="B32" s="5" t="s">
        <v>30</v>
      </c>
      <c r="C32" s="273">
        <f t="shared" ref="C32:E32" si="34">+C33+C41+C48+C66+C71</f>
        <v>13785000</v>
      </c>
      <c r="D32" s="273">
        <f t="shared" si="34"/>
        <v>13305000</v>
      </c>
      <c r="E32" s="273">
        <f t="shared" si="34"/>
        <v>13305000</v>
      </c>
      <c r="F32" s="273">
        <f t="shared" ref="F32" si="35">+F33+F41+F48+F66+F71</f>
        <v>0</v>
      </c>
      <c r="G32" s="273"/>
      <c r="H32" s="273">
        <f>+H33+H41+H48+H66+H71</f>
        <v>5536614</v>
      </c>
      <c r="I32" s="273">
        <f>+I33+I41+I48+I66+I71</f>
        <v>8025288</v>
      </c>
      <c r="J32" s="273">
        <f t="shared" ref="J32" si="36">+J33+J41+J48+J66+J71</f>
        <v>0</v>
      </c>
      <c r="K32" s="273"/>
      <c r="L32" s="650">
        <f t="shared" ref="L32:L89" si="37">IF(H32&gt;0,H32/C32,0)</f>
        <v>0.401640478781284</v>
      </c>
      <c r="M32" s="650">
        <f t="shared" ref="M32:M89" si="38">IF(I32&gt;0,I32/D32,0)</f>
        <v>0.60317835400225484</v>
      </c>
      <c r="N32" s="650">
        <f t="shared" ref="N32:N89" si="39">IF(J32&gt;0,J32/E32,0)</f>
        <v>0</v>
      </c>
      <c r="O32" s="273"/>
      <c r="P32" s="273">
        <f t="shared" si="22"/>
        <v>-480000</v>
      </c>
      <c r="Q32" s="273">
        <f t="shared" si="23"/>
        <v>0</v>
      </c>
      <c r="R32" s="273">
        <f t="shared" si="24"/>
        <v>0</v>
      </c>
      <c r="S32" s="273">
        <f t="shared" ref="S32:S89" si="40">+P32*P$10+Q32*Q$10+R32*R$10</f>
        <v>-480000</v>
      </c>
      <c r="T32" s="284">
        <f t="shared" ref="T32:T34" si="41">IF(C32=0,0,+S32/C32)</f>
        <v>-3.4820457018498369E-2</v>
      </c>
      <c r="U32" s="120"/>
      <c r="V32" s="196">
        <f t="shared" ref="V32:V34" si="42">+S32-E32+C32</f>
        <v>0</v>
      </c>
    </row>
    <row r="33" spans="1:22" s="42" customFormat="1" ht="12.75" customHeight="1" x14ac:dyDescent="0.25">
      <c r="A33" s="38" t="s">
        <v>31</v>
      </c>
      <c r="B33" s="39" t="s">
        <v>32</v>
      </c>
      <c r="C33" s="277">
        <f>SUM(C34:C40)</f>
        <v>7750000</v>
      </c>
      <c r="D33" s="277">
        <f t="shared" ref="D33:F33" si="43">SUM(D34:D40)</f>
        <v>7270000</v>
      </c>
      <c r="E33" s="277">
        <f t="shared" si="43"/>
        <v>7270000</v>
      </c>
      <c r="F33" s="277">
        <f t="shared" si="43"/>
        <v>0</v>
      </c>
      <c r="G33" s="277"/>
      <c r="H33" s="277">
        <f t="shared" ref="H33" si="44">SUM(H34:H40)</f>
        <v>3365214</v>
      </c>
      <c r="I33" s="277">
        <f t="shared" ref="I33" si="45">SUM(I34:I40)</f>
        <v>4891038</v>
      </c>
      <c r="J33" s="277">
        <f t="shared" ref="J33" si="46">SUM(J34:J40)</f>
        <v>0</v>
      </c>
      <c r="K33" s="277"/>
      <c r="L33" s="652">
        <f t="shared" si="37"/>
        <v>0.43422116129032257</v>
      </c>
      <c r="M33" s="652">
        <f t="shared" si="38"/>
        <v>0.67277001375515821</v>
      </c>
      <c r="N33" s="652">
        <f t="shared" si="39"/>
        <v>0</v>
      </c>
      <c r="O33" s="277"/>
      <c r="P33" s="280">
        <f t="shared" si="22"/>
        <v>-480000</v>
      </c>
      <c r="Q33" s="280">
        <f t="shared" si="23"/>
        <v>0</v>
      </c>
      <c r="R33" s="280">
        <f t="shared" si="24"/>
        <v>0</v>
      </c>
      <c r="S33" s="280">
        <f t="shared" si="40"/>
        <v>-480000</v>
      </c>
      <c r="T33" s="283">
        <f t="shared" si="41"/>
        <v>-6.1935483870967742E-2</v>
      </c>
      <c r="U33" s="120"/>
      <c r="V33" s="196">
        <f t="shared" si="42"/>
        <v>0</v>
      </c>
    </row>
    <row r="34" spans="1:22" ht="12.75" customHeight="1" x14ac:dyDescent="0.25">
      <c r="A34" s="14" t="s">
        <v>33</v>
      </c>
      <c r="B34" s="20" t="s">
        <v>35</v>
      </c>
      <c r="C34" s="274">
        <v>150000</v>
      </c>
      <c r="D34" s="274">
        <v>150000</v>
      </c>
      <c r="E34" s="274">
        <v>150000</v>
      </c>
      <c r="F34" s="274"/>
      <c r="G34" s="274"/>
      <c r="H34" s="274">
        <v>75027</v>
      </c>
      <c r="I34" s="274">
        <v>87887</v>
      </c>
      <c r="J34" s="274"/>
      <c r="K34" s="274"/>
      <c r="L34" s="653">
        <f t="shared" si="37"/>
        <v>0.50017999999999996</v>
      </c>
      <c r="M34" s="653">
        <f t="shared" si="38"/>
        <v>0.58591333333333329</v>
      </c>
      <c r="N34" s="653">
        <f t="shared" si="39"/>
        <v>0</v>
      </c>
      <c r="O34" s="274"/>
      <c r="P34" s="81">
        <f t="shared" si="22"/>
        <v>0</v>
      </c>
      <c r="Q34" s="81">
        <f t="shared" si="23"/>
        <v>0</v>
      </c>
      <c r="R34" s="81">
        <f t="shared" si="24"/>
        <v>0</v>
      </c>
      <c r="S34" s="81">
        <f t="shared" si="40"/>
        <v>0</v>
      </c>
      <c r="T34" s="283">
        <f t="shared" si="41"/>
        <v>0</v>
      </c>
      <c r="U34" s="120"/>
      <c r="V34" s="196">
        <f t="shared" si="42"/>
        <v>0</v>
      </c>
    </row>
    <row r="35" spans="1:22" ht="12.75" customHeight="1" x14ac:dyDescent="0.25">
      <c r="A35" s="14"/>
      <c r="B35" s="20" t="s">
        <v>89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653">
        <f t="shared" si="37"/>
        <v>0</v>
      </c>
      <c r="M35" s="653">
        <f t="shared" si="38"/>
        <v>0</v>
      </c>
      <c r="N35" s="653">
        <f t="shared" si="39"/>
        <v>0</v>
      </c>
      <c r="O35" s="274"/>
      <c r="P35" s="81">
        <f t="shared" si="22"/>
        <v>0</v>
      </c>
      <c r="Q35" s="81">
        <f t="shared" si="23"/>
        <v>0</v>
      </c>
      <c r="R35" s="81">
        <f t="shared" si="24"/>
        <v>0</v>
      </c>
      <c r="S35" s="81">
        <f t="shared" si="40"/>
        <v>0</v>
      </c>
      <c r="T35" s="283">
        <f t="shared" ref="T35:T47" si="47">IF(C35=0,0,+S35/C35)</f>
        <v>0</v>
      </c>
      <c r="U35" s="120"/>
      <c r="V35" s="196">
        <f t="shared" ref="V35:V47" si="48">+S35-E35+C35</f>
        <v>0</v>
      </c>
    </row>
    <row r="36" spans="1:22" ht="12.75" customHeight="1" x14ac:dyDescent="0.25">
      <c r="A36" s="14" t="s">
        <v>34</v>
      </c>
      <c r="B36" s="485" t="s">
        <v>36</v>
      </c>
      <c r="C36" s="274">
        <f>6000000+1600000</f>
        <v>7600000</v>
      </c>
      <c r="D36" s="274">
        <f>7120000</f>
        <v>7120000</v>
      </c>
      <c r="E36" s="274">
        <v>7120000</v>
      </c>
      <c r="F36" s="274"/>
      <c r="G36" s="274"/>
      <c r="H36" s="274">
        <v>3290187</v>
      </c>
      <c r="I36" s="274">
        <v>4803151</v>
      </c>
      <c r="J36" s="274"/>
      <c r="K36" s="274"/>
      <c r="L36" s="653">
        <f t="shared" si="37"/>
        <v>0.43291934210526317</v>
      </c>
      <c r="M36" s="653">
        <f t="shared" si="38"/>
        <v>0.67459985955056179</v>
      </c>
      <c r="N36" s="653">
        <f t="shared" si="39"/>
        <v>0</v>
      </c>
      <c r="O36" s="274"/>
      <c r="P36" s="81">
        <f t="shared" si="22"/>
        <v>-480000</v>
      </c>
      <c r="Q36" s="81">
        <f t="shared" si="23"/>
        <v>0</v>
      </c>
      <c r="R36" s="81">
        <f t="shared" si="24"/>
        <v>0</v>
      </c>
      <c r="S36" s="81">
        <f t="shared" si="40"/>
        <v>-480000</v>
      </c>
      <c r="T36" s="283">
        <f t="shared" si="47"/>
        <v>-6.3157894736842107E-2</v>
      </c>
      <c r="U36" s="120"/>
      <c r="V36" s="196">
        <f t="shared" si="48"/>
        <v>0</v>
      </c>
    </row>
    <row r="37" spans="1:22" ht="12.75" customHeight="1" x14ac:dyDescent="0.25">
      <c r="A37" s="14"/>
      <c r="B37" s="20" t="s">
        <v>105</v>
      </c>
      <c r="C37" s="274"/>
      <c r="D37" s="274"/>
      <c r="E37" s="274"/>
      <c r="F37" s="274"/>
      <c r="G37" s="274"/>
      <c r="H37" s="274"/>
      <c r="I37" s="274"/>
      <c r="J37" s="274"/>
      <c r="K37" s="274"/>
      <c r="L37" s="653">
        <f t="shared" si="37"/>
        <v>0</v>
      </c>
      <c r="M37" s="653">
        <f t="shared" si="38"/>
        <v>0</v>
      </c>
      <c r="N37" s="653">
        <f t="shared" si="39"/>
        <v>0</v>
      </c>
      <c r="O37" s="274"/>
      <c r="P37" s="81">
        <f t="shared" si="22"/>
        <v>0</v>
      </c>
      <c r="Q37" s="81">
        <f t="shared" si="23"/>
        <v>0</v>
      </c>
      <c r="R37" s="81">
        <f t="shared" si="24"/>
        <v>0</v>
      </c>
      <c r="S37" s="81">
        <f t="shared" si="40"/>
        <v>0</v>
      </c>
      <c r="T37" s="283">
        <f t="shared" si="47"/>
        <v>0</v>
      </c>
      <c r="U37" s="120"/>
      <c r="V37" s="196">
        <f t="shared" si="48"/>
        <v>0</v>
      </c>
    </row>
    <row r="38" spans="1:22" ht="12.75" customHeight="1" x14ac:dyDescent="0.25">
      <c r="A38" s="14"/>
      <c r="B38" s="20" t="s">
        <v>95</v>
      </c>
      <c r="C38" s="274"/>
      <c r="D38" s="274"/>
      <c r="E38" s="274"/>
      <c r="F38" s="274"/>
      <c r="G38" s="274"/>
      <c r="H38" s="274"/>
      <c r="I38" s="274"/>
      <c r="J38" s="274"/>
      <c r="K38" s="274"/>
      <c r="L38" s="653">
        <f t="shared" si="37"/>
        <v>0</v>
      </c>
      <c r="M38" s="653">
        <f t="shared" si="38"/>
        <v>0</v>
      </c>
      <c r="N38" s="653">
        <f t="shared" si="39"/>
        <v>0</v>
      </c>
      <c r="O38" s="274"/>
      <c r="P38" s="81">
        <f t="shared" si="22"/>
        <v>0</v>
      </c>
      <c r="Q38" s="81">
        <f t="shared" si="23"/>
        <v>0</v>
      </c>
      <c r="R38" s="81">
        <f t="shared" si="24"/>
        <v>0</v>
      </c>
      <c r="S38" s="81">
        <f t="shared" si="40"/>
        <v>0</v>
      </c>
      <c r="T38" s="283">
        <f t="shared" si="47"/>
        <v>0</v>
      </c>
      <c r="U38" s="120"/>
      <c r="V38" s="196">
        <f t="shared" si="48"/>
        <v>0</v>
      </c>
    </row>
    <row r="39" spans="1:22" ht="12.75" customHeight="1" x14ac:dyDescent="0.25">
      <c r="A39" s="14"/>
      <c r="B39" s="20" t="s">
        <v>94</v>
      </c>
      <c r="C39" s="274"/>
      <c r="D39" s="274"/>
      <c r="E39" s="274"/>
      <c r="F39" s="274"/>
      <c r="G39" s="274"/>
      <c r="H39" s="274"/>
      <c r="I39" s="274"/>
      <c r="J39" s="274"/>
      <c r="K39" s="274"/>
      <c r="L39" s="653">
        <f t="shared" si="37"/>
        <v>0</v>
      </c>
      <c r="M39" s="653">
        <f t="shared" si="38"/>
        <v>0</v>
      </c>
      <c r="N39" s="653">
        <f t="shared" si="39"/>
        <v>0</v>
      </c>
      <c r="O39" s="274"/>
      <c r="P39" s="81">
        <f t="shared" si="22"/>
        <v>0</v>
      </c>
      <c r="Q39" s="81">
        <f t="shared" si="23"/>
        <v>0</v>
      </c>
      <c r="R39" s="81">
        <f t="shared" si="24"/>
        <v>0</v>
      </c>
      <c r="S39" s="81">
        <f t="shared" si="40"/>
        <v>0</v>
      </c>
      <c r="T39" s="283">
        <f t="shared" si="47"/>
        <v>0</v>
      </c>
      <c r="U39" s="120"/>
      <c r="V39" s="196">
        <f t="shared" si="48"/>
        <v>0</v>
      </c>
    </row>
    <row r="40" spans="1:22" ht="12.75" customHeight="1" x14ac:dyDescent="0.25">
      <c r="A40" s="14"/>
      <c r="B40" s="20" t="s">
        <v>93</v>
      </c>
      <c r="C40" s="274"/>
      <c r="D40" s="274"/>
      <c r="E40" s="274"/>
      <c r="F40" s="274"/>
      <c r="G40" s="274"/>
      <c r="H40" s="274"/>
      <c r="I40" s="274"/>
      <c r="J40" s="274"/>
      <c r="K40" s="274"/>
      <c r="L40" s="653">
        <f t="shared" si="37"/>
        <v>0</v>
      </c>
      <c r="M40" s="653">
        <f t="shared" si="38"/>
        <v>0</v>
      </c>
      <c r="N40" s="653">
        <f t="shared" si="39"/>
        <v>0</v>
      </c>
      <c r="O40" s="274"/>
      <c r="P40" s="81">
        <f t="shared" si="22"/>
        <v>0</v>
      </c>
      <c r="Q40" s="81">
        <f t="shared" si="23"/>
        <v>0</v>
      </c>
      <c r="R40" s="81">
        <f t="shared" si="24"/>
        <v>0</v>
      </c>
      <c r="S40" s="81">
        <f t="shared" si="40"/>
        <v>0</v>
      </c>
      <c r="T40" s="283">
        <f t="shared" si="47"/>
        <v>0</v>
      </c>
      <c r="U40" s="120"/>
      <c r="V40" s="196">
        <f t="shared" si="48"/>
        <v>0</v>
      </c>
    </row>
    <row r="41" spans="1:22" s="42" customFormat="1" ht="12.75" customHeight="1" x14ac:dyDescent="0.25">
      <c r="A41" s="38" t="s">
        <v>37</v>
      </c>
      <c r="B41" s="39" t="s">
        <v>38</v>
      </c>
      <c r="C41" s="277">
        <f>SUM(C42:C47)</f>
        <v>45000</v>
      </c>
      <c r="D41" s="277">
        <f t="shared" ref="D41:J41" si="49">SUM(D42:D47)</f>
        <v>45000</v>
      </c>
      <c r="E41" s="277">
        <f t="shared" si="49"/>
        <v>45000</v>
      </c>
      <c r="F41" s="277">
        <f t="shared" si="49"/>
        <v>0</v>
      </c>
      <c r="G41" s="277"/>
      <c r="H41" s="277">
        <f t="shared" si="49"/>
        <v>23559</v>
      </c>
      <c r="I41" s="277">
        <f t="shared" si="49"/>
        <v>36569</v>
      </c>
      <c r="J41" s="277">
        <f t="shared" si="49"/>
        <v>0</v>
      </c>
      <c r="K41" s="277"/>
      <c r="L41" s="653">
        <f t="shared" si="37"/>
        <v>0.5235333333333333</v>
      </c>
      <c r="M41" s="653">
        <f t="shared" si="38"/>
        <v>0.81264444444444439</v>
      </c>
      <c r="N41" s="653">
        <f t="shared" si="39"/>
        <v>0</v>
      </c>
      <c r="O41" s="277"/>
      <c r="P41" s="277">
        <f t="shared" si="22"/>
        <v>0</v>
      </c>
      <c r="Q41" s="277">
        <f t="shared" si="23"/>
        <v>0</v>
      </c>
      <c r="R41" s="277">
        <f t="shared" si="24"/>
        <v>0</v>
      </c>
      <c r="S41" s="277">
        <f t="shared" si="40"/>
        <v>0</v>
      </c>
      <c r="T41" s="283">
        <f t="shared" si="47"/>
        <v>0</v>
      </c>
      <c r="U41" s="120"/>
      <c r="V41" s="196">
        <f t="shared" si="48"/>
        <v>0</v>
      </c>
    </row>
    <row r="42" spans="1:22" ht="12.75" customHeight="1" x14ac:dyDescent="0.25">
      <c r="A42" s="14" t="s">
        <v>39</v>
      </c>
      <c r="B42" s="20" t="s">
        <v>40</v>
      </c>
      <c r="C42" s="274">
        <v>0</v>
      </c>
      <c r="D42" s="274"/>
      <c r="E42" s="274"/>
      <c r="F42" s="274"/>
      <c r="G42" s="274"/>
      <c r="H42" s="274"/>
      <c r="I42" s="274"/>
      <c r="J42" s="274"/>
      <c r="K42" s="274"/>
      <c r="L42" s="653">
        <f t="shared" si="37"/>
        <v>0</v>
      </c>
      <c r="M42" s="653">
        <f t="shared" si="38"/>
        <v>0</v>
      </c>
      <c r="N42" s="653">
        <f t="shared" si="39"/>
        <v>0</v>
      </c>
      <c r="O42" s="274"/>
      <c r="P42" s="81">
        <f t="shared" si="22"/>
        <v>0</v>
      </c>
      <c r="Q42" s="81">
        <f t="shared" si="23"/>
        <v>0</v>
      </c>
      <c r="R42" s="81">
        <f t="shared" si="24"/>
        <v>0</v>
      </c>
      <c r="S42" s="81">
        <f t="shared" si="40"/>
        <v>0</v>
      </c>
      <c r="T42" s="283">
        <f t="shared" si="47"/>
        <v>0</v>
      </c>
      <c r="U42" s="120"/>
      <c r="V42" s="196">
        <f t="shared" si="48"/>
        <v>0</v>
      </c>
    </row>
    <row r="43" spans="1:22" ht="12.75" customHeight="1" x14ac:dyDescent="0.25">
      <c r="A43" s="14"/>
      <c r="B43" s="20" t="s">
        <v>41</v>
      </c>
      <c r="C43" s="274"/>
      <c r="D43" s="274"/>
      <c r="E43" s="274"/>
      <c r="F43" s="274"/>
      <c r="G43" s="274"/>
      <c r="H43" s="274"/>
      <c r="I43" s="274"/>
      <c r="J43" s="274"/>
      <c r="K43" s="274"/>
      <c r="L43" s="653">
        <f t="shared" si="37"/>
        <v>0</v>
      </c>
      <c r="M43" s="653">
        <f t="shared" si="38"/>
        <v>0</v>
      </c>
      <c r="N43" s="653">
        <f t="shared" si="39"/>
        <v>0</v>
      </c>
      <c r="O43" s="274"/>
      <c r="P43" s="81">
        <f t="shared" si="22"/>
        <v>0</v>
      </c>
      <c r="Q43" s="81">
        <f t="shared" si="23"/>
        <v>0</v>
      </c>
      <c r="R43" s="81">
        <f t="shared" si="24"/>
        <v>0</v>
      </c>
      <c r="S43" s="81">
        <f t="shared" si="40"/>
        <v>0</v>
      </c>
      <c r="T43" s="283">
        <f t="shared" si="47"/>
        <v>0</v>
      </c>
      <c r="U43" s="120"/>
      <c r="V43" s="196">
        <f t="shared" si="48"/>
        <v>0</v>
      </c>
    </row>
    <row r="44" spans="1:22" ht="12.75" customHeight="1" x14ac:dyDescent="0.25">
      <c r="A44" s="14"/>
      <c r="B44" s="20" t="s">
        <v>42</v>
      </c>
      <c r="C44" s="274"/>
      <c r="D44" s="274"/>
      <c r="E44" s="274"/>
      <c r="F44" s="274"/>
      <c r="G44" s="274"/>
      <c r="H44" s="274"/>
      <c r="I44" s="274"/>
      <c r="J44" s="274"/>
      <c r="K44" s="274"/>
      <c r="L44" s="653">
        <f t="shared" si="37"/>
        <v>0</v>
      </c>
      <c r="M44" s="653">
        <f t="shared" si="38"/>
        <v>0</v>
      </c>
      <c r="N44" s="653">
        <f t="shared" si="39"/>
        <v>0</v>
      </c>
      <c r="O44" s="274"/>
      <c r="P44" s="81">
        <f t="shared" si="22"/>
        <v>0</v>
      </c>
      <c r="Q44" s="81">
        <f t="shared" si="23"/>
        <v>0</v>
      </c>
      <c r="R44" s="81">
        <f t="shared" si="24"/>
        <v>0</v>
      </c>
      <c r="S44" s="81">
        <f t="shared" si="40"/>
        <v>0</v>
      </c>
      <c r="T44" s="283">
        <f t="shared" si="47"/>
        <v>0</v>
      </c>
      <c r="U44" s="120"/>
      <c r="V44" s="196">
        <f t="shared" si="48"/>
        <v>0</v>
      </c>
    </row>
    <row r="45" spans="1:22" ht="12.75" customHeight="1" x14ac:dyDescent="0.25">
      <c r="A45" s="14"/>
      <c r="B45" s="20" t="s">
        <v>43</v>
      </c>
      <c r="C45" s="274"/>
      <c r="D45" s="274"/>
      <c r="E45" s="274"/>
      <c r="F45" s="274"/>
      <c r="G45" s="274"/>
      <c r="H45" s="274"/>
      <c r="I45" s="274"/>
      <c r="J45" s="274"/>
      <c r="K45" s="274"/>
      <c r="L45" s="653">
        <f t="shared" si="37"/>
        <v>0</v>
      </c>
      <c r="M45" s="653">
        <f t="shared" si="38"/>
        <v>0</v>
      </c>
      <c r="N45" s="653">
        <f t="shared" si="39"/>
        <v>0</v>
      </c>
      <c r="O45" s="274"/>
      <c r="P45" s="81">
        <f t="shared" si="22"/>
        <v>0</v>
      </c>
      <c r="Q45" s="81">
        <f t="shared" si="23"/>
        <v>0</v>
      </c>
      <c r="R45" s="81">
        <f t="shared" si="24"/>
        <v>0</v>
      </c>
      <c r="S45" s="81">
        <f t="shared" si="40"/>
        <v>0</v>
      </c>
      <c r="T45" s="283">
        <f t="shared" si="47"/>
        <v>0</v>
      </c>
      <c r="U45" s="120"/>
      <c r="V45" s="196">
        <f t="shared" si="48"/>
        <v>0</v>
      </c>
    </row>
    <row r="46" spans="1:22" ht="12.75" customHeight="1" x14ac:dyDescent="0.25">
      <c r="A46" s="14" t="s">
        <v>44</v>
      </c>
      <c r="B46" s="20" t="s">
        <v>45</v>
      </c>
      <c r="C46" s="274">
        <v>45000</v>
      </c>
      <c r="D46" s="274">
        <v>45000</v>
      </c>
      <c r="E46" s="274">
        <v>45000</v>
      </c>
      <c r="F46" s="274"/>
      <c r="G46" s="274"/>
      <c r="H46" s="274">
        <v>23559</v>
      </c>
      <c r="I46" s="274">
        <v>36569</v>
      </c>
      <c r="J46" s="274"/>
      <c r="K46" s="274"/>
      <c r="L46" s="653">
        <f t="shared" si="37"/>
        <v>0.5235333333333333</v>
      </c>
      <c r="M46" s="653">
        <f t="shared" si="38"/>
        <v>0.81264444444444439</v>
      </c>
      <c r="N46" s="653">
        <f t="shared" si="39"/>
        <v>0</v>
      </c>
      <c r="O46" s="274"/>
      <c r="P46" s="81">
        <f t="shared" si="22"/>
        <v>0</v>
      </c>
      <c r="Q46" s="81">
        <f t="shared" si="23"/>
        <v>0</v>
      </c>
      <c r="R46" s="81">
        <f t="shared" si="24"/>
        <v>0</v>
      </c>
      <c r="S46" s="81">
        <f t="shared" si="40"/>
        <v>0</v>
      </c>
      <c r="T46" s="283">
        <f t="shared" si="47"/>
        <v>0</v>
      </c>
      <c r="U46" s="120"/>
      <c r="V46" s="196">
        <f t="shared" si="48"/>
        <v>0</v>
      </c>
    </row>
    <row r="47" spans="1:22" ht="12.75" customHeight="1" x14ac:dyDescent="0.25">
      <c r="A47" s="14"/>
      <c r="B47" s="20" t="s">
        <v>46</v>
      </c>
      <c r="C47" s="274"/>
      <c r="D47" s="274">
        <v>0</v>
      </c>
      <c r="E47" s="274">
        <v>0</v>
      </c>
      <c r="F47" s="274"/>
      <c r="G47" s="274"/>
      <c r="H47" s="274"/>
      <c r="I47" s="274"/>
      <c r="J47" s="274"/>
      <c r="K47" s="274"/>
      <c r="L47" s="653">
        <f t="shared" si="37"/>
        <v>0</v>
      </c>
      <c r="M47" s="653">
        <f t="shared" si="38"/>
        <v>0</v>
      </c>
      <c r="N47" s="653">
        <f t="shared" si="39"/>
        <v>0</v>
      </c>
      <c r="O47" s="274"/>
      <c r="P47" s="81">
        <f t="shared" si="22"/>
        <v>0</v>
      </c>
      <c r="Q47" s="81">
        <f t="shared" si="23"/>
        <v>0</v>
      </c>
      <c r="R47" s="81">
        <f t="shared" si="24"/>
        <v>0</v>
      </c>
      <c r="S47" s="81">
        <f t="shared" si="40"/>
        <v>0</v>
      </c>
      <c r="T47" s="283">
        <f t="shared" si="47"/>
        <v>0</v>
      </c>
      <c r="U47" s="120"/>
      <c r="V47" s="196">
        <f t="shared" si="48"/>
        <v>0</v>
      </c>
    </row>
    <row r="48" spans="1:22" s="42" customFormat="1" ht="12.75" customHeight="1" x14ac:dyDescent="0.25">
      <c r="A48" s="38" t="s">
        <v>47</v>
      </c>
      <c r="B48" s="39" t="s">
        <v>48</v>
      </c>
      <c r="C48" s="277">
        <f>SUM(C49:C65)</f>
        <v>3920000</v>
      </c>
      <c r="D48" s="277">
        <f t="shared" ref="D48:F48" si="50">SUM(D49:D65)</f>
        <v>3920000</v>
      </c>
      <c r="E48" s="277">
        <f t="shared" si="50"/>
        <v>3920000</v>
      </c>
      <c r="F48" s="277">
        <f t="shared" si="50"/>
        <v>0</v>
      </c>
      <c r="G48" s="277"/>
      <c r="H48" s="277">
        <f>SUM(H49:H65)</f>
        <v>982172</v>
      </c>
      <c r="I48" s="277">
        <f t="shared" ref="I48:J48" si="51">SUM(I49:I65)</f>
        <v>1462305</v>
      </c>
      <c r="J48" s="277">
        <f t="shared" si="51"/>
        <v>0</v>
      </c>
      <c r="K48" s="277"/>
      <c r="L48" s="654">
        <f t="shared" si="37"/>
        <v>0.25055408163265308</v>
      </c>
      <c r="M48" s="654">
        <f t="shared" si="38"/>
        <v>0.37303698979591837</v>
      </c>
      <c r="N48" s="654">
        <f t="shared" si="39"/>
        <v>0</v>
      </c>
      <c r="O48" s="277"/>
      <c r="P48" s="277">
        <f t="shared" si="22"/>
        <v>0</v>
      </c>
      <c r="Q48" s="277">
        <f t="shared" si="23"/>
        <v>0</v>
      </c>
      <c r="R48" s="277">
        <f t="shared" si="24"/>
        <v>0</v>
      </c>
      <c r="S48" s="277">
        <f t="shared" si="40"/>
        <v>0</v>
      </c>
      <c r="T48" s="283">
        <f t="shared" ref="T48:T49" si="52">IF(C48=0,0,+S48/C48)</f>
        <v>0</v>
      </c>
      <c r="U48" s="120"/>
      <c r="V48" s="196">
        <f t="shared" ref="V48:V49" si="53">+S48-E48+C48</f>
        <v>0</v>
      </c>
    </row>
    <row r="49" spans="1:22" ht="12.75" customHeight="1" x14ac:dyDescent="0.25">
      <c r="A49" s="14" t="s">
        <v>49</v>
      </c>
      <c r="B49" s="20" t="s">
        <v>50</v>
      </c>
      <c r="C49" s="274">
        <v>2000000</v>
      </c>
      <c r="D49" s="274">
        <v>2000000</v>
      </c>
      <c r="E49" s="274">
        <v>2000000</v>
      </c>
      <c r="F49" s="274"/>
      <c r="G49" s="274"/>
      <c r="H49" s="274">
        <v>610629</v>
      </c>
      <c r="I49" s="274">
        <v>904754</v>
      </c>
      <c r="J49" s="274"/>
      <c r="K49" s="274"/>
      <c r="L49" s="653">
        <f t="shared" si="37"/>
        <v>0.30531449999999999</v>
      </c>
      <c r="M49" s="653">
        <f t="shared" si="38"/>
        <v>0.45237699999999997</v>
      </c>
      <c r="N49" s="653">
        <f t="shared" si="39"/>
        <v>0</v>
      </c>
      <c r="O49" s="274"/>
      <c r="P49" s="81">
        <f t="shared" si="22"/>
        <v>0</v>
      </c>
      <c r="Q49" s="81">
        <f t="shared" si="23"/>
        <v>0</v>
      </c>
      <c r="R49" s="81">
        <f t="shared" si="24"/>
        <v>0</v>
      </c>
      <c r="S49" s="81">
        <f t="shared" si="40"/>
        <v>0</v>
      </c>
      <c r="T49" s="283">
        <f t="shared" si="52"/>
        <v>0</v>
      </c>
      <c r="U49" s="120"/>
      <c r="V49" s="196">
        <f t="shared" si="53"/>
        <v>0</v>
      </c>
    </row>
    <row r="50" spans="1:22" ht="12.75" customHeight="1" x14ac:dyDescent="0.25">
      <c r="A50" s="14" t="s">
        <v>103</v>
      </c>
      <c r="B50" s="20" t="s">
        <v>97</v>
      </c>
      <c r="C50" s="274"/>
      <c r="D50" s="274"/>
      <c r="E50" s="274"/>
      <c r="F50" s="274"/>
      <c r="G50" s="274"/>
      <c r="H50" s="274"/>
      <c r="I50" s="274"/>
      <c r="J50" s="274"/>
      <c r="K50" s="274"/>
      <c r="L50" s="653">
        <f t="shared" si="37"/>
        <v>0</v>
      </c>
      <c r="M50" s="653">
        <f t="shared" si="38"/>
        <v>0</v>
      </c>
      <c r="N50" s="653">
        <f t="shared" si="39"/>
        <v>0</v>
      </c>
      <c r="O50" s="274"/>
      <c r="P50" s="81">
        <f t="shared" si="22"/>
        <v>0</v>
      </c>
      <c r="Q50" s="81">
        <f t="shared" si="23"/>
        <v>0</v>
      </c>
      <c r="R50" s="81">
        <f t="shared" si="24"/>
        <v>0</v>
      </c>
      <c r="S50" s="81">
        <f t="shared" si="40"/>
        <v>0</v>
      </c>
      <c r="T50" s="283">
        <f t="shared" ref="T50:T61" si="54">IF(C50=0,0,+S50/C50)</f>
        <v>0</v>
      </c>
      <c r="U50" s="120"/>
      <c r="V50" s="196">
        <f t="shared" ref="V50:V102" si="55">+S50-E50+C50</f>
        <v>0</v>
      </c>
    </row>
    <row r="51" spans="1:22" ht="12.75" customHeight="1" x14ac:dyDescent="0.25">
      <c r="A51" s="14"/>
      <c r="B51" s="20" t="s">
        <v>98</v>
      </c>
      <c r="C51" s="274"/>
      <c r="D51" s="274"/>
      <c r="E51" s="274"/>
      <c r="F51" s="274"/>
      <c r="G51" s="274"/>
      <c r="H51" s="274"/>
      <c r="I51" s="274"/>
      <c r="J51" s="274"/>
      <c r="K51" s="274"/>
      <c r="L51" s="653">
        <f t="shared" si="37"/>
        <v>0</v>
      </c>
      <c r="M51" s="653">
        <f t="shared" si="38"/>
        <v>0</v>
      </c>
      <c r="N51" s="653">
        <f t="shared" si="39"/>
        <v>0</v>
      </c>
      <c r="O51" s="274"/>
      <c r="P51" s="81">
        <f t="shared" si="22"/>
        <v>0</v>
      </c>
      <c r="Q51" s="81">
        <f t="shared" si="23"/>
        <v>0</v>
      </c>
      <c r="R51" s="81">
        <f t="shared" si="24"/>
        <v>0</v>
      </c>
      <c r="S51" s="81">
        <f t="shared" si="40"/>
        <v>0</v>
      </c>
      <c r="T51" s="283">
        <f t="shared" si="54"/>
        <v>0</v>
      </c>
      <c r="U51" s="120"/>
      <c r="V51" s="196">
        <f t="shared" si="55"/>
        <v>0</v>
      </c>
    </row>
    <row r="52" spans="1:22" ht="12.75" customHeight="1" x14ac:dyDescent="0.25">
      <c r="A52" s="14"/>
      <c r="B52" s="20" t="s">
        <v>99</v>
      </c>
      <c r="C52" s="274"/>
      <c r="D52" s="274"/>
      <c r="E52" s="274"/>
      <c r="F52" s="274"/>
      <c r="G52" s="274"/>
      <c r="H52" s="274"/>
      <c r="I52" s="274"/>
      <c r="J52" s="274"/>
      <c r="K52" s="274"/>
      <c r="L52" s="653">
        <f t="shared" si="37"/>
        <v>0</v>
      </c>
      <c r="M52" s="653">
        <f t="shared" si="38"/>
        <v>0</v>
      </c>
      <c r="N52" s="653">
        <f t="shared" si="39"/>
        <v>0</v>
      </c>
      <c r="O52" s="274"/>
      <c r="P52" s="81">
        <f t="shared" si="22"/>
        <v>0</v>
      </c>
      <c r="Q52" s="81">
        <f t="shared" si="23"/>
        <v>0</v>
      </c>
      <c r="R52" s="81">
        <f t="shared" si="24"/>
        <v>0</v>
      </c>
      <c r="S52" s="81">
        <f t="shared" si="40"/>
        <v>0</v>
      </c>
      <c r="T52" s="283">
        <f t="shared" si="54"/>
        <v>0</v>
      </c>
      <c r="U52" s="120"/>
      <c r="V52" s="196">
        <f t="shared" si="55"/>
        <v>0</v>
      </c>
    </row>
    <row r="53" spans="1:22" ht="12.75" customHeight="1" x14ac:dyDescent="0.25">
      <c r="A53" s="14" t="s">
        <v>51</v>
      </c>
      <c r="B53" s="20" t="s">
        <v>52</v>
      </c>
      <c r="C53" s="274">
        <v>0</v>
      </c>
      <c r="D53" s="274">
        <v>0</v>
      </c>
      <c r="E53" s="274">
        <v>0</v>
      </c>
      <c r="F53" s="274"/>
      <c r="G53" s="274"/>
      <c r="H53" s="274">
        <v>0</v>
      </c>
      <c r="I53" s="274">
        <f>+H53</f>
        <v>0</v>
      </c>
      <c r="J53" s="274"/>
      <c r="K53" s="274"/>
      <c r="L53" s="653">
        <f t="shared" si="37"/>
        <v>0</v>
      </c>
      <c r="M53" s="653">
        <f t="shared" si="38"/>
        <v>0</v>
      </c>
      <c r="N53" s="653">
        <f t="shared" si="39"/>
        <v>0</v>
      </c>
      <c r="O53" s="274"/>
      <c r="P53" s="81">
        <f t="shared" si="22"/>
        <v>0</v>
      </c>
      <c r="Q53" s="81">
        <f t="shared" si="23"/>
        <v>0</v>
      </c>
      <c r="R53" s="81">
        <f t="shared" si="24"/>
        <v>0</v>
      </c>
      <c r="S53" s="81">
        <f t="shared" si="40"/>
        <v>0</v>
      </c>
      <c r="T53" s="283">
        <f t="shared" si="54"/>
        <v>0</v>
      </c>
      <c r="U53" s="120"/>
      <c r="V53" s="196">
        <f t="shared" si="55"/>
        <v>0</v>
      </c>
    </row>
    <row r="54" spans="1:22" ht="12.75" customHeight="1" x14ac:dyDescent="0.25">
      <c r="A54" s="14"/>
      <c r="B54" s="20" t="s">
        <v>90</v>
      </c>
      <c r="C54" s="274"/>
      <c r="D54" s="274"/>
      <c r="E54" s="274"/>
      <c r="F54" s="274"/>
      <c r="G54" s="274"/>
      <c r="H54" s="274"/>
      <c r="I54" s="274"/>
      <c r="J54" s="274"/>
      <c r="K54" s="274"/>
      <c r="L54" s="653">
        <f t="shared" si="37"/>
        <v>0</v>
      </c>
      <c r="M54" s="653">
        <f t="shared" si="38"/>
        <v>0</v>
      </c>
      <c r="N54" s="653">
        <f t="shared" si="39"/>
        <v>0</v>
      </c>
      <c r="O54" s="274"/>
      <c r="P54" s="81">
        <f t="shared" si="22"/>
        <v>0</v>
      </c>
      <c r="Q54" s="81">
        <f t="shared" si="23"/>
        <v>0</v>
      </c>
      <c r="R54" s="81">
        <f t="shared" si="24"/>
        <v>0</v>
      </c>
      <c r="S54" s="81">
        <f t="shared" si="40"/>
        <v>0</v>
      </c>
      <c r="T54" s="283">
        <f t="shared" si="54"/>
        <v>0</v>
      </c>
      <c r="U54" s="120"/>
      <c r="V54" s="196">
        <f t="shared" si="55"/>
        <v>0</v>
      </c>
    </row>
    <row r="55" spans="1:22" ht="12.75" customHeight="1" x14ac:dyDescent="0.25">
      <c r="A55" s="14"/>
      <c r="B55" s="20" t="s">
        <v>53</v>
      </c>
      <c r="C55" s="274"/>
      <c r="D55" s="274"/>
      <c r="E55" s="274"/>
      <c r="F55" s="274"/>
      <c r="G55" s="274"/>
      <c r="H55" s="274"/>
      <c r="I55" s="274"/>
      <c r="J55" s="274"/>
      <c r="K55" s="274"/>
      <c r="L55" s="653">
        <f t="shared" si="37"/>
        <v>0</v>
      </c>
      <c r="M55" s="653">
        <f t="shared" si="38"/>
        <v>0</v>
      </c>
      <c r="N55" s="653">
        <f t="shared" si="39"/>
        <v>0</v>
      </c>
      <c r="O55" s="274"/>
      <c r="P55" s="81">
        <f t="shared" si="22"/>
        <v>0</v>
      </c>
      <c r="Q55" s="81">
        <f t="shared" si="23"/>
        <v>0</v>
      </c>
      <c r="R55" s="81">
        <f t="shared" si="24"/>
        <v>0</v>
      </c>
      <c r="S55" s="81">
        <f t="shared" si="40"/>
        <v>0</v>
      </c>
      <c r="T55" s="283">
        <f t="shared" si="54"/>
        <v>0</v>
      </c>
      <c r="U55" s="120"/>
      <c r="V55" s="196">
        <f t="shared" si="55"/>
        <v>0</v>
      </c>
    </row>
    <row r="56" spans="1:22" ht="12.75" customHeight="1" x14ac:dyDescent="0.25">
      <c r="A56" s="14" t="s">
        <v>54</v>
      </c>
      <c r="B56" s="20" t="s">
        <v>55</v>
      </c>
      <c r="C56" s="274">
        <v>0</v>
      </c>
      <c r="D56" s="274"/>
      <c r="E56" s="274"/>
      <c r="F56" s="274"/>
      <c r="G56" s="274"/>
      <c r="H56" s="274"/>
      <c r="I56" s="274"/>
      <c r="J56" s="274"/>
      <c r="K56" s="274"/>
      <c r="L56" s="653">
        <f t="shared" si="37"/>
        <v>0</v>
      </c>
      <c r="M56" s="653">
        <f t="shared" si="38"/>
        <v>0</v>
      </c>
      <c r="N56" s="653">
        <f t="shared" si="39"/>
        <v>0</v>
      </c>
      <c r="O56" s="274"/>
      <c r="P56" s="81">
        <f t="shared" si="22"/>
        <v>0</v>
      </c>
      <c r="Q56" s="81">
        <f t="shared" si="23"/>
        <v>0</v>
      </c>
      <c r="R56" s="81">
        <f t="shared" si="24"/>
        <v>0</v>
      </c>
      <c r="S56" s="81">
        <f t="shared" si="40"/>
        <v>0</v>
      </c>
      <c r="T56" s="283">
        <f t="shared" si="54"/>
        <v>0</v>
      </c>
      <c r="U56" s="120"/>
      <c r="V56" s="196">
        <f t="shared" si="55"/>
        <v>0</v>
      </c>
    </row>
    <row r="57" spans="1:22" ht="12.75" customHeight="1" x14ac:dyDescent="0.25">
      <c r="A57" s="14"/>
      <c r="B57" s="20" t="s">
        <v>56</v>
      </c>
      <c r="C57" s="274"/>
      <c r="D57" s="274"/>
      <c r="E57" s="274"/>
      <c r="F57" s="274"/>
      <c r="G57" s="274"/>
      <c r="H57" s="274"/>
      <c r="I57" s="274"/>
      <c r="J57" s="274"/>
      <c r="K57" s="274"/>
      <c r="L57" s="653">
        <f t="shared" si="37"/>
        <v>0</v>
      </c>
      <c r="M57" s="653">
        <f t="shared" si="38"/>
        <v>0</v>
      </c>
      <c r="N57" s="653">
        <f t="shared" si="39"/>
        <v>0</v>
      </c>
      <c r="O57" s="274"/>
      <c r="P57" s="81">
        <f t="shared" si="22"/>
        <v>0</v>
      </c>
      <c r="Q57" s="81">
        <f t="shared" si="23"/>
        <v>0</v>
      </c>
      <c r="R57" s="81">
        <f t="shared" si="24"/>
        <v>0</v>
      </c>
      <c r="S57" s="81">
        <f t="shared" si="40"/>
        <v>0</v>
      </c>
      <c r="T57" s="283">
        <f t="shared" si="54"/>
        <v>0</v>
      </c>
      <c r="U57" s="120"/>
      <c r="V57" s="196">
        <f t="shared" si="55"/>
        <v>0</v>
      </c>
    </row>
    <row r="58" spans="1:22" ht="12.75" customHeight="1" x14ac:dyDescent="0.25">
      <c r="A58" s="14" t="s">
        <v>57</v>
      </c>
      <c r="B58" s="20" t="s">
        <v>91</v>
      </c>
      <c r="C58" s="274">
        <v>1150000</v>
      </c>
      <c r="D58" s="274">
        <v>1150000</v>
      </c>
      <c r="E58" s="274">
        <v>1150000</v>
      </c>
      <c r="F58" s="274"/>
      <c r="G58" s="274"/>
      <c r="H58" s="274">
        <v>64000</v>
      </c>
      <c r="I58" s="274">
        <v>64000</v>
      </c>
      <c r="J58" s="274"/>
      <c r="K58" s="274"/>
      <c r="L58" s="653">
        <f t="shared" si="37"/>
        <v>5.565217391304348E-2</v>
      </c>
      <c r="M58" s="653">
        <f t="shared" si="38"/>
        <v>5.565217391304348E-2</v>
      </c>
      <c r="N58" s="653">
        <f t="shared" si="39"/>
        <v>0</v>
      </c>
      <c r="O58" s="274"/>
      <c r="P58" s="81">
        <f t="shared" si="22"/>
        <v>0</v>
      </c>
      <c r="Q58" s="81">
        <f t="shared" si="23"/>
        <v>0</v>
      </c>
      <c r="R58" s="81">
        <f t="shared" si="24"/>
        <v>0</v>
      </c>
      <c r="S58" s="81">
        <f t="shared" si="40"/>
        <v>0</v>
      </c>
      <c r="T58" s="283">
        <f t="shared" si="54"/>
        <v>0</v>
      </c>
      <c r="U58" s="120"/>
      <c r="V58" s="196">
        <f t="shared" si="55"/>
        <v>0</v>
      </c>
    </row>
    <row r="59" spans="1:22" ht="12.75" customHeight="1" x14ac:dyDescent="0.25">
      <c r="A59" s="14"/>
      <c r="B59" s="20" t="s">
        <v>58</v>
      </c>
      <c r="C59" s="274"/>
      <c r="D59" s="274"/>
      <c r="E59" s="274"/>
      <c r="F59" s="274"/>
      <c r="G59" s="274"/>
      <c r="H59" s="274"/>
      <c r="I59" s="274"/>
      <c r="J59" s="274"/>
      <c r="K59" s="274"/>
      <c r="L59" s="653">
        <f t="shared" si="37"/>
        <v>0</v>
      </c>
      <c r="M59" s="653">
        <f t="shared" si="38"/>
        <v>0</v>
      </c>
      <c r="N59" s="653">
        <f t="shared" si="39"/>
        <v>0</v>
      </c>
      <c r="O59" s="274"/>
      <c r="P59" s="81">
        <f t="shared" si="22"/>
        <v>0</v>
      </c>
      <c r="Q59" s="81">
        <f t="shared" si="23"/>
        <v>0</v>
      </c>
      <c r="R59" s="81">
        <f t="shared" si="24"/>
        <v>0</v>
      </c>
      <c r="S59" s="81">
        <f t="shared" si="40"/>
        <v>0</v>
      </c>
      <c r="T59" s="283">
        <f t="shared" si="54"/>
        <v>0</v>
      </c>
      <c r="U59" s="120"/>
      <c r="V59" s="196">
        <f t="shared" si="55"/>
        <v>0</v>
      </c>
    </row>
    <row r="60" spans="1:22" ht="12.75" customHeight="1" x14ac:dyDescent="0.25">
      <c r="A60" s="14" t="s">
        <v>59</v>
      </c>
      <c r="B60" s="20" t="s">
        <v>60</v>
      </c>
      <c r="C60" s="274">
        <v>0</v>
      </c>
      <c r="D60" s="274"/>
      <c r="E60" s="274"/>
      <c r="F60" s="274"/>
      <c r="G60" s="274"/>
      <c r="H60" s="274"/>
      <c r="I60" s="274"/>
      <c r="J60" s="274"/>
      <c r="K60" s="274"/>
      <c r="L60" s="653">
        <f t="shared" si="37"/>
        <v>0</v>
      </c>
      <c r="M60" s="653">
        <f t="shared" si="38"/>
        <v>0</v>
      </c>
      <c r="N60" s="653">
        <f t="shared" si="39"/>
        <v>0</v>
      </c>
      <c r="O60" s="274"/>
      <c r="P60" s="81">
        <f t="shared" si="22"/>
        <v>0</v>
      </c>
      <c r="Q60" s="81">
        <f t="shared" si="23"/>
        <v>0</v>
      </c>
      <c r="R60" s="81">
        <f t="shared" si="24"/>
        <v>0</v>
      </c>
      <c r="S60" s="81">
        <f t="shared" si="40"/>
        <v>0</v>
      </c>
      <c r="T60" s="283">
        <f t="shared" si="54"/>
        <v>0</v>
      </c>
      <c r="U60" s="120"/>
      <c r="V60" s="196">
        <f t="shared" si="55"/>
        <v>0</v>
      </c>
    </row>
    <row r="61" spans="1:22" ht="23.25" customHeight="1" x14ac:dyDescent="0.25">
      <c r="A61" s="20"/>
      <c r="B61" s="20" t="s">
        <v>61</v>
      </c>
      <c r="C61" s="274"/>
      <c r="D61" s="274"/>
      <c r="E61" s="274"/>
      <c r="F61" s="274"/>
      <c r="G61" s="274"/>
      <c r="H61" s="274"/>
      <c r="I61" s="274"/>
      <c r="J61" s="274"/>
      <c r="K61" s="274"/>
      <c r="L61" s="653">
        <f t="shared" si="37"/>
        <v>0</v>
      </c>
      <c r="M61" s="653">
        <f t="shared" si="38"/>
        <v>0</v>
      </c>
      <c r="N61" s="653">
        <f t="shared" si="39"/>
        <v>0</v>
      </c>
      <c r="O61" s="274"/>
      <c r="P61" s="81">
        <f t="shared" si="22"/>
        <v>0</v>
      </c>
      <c r="Q61" s="81">
        <f t="shared" si="23"/>
        <v>0</v>
      </c>
      <c r="R61" s="81">
        <f t="shared" si="24"/>
        <v>0</v>
      </c>
      <c r="S61" s="81">
        <f t="shared" si="40"/>
        <v>0</v>
      </c>
      <c r="T61" s="283">
        <f t="shared" si="54"/>
        <v>0</v>
      </c>
      <c r="U61" s="120"/>
      <c r="V61" s="196">
        <f t="shared" si="55"/>
        <v>0</v>
      </c>
    </row>
    <row r="62" spans="1:22" ht="12.75" customHeight="1" x14ac:dyDescent="0.25">
      <c r="A62" s="14" t="s">
        <v>62</v>
      </c>
      <c r="B62" s="20" t="s">
        <v>63</v>
      </c>
      <c r="C62" s="274">
        <v>70000</v>
      </c>
      <c r="D62" s="274">
        <v>90000</v>
      </c>
      <c r="E62" s="274">
        <v>90000</v>
      </c>
      <c r="F62" s="274"/>
      <c r="G62" s="274"/>
      <c r="H62" s="274">
        <v>77520</v>
      </c>
      <c r="I62" s="274">
        <v>77520</v>
      </c>
      <c r="J62" s="274"/>
      <c r="K62" s="274"/>
      <c r="L62" s="653">
        <f t="shared" si="37"/>
        <v>1.1074285714285714</v>
      </c>
      <c r="M62" s="653">
        <f t="shared" si="38"/>
        <v>0.86133333333333328</v>
      </c>
      <c r="N62" s="653">
        <f t="shared" si="39"/>
        <v>0</v>
      </c>
      <c r="O62" s="274"/>
      <c r="P62" s="81">
        <f t="shared" si="22"/>
        <v>20000</v>
      </c>
      <c r="Q62" s="81">
        <f t="shared" si="23"/>
        <v>0</v>
      </c>
      <c r="R62" s="81">
        <f t="shared" si="24"/>
        <v>0</v>
      </c>
      <c r="S62" s="81">
        <f t="shared" si="40"/>
        <v>20000</v>
      </c>
      <c r="T62" s="283">
        <f t="shared" ref="T62:T70" si="56">IF(C62=0,0,+S62/C62)</f>
        <v>0.2857142857142857</v>
      </c>
      <c r="U62" s="120"/>
      <c r="V62" s="196">
        <f t="shared" si="55"/>
        <v>0</v>
      </c>
    </row>
    <row r="63" spans="1:22" ht="61.5" customHeight="1" x14ac:dyDescent="0.25">
      <c r="A63" s="14"/>
      <c r="B63" s="20" t="s">
        <v>102</v>
      </c>
      <c r="C63" s="274"/>
      <c r="D63" s="274"/>
      <c r="E63" s="274"/>
      <c r="F63" s="274"/>
      <c r="G63" s="274"/>
      <c r="H63" s="274"/>
      <c r="I63" s="274"/>
      <c r="J63" s="274"/>
      <c r="K63" s="274"/>
      <c r="L63" s="653">
        <f t="shared" si="37"/>
        <v>0</v>
      </c>
      <c r="M63" s="653">
        <f t="shared" si="38"/>
        <v>0</v>
      </c>
      <c r="N63" s="653">
        <f t="shared" si="39"/>
        <v>0</v>
      </c>
      <c r="O63" s="274"/>
      <c r="P63" s="81">
        <f t="shared" si="22"/>
        <v>0</v>
      </c>
      <c r="Q63" s="81">
        <f t="shared" si="23"/>
        <v>0</v>
      </c>
      <c r="R63" s="81">
        <f t="shared" si="24"/>
        <v>0</v>
      </c>
      <c r="S63" s="81">
        <f t="shared" si="40"/>
        <v>0</v>
      </c>
      <c r="T63" s="283">
        <f t="shared" si="56"/>
        <v>0</v>
      </c>
      <c r="U63" s="120"/>
      <c r="V63" s="196">
        <f t="shared" si="55"/>
        <v>0</v>
      </c>
    </row>
    <row r="64" spans="1:22" ht="12.75" customHeight="1" x14ac:dyDescent="0.25">
      <c r="A64" s="14" t="s">
        <v>64</v>
      </c>
      <c r="B64" s="20" t="s">
        <v>65</v>
      </c>
      <c r="C64" s="274">
        <v>700000</v>
      </c>
      <c r="D64" s="274">
        <v>680000</v>
      </c>
      <c r="E64" s="274">
        <v>680000</v>
      </c>
      <c r="F64" s="274"/>
      <c r="G64" s="274"/>
      <c r="H64" s="274">
        <v>230023</v>
      </c>
      <c r="I64" s="274">
        <v>416031</v>
      </c>
      <c r="J64" s="274"/>
      <c r="K64" s="274"/>
      <c r="L64" s="653">
        <f t="shared" si="37"/>
        <v>0.32860428571428574</v>
      </c>
      <c r="M64" s="653">
        <f t="shared" si="38"/>
        <v>0.61181029411764709</v>
      </c>
      <c r="N64" s="653">
        <f t="shared" si="39"/>
        <v>0</v>
      </c>
      <c r="O64" s="274"/>
      <c r="P64" s="81">
        <f t="shared" si="22"/>
        <v>-20000</v>
      </c>
      <c r="Q64" s="81">
        <f t="shared" si="23"/>
        <v>0</v>
      </c>
      <c r="R64" s="81">
        <f t="shared" si="24"/>
        <v>0</v>
      </c>
      <c r="S64" s="81">
        <f t="shared" si="40"/>
        <v>-20000</v>
      </c>
      <c r="T64" s="283">
        <f t="shared" si="56"/>
        <v>-2.8571428571428571E-2</v>
      </c>
      <c r="U64" s="120"/>
      <c r="V64" s="196">
        <f t="shared" si="55"/>
        <v>0</v>
      </c>
    </row>
    <row r="65" spans="1:22" ht="54.75" customHeight="1" x14ac:dyDescent="0.25">
      <c r="A65" s="14"/>
      <c r="B65" s="20" t="s">
        <v>66</v>
      </c>
      <c r="C65" s="274">
        <v>0</v>
      </c>
      <c r="D65" s="274"/>
      <c r="E65" s="274"/>
      <c r="F65" s="274"/>
      <c r="G65" s="274"/>
      <c r="H65" s="274"/>
      <c r="I65" s="274"/>
      <c r="J65" s="274"/>
      <c r="K65" s="274"/>
      <c r="L65" s="653">
        <f t="shared" si="37"/>
        <v>0</v>
      </c>
      <c r="M65" s="653">
        <f t="shared" si="38"/>
        <v>0</v>
      </c>
      <c r="N65" s="653">
        <f t="shared" si="39"/>
        <v>0</v>
      </c>
      <c r="O65" s="274"/>
      <c r="P65" s="81">
        <f t="shared" si="22"/>
        <v>0</v>
      </c>
      <c r="Q65" s="81">
        <f t="shared" si="23"/>
        <v>0</v>
      </c>
      <c r="R65" s="81">
        <f t="shared" si="24"/>
        <v>0</v>
      </c>
      <c r="S65" s="81">
        <f t="shared" si="40"/>
        <v>0</v>
      </c>
      <c r="T65" s="283">
        <f t="shared" si="56"/>
        <v>0</v>
      </c>
      <c r="U65" s="120"/>
      <c r="V65" s="196">
        <f t="shared" si="55"/>
        <v>0</v>
      </c>
    </row>
    <row r="66" spans="1:22" s="42" customFormat="1" ht="12.75" customHeight="1" x14ac:dyDescent="0.25">
      <c r="A66" s="38" t="s">
        <v>67</v>
      </c>
      <c r="B66" s="39" t="s">
        <v>68</v>
      </c>
      <c r="C66" s="277">
        <f>+C67+C69</f>
        <v>10000</v>
      </c>
      <c r="D66" s="277">
        <f>+D67+D69</f>
        <v>10000</v>
      </c>
      <c r="E66" s="277">
        <f>+E67+E69</f>
        <v>10000</v>
      </c>
      <c r="F66" s="277">
        <f>+F67+F69</f>
        <v>0</v>
      </c>
      <c r="G66" s="277"/>
      <c r="H66" s="277">
        <f>+H67+H69</f>
        <v>0</v>
      </c>
      <c r="I66" s="277">
        <f t="shared" ref="I66:J66" si="57">+I67+I69</f>
        <v>0</v>
      </c>
      <c r="J66" s="277">
        <f t="shared" si="57"/>
        <v>0</v>
      </c>
      <c r="K66" s="277"/>
      <c r="L66" s="653">
        <f t="shared" si="37"/>
        <v>0</v>
      </c>
      <c r="M66" s="653">
        <f t="shared" si="38"/>
        <v>0</v>
      </c>
      <c r="N66" s="653">
        <f t="shared" si="39"/>
        <v>0</v>
      </c>
      <c r="O66" s="277"/>
      <c r="P66" s="277">
        <f t="shared" si="22"/>
        <v>0</v>
      </c>
      <c r="Q66" s="277">
        <f t="shared" si="23"/>
        <v>0</v>
      </c>
      <c r="R66" s="277">
        <f t="shared" si="24"/>
        <v>0</v>
      </c>
      <c r="S66" s="277">
        <f t="shared" si="40"/>
        <v>0</v>
      </c>
      <c r="T66" s="283">
        <f t="shared" si="56"/>
        <v>0</v>
      </c>
      <c r="U66" s="120"/>
      <c r="V66" s="196">
        <f t="shared" si="55"/>
        <v>0</v>
      </c>
    </row>
    <row r="67" spans="1:22" ht="12.75" customHeight="1" x14ac:dyDescent="0.25">
      <c r="A67" s="14" t="s">
        <v>69</v>
      </c>
      <c r="B67" s="20" t="s">
        <v>70</v>
      </c>
      <c r="C67" s="274">
        <v>10000</v>
      </c>
      <c r="D67" s="274">
        <v>10000</v>
      </c>
      <c r="E67" s="274">
        <v>10000</v>
      </c>
      <c r="F67" s="274"/>
      <c r="G67" s="274"/>
      <c r="H67" s="274"/>
      <c r="I67" s="274"/>
      <c r="J67" s="274"/>
      <c r="K67" s="274"/>
      <c r="L67" s="653">
        <f t="shared" si="37"/>
        <v>0</v>
      </c>
      <c r="M67" s="653">
        <f t="shared" si="38"/>
        <v>0</v>
      </c>
      <c r="N67" s="653">
        <f t="shared" si="39"/>
        <v>0</v>
      </c>
      <c r="O67" s="274"/>
      <c r="P67" s="81">
        <f t="shared" si="22"/>
        <v>0</v>
      </c>
      <c r="Q67" s="81">
        <f t="shared" si="23"/>
        <v>0</v>
      </c>
      <c r="R67" s="81">
        <f t="shared" si="24"/>
        <v>0</v>
      </c>
      <c r="S67" s="81">
        <f t="shared" si="40"/>
        <v>0</v>
      </c>
      <c r="T67" s="283">
        <f t="shared" si="56"/>
        <v>0</v>
      </c>
      <c r="U67" s="120"/>
      <c r="V67" s="196">
        <f t="shared" si="55"/>
        <v>0</v>
      </c>
    </row>
    <row r="68" spans="1:22" ht="24" customHeight="1" x14ac:dyDescent="0.25">
      <c r="A68" s="14"/>
      <c r="B68" s="20" t="s">
        <v>71</v>
      </c>
      <c r="C68" s="274"/>
      <c r="D68" s="274"/>
      <c r="E68" s="274"/>
      <c r="F68" s="274"/>
      <c r="G68" s="274"/>
      <c r="H68" s="274"/>
      <c r="I68" s="274"/>
      <c r="J68" s="274"/>
      <c r="K68" s="274"/>
      <c r="L68" s="653">
        <f t="shared" si="37"/>
        <v>0</v>
      </c>
      <c r="M68" s="653">
        <f t="shared" si="38"/>
        <v>0</v>
      </c>
      <c r="N68" s="653">
        <f t="shared" si="39"/>
        <v>0</v>
      </c>
      <c r="O68" s="274"/>
      <c r="P68" s="81">
        <f t="shared" si="22"/>
        <v>0</v>
      </c>
      <c r="Q68" s="81">
        <f t="shared" si="23"/>
        <v>0</v>
      </c>
      <c r="R68" s="81">
        <f t="shared" si="24"/>
        <v>0</v>
      </c>
      <c r="S68" s="81">
        <f t="shared" si="40"/>
        <v>0</v>
      </c>
      <c r="T68" s="283">
        <f t="shared" si="56"/>
        <v>0</v>
      </c>
      <c r="U68" s="120"/>
      <c r="V68" s="196">
        <f t="shared" si="55"/>
        <v>0</v>
      </c>
    </row>
    <row r="69" spans="1:22" ht="12.75" customHeight="1" x14ac:dyDescent="0.25">
      <c r="A69" s="14" t="s">
        <v>72</v>
      </c>
      <c r="B69" s="20" t="s">
        <v>100</v>
      </c>
      <c r="C69" s="274"/>
      <c r="D69" s="274"/>
      <c r="E69" s="274"/>
      <c r="F69" s="274"/>
      <c r="G69" s="274"/>
      <c r="H69" s="274"/>
      <c r="I69" s="274"/>
      <c r="J69" s="274"/>
      <c r="K69" s="274"/>
      <c r="L69" s="653">
        <f t="shared" si="37"/>
        <v>0</v>
      </c>
      <c r="M69" s="653">
        <f t="shared" si="38"/>
        <v>0</v>
      </c>
      <c r="N69" s="653">
        <f t="shared" si="39"/>
        <v>0</v>
      </c>
      <c r="O69" s="274"/>
      <c r="P69" s="81">
        <f t="shared" si="22"/>
        <v>0</v>
      </c>
      <c r="Q69" s="81">
        <f t="shared" si="23"/>
        <v>0</v>
      </c>
      <c r="R69" s="81">
        <f t="shared" si="24"/>
        <v>0</v>
      </c>
      <c r="S69" s="81">
        <f t="shared" si="40"/>
        <v>0</v>
      </c>
      <c r="T69" s="283">
        <f t="shared" si="56"/>
        <v>0</v>
      </c>
      <c r="U69" s="120"/>
      <c r="V69" s="196">
        <f t="shared" si="55"/>
        <v>0</v>
      </c>
    </row>
    <row r="70" spans="1:22" ht="26.25" customHeight="1" x14ac:dyDescent="0.25">
      <c r="A70" s="14"/>
      <c r="B70" s="20" t="s">
        <v>73</v>
      </c>
      <c r="C70" s="274"/>
      <c r="D70" s="274"/>
      <c r="E70" s="274"/>
      <c r="F70" s="274"/>
      <c r="G70" s="274"/>
      <c r="H70" s="274"/>
      <c r="I70" s="274"/>
      <c r="J70" s="274"/>
      <c r="K70" s="274"/>
      <c r="L70" s="653">
        <f t="shared" si="37"/>
        <v>0</v>
      </c>
      <c r="M70" s="653">
        <f t="shared" si="38"/>
        <v>0</v>
      </c>
      <c r="N70" s="653">
        <f t="shared" si="39"/>
        <v>0</v>
      </c>
      <c r="O70" s="274"/>
      <c r="P70" s="81">
        <f t="shared" si="22"/>
        <v>0</v>
      </c>
      <c r="Q70" s="81">
        <f t="shared" si="23"/>
        <v>0</v>
      </c>
      <c r="R70" s="81">
        <f t="shared" si="24"/>
        <v>0</v>
      </c>
      <c r="S70" s="81">
        <f t="shared" si="40"/>
        <v>0</v>
      </c>
      <c r="T70" s="283">
        <f t="shared" si="56"/>
        <v>0</v>
      </c>
      <c r="U70" s="120"/>
      <c r="V70" s="196">
        <f t="shared" si="55"/>
        <v>0</v>
      </c>
    </row>
    <row r="71" spans="1:22" s="42" customFormat="1" ht="12.75" customHeight="1" x14ac:dyDescent="0.25">
      <c r="A71" s="38" t="s">
        <v>74</v>
      </c>
      <c r="B71" s="39" t="s">
        <v>75</v>
      </c>
      <c r="C71" s="277">
        <f>SUM(C72:C81)</f>
        <v>2060000</v>
      </c>
      <c r="D71" s="277">
        <f t="shared" ref="D71:J71" si="58">SUM(D72:D81)</f>
        <v>2060000</v>
      </c>
      <c r="E71" s="277">
        <f t="shared" si="58"/>
        <v>2060000</v>
      </c>
      <c r="F71" s="277">
        <f t="shared" si="58"/>
        <v>0</v>
      </c>
      <c r="G71" s="277"/>
      <c r="H71" s="277">
        <f t="shared" si="58"/>
        <v>1165669</v>
      </c>
      <c r="I71" s="277">
        <f t="shared" si="58"/>
        <v>1635376</v>
      </c>
      <c r="J71" s="277">
        <f t="shared" si="58"/>
        <v>0</v>
      </c>
      <c r="K71" s="277"/>
      <c r="L71" s="654">
        <f t="shared" si="37"/>
        <v>0.5658587378640777</v>
      </c>
      <c r="M71" s="654">
        <f t="shared" si="38"/>
        <v>0.79387184466019423</v>
      </c>
      <c r="N71" s="654">
        <f t="shared" si="39"/>
        <v>0</v>
      </c>
      <c r="O71" s="277"/>
      <c r="P71" s="277">
        <f t="shared" si="22"/>
        <v>0</v>
      </c>
      <c r="Q71" s="277">
        <f t="shared" si="23"/>
        <v>0</v>
      </c>
      <c r="R71" s="277">
        <f t="shared" si="24"/>
        <v>0</v>
      </c>
      <c r="S71" s="277">
        <f t="shared" si="40"/>
        <v>0</v>
      </c>
      <c r="V71" s="196">
        <f t="shared" si="55"/>
        <v>0</v>
      </c>
    </row>
    <row r="72" spans="1:22" ht="12.75" customHeight="1" x14ac:dyDescent="0.25">
      <c r="A72" s="14" t="s">
        <v>76</v>
      </c>
      <c r="B72" s="20" t="s">
        <v>77</v>
      </c>
      <c r="C72" s="274">
        <v>1700000</v>
      </c>
      <c r="D72" s="274">
        <v>1700000</v>
      </c>
      <c r="E72" s="274">
        <v>1700000</v>
      </c>
      <c r="F72" s="274"/>
      <c r="G72" s="274"/>
      <c r="H72" s="274">
        <v>981076</v>
      </c>
      <c r="I72" s="274">
        <v>1347253</v>
      </c>
      <c r="J72" s="274"/>
      <c r="K72" s="274"/>
      <c r="L72" s="653">
        <f t="shared" si="37"/>
        <v>0.57710352941176468</v>
      </c>
      <c r="M72" s="653">
        <f t="shared" si="38"/>
        <v>0.79250176470588241</v>
      </c>
      <c r="N72" s="653">
        <f t="shared" si="39"/>
        <v>0</v>
      </c>
      <c r="O72" s="274"/>
      <c r="P72" s="81">
        <f t="shared" si="22"/>
        <v>0</v>
      </c>
      <c r="Q72" s="81">
        <f t="shared" si="23"/>
        <v>0</v>
      </c>
      <c r="R72" s="81">
        <f t="shared" si="24"/>
        <v>0</v>
      </c>
      <c r="S72" s="81">
        <f t="shared" si="40"/>
        <v>0</v>
      </c>
      <c r="T72" s="283">
        <f t="shared" ref="T72:T81" si="59">IF(C72=0,0,+S72/C72)</f>
        <v>0</v>
      </c>
      <c r="U72" s="120"/>
      <c r="V72" s="196">
        <f t="shared" si="55"/>
        <v>0</v>
      </c>
    </row>
    <row r="73" spans="1:22" ht="12.75" customHeight="1" x14ac:dyDescent="0.25">
      <c r="A73" s="14"/>
      <c r="B73" s="20" t="s">
        <v>78</v>
      </c>
      <c r="C73" s="274">
        <v>0</v>
      </c>
      <c r="D73" s="274"/>
      <c r="E73" s="274"/>
      <c r="F73" s="274"/>
      <c r="G73" s="274"/>
      <c r="H73" s="274"/>
      <c r="I73" s="274"/>
      <c r="J73" s="274"/>
      <c r="K73" s="274"/>
      <c r="L73" s="653">
        <f t="shared" si="37"/>
        <v>0</v>
      </c>
      <c r="M73" s="653">
        <f t="shared" si="38"/>
        <v>0</v>
      </c>
      <c r="N73" s="653">
        <f t="shared" si="39"/>
        <v>0</v>
      </c>
      <c r="O73" s="274"/>
      <c r="P73" s="81">
        <f t="shared" si="22"/>
        <v>0</v>
      </c>
      <c r="Q73" s="81">
        <f t="shared" si="23"/>
        <v>0</v>
      </c>
      <c r="R73" s="81">
        <f t="shared" si="24"/>
        <v>0</v>
      </c>
      <c r="S73" s="81">
        <f t="shared" si="40"/>
        <v>0</v>
      </c>
      <c r="T73" s="283">
        <f t="shared" si="59"/>
        <v>0</v>
      </c>
      <c r="U73" s="120"/>
      <c r="V73" s="196">
        <f t="shared" si="55"/>
        <v>0</v>
      </c>
    </row>
    <row r="74" spans="1:22" ht="12.75" customHeight="1" x14ac:dyDescent="0.25">
      <c r="A74" s="14" t="s">
        <v>79</v>
      </c>
      <c r="B74" s="20" t="s">
        <v>80</v>
      </c>
      <c r="C74" s="274">
        <v>350000</v>
      </c>
      <c r="D74" s="274">
        <v>350000</v>
      </c>
      <c r="E74" s="274">
        <v>350000</v>
      </c>
      <c r="F74" s="274"/>
      <c r="G74" s="274"/>
      <c r="H74" s="274">
        <v>184000</v>
      </c>
      <c r="I74" s="274">
        <v>286000</v>
      </c>
      <c r="J74" s="274"/>
      <c r="K74" s="274"/>
      <c r="L74" s="653">
        <f t="shared" si="37"/>
        <v>0.52571428571428569</v>
      </c>
      <c r="M74" s="653">
        <f t="shared" si="38"/>
        <v>0.81714285714285717</v>
      </c>
      <c r="N74" s="653">
        <f t="shared" si="39"/>
        <v>0</v>
      </c>
      <c r="O74" s="274"/>
      <c r="P74" s="81">
        <f t="shared" si="22"/>
        <v>0</v>
      </c>
      <c r="Q74" s="81">
        <f t="shared" si="23"/>
        <v>0</v>
      </c>
      <c r="R74" s="81">
        <f t="shared" si="24"/>
        <v>0</v>
      </c>
      <c r="S74" s="81">
        <f t="shared" si="40"/>
        <v>0</v>
      </c>
      <c r="T74" s="283">
        <f t="shared" si="59"/>
        <v>0</v>
      </c>
      <c r="U74" s="120"/>
      <c r="V74" s="196">
        <f t="shared" si="55"/>
        <v>0</v>
      </c>
    </row>
    <row r="75" spans="1:22" ht="12.75" customHeight="1" x14ac:dyDescent="0.25">
      <c r="A75" s="14"/>
      <c r="B75" s="20" t="s">
        <v>101</v>
      </c>
      <c r="C75" s="274"/>
      <c r="D75" s="274"/>
      <c r="E75" s="274"/>
      <c r="F75" s="274"/>
      <c r="G75" s="274"/>
      <c r="H75" s="274"/>
      <c r="I75" s="274"/>
      <c r="J75" s="274"/>
      <c r="K75" s="274"/>
      <c r="L75" s="653">
        <f t="shared" si="37"/>
        <v>0</v>
      </c>
      <c r="M75" s="653">
        <f t="shared" si="38"/>
        <v>0</v>
      </c>
      <c r="N75" s="653">
        <f t="shared" si="39"/>
        <v>0</v>
      </c>
      <c r="O75" s="274"/>
      <c r="P75" s="81">
        <f t="shared" si="22"/>
        <v>0</v>
      </c>
      <c r="Q75" s="81">
        <f t="shared" si="23"/>
        <v>0</v>
      </c>
      <c r="R75" s="81">
        <f t="shared" si="24"/>
        <v>0</v>
      </c>
      <c r="S75" s="81">
        <f t="shared" si="40"/>
        <v>0</v>
      </c>
      <c r="T75" s="283">
        <f t="shared" si="59"/>
        <v>0</v>
      </c>
      <c r="U75" s="120"/>
      <c r="V75" s="196">
        <f t="shared" si="55"/>
        <v>0</v>
      </c>
    </row>
    <row r="76" spans="1:22" ht="12.75" customHeight="1" x14ac:dyDescent="0.25">
      <c r="A76" s="14" t="s">
        <v>81</v>
      </c>
      <c r="B76" s="20" t="s">
        <v>82</v>
      </c>
      <c r="C76" s="274"/>
      <c r="D76" s="274"/>
      <c r="E76" s="274"/>
      <c r="F76" s="274"/>
      <c r="G76" s="274"/>
      <c r="H76" s="274"/>
      <c r="I76" s="274"/>
      <c r="J76" s="274"/>
      <c r="K76" s="274"/>
      <c r="L76" s="653">
        <f t="shared" si="37"/>
        <v>0</v>
      </c>
      <c r="M76" s="653">
        <f t="shared" si="38"/>
        <v>0</v>
      </c>
      <c r="N76" s="653">
        <f t="shared" si="39"/>
        <v>0</v>
      </c>
      <c r="O76" s="274"/>
      <c r="P76" s="81">
        <f t="shared" si="22"/>
        <v>0</v>
      </c>
      <c r="Q76" s="81">
        <f t="shared" si="23"/>
        <v>0</v>
      </c>
      <c r="R76" s="81">
        <f t="shared" si="24"/>
        <v>0</v>
      </c>
      <c r="S76" s="81">
        <f t="shared" si="40"/>
        <v>0</v>
      </c>
      <c r="T76" s="283">
        <f t="shared" si="59"/>
        <v>0</v>
      </c>
      <c r="U76" s="120"/>
      <c r="V76" s="196">
        <f t="shared" si="55"/>
        <v>0</v>
      </c>
    </row>
    <row r="77" spans="1:22" ht="30.75" customHeight="1" x14ac:dyDescent="0.25">
      <c r="A77" s="14"/>
      <c r="B77" s="20" t="s">
        <v>106</v>
      </c>
      <c r="C77" s="274"/>
      <c r="D77" s="274"/>
      <c r="E77" s="274"/>
      <c r="F77" s="274"/>
      <c r="G77" s="274"/>
      <c r="H77" s="274"/>
      <c r="I77" s="274"/>
      <c r="J77" s="274"/>
      <c r="K77" s="274"/>
      <c r="L77" s="653">
        <f t="shared" si="37"/>
        <v>0</v>
      </c>
      <c r="M77" s="653">
        <f t="shared" si="38"/>
        <v>0</v>
      </c>
      <c r="N77" s="653">
        <f t="shared" si="39"/>
        <v>0</v>
      </c>
      <c r="O77" s="274"/>
      <c r="P77" s="81">
        <f t="shared" si="22"/>
        <v>0</v>
      </c>
      <c r="Q77" s="81">
        <f t="shared" si="23"/>
        <v>0</v>
      </c>
      <c r="R77" s="81">
        <f t="shared" si="24"/>
        <v>0</v>
      </c>
      <c r="S77" s="81">
        <f t="shared" si="40"/>
        <v>0</v>
      </c>
      <c r="T77" s="283">
        <f t="shared" si="59"/>
        <v>0</v>
      </c>
      <c r="U77" s="120"/>
      <c r="V77" s="196">
        <f t="shared" si="55"/>
        <v>0</v>
      </c>
    </row>
    <row r="78" spans="1:22" ht="12.75" customHeight="1" x14ac:dyDescent="0.25">
      <c r="A78" s="14" t="s">
        <v>84</v>
      </c>
      <c r="B78" s="20" t="s">
        <v>85</v>
      </c>
      <c r="C78" s="274"/>
      <c r="D78" s="274"/>
      <c r="E78" s="274"/>
      <c r="F78" s="274"/>
      <c r="G78" s="274"/>
      <c r="H78" s="274"/>
      <c r="I78" s="274"/>
      <c r="J78" s="274"/>
      <c r="K78" s="274"/>
      <c r="L78" s="653">
        <f t="shared" si="37"/>
        <v>0</v>
      </c>
      <c r="M78" s="653">
        <f t="shared" si="38"/>
        <v>0</v>
      </c>
      <c r="N78" s="653">
        <f t="shared" si="39"/>
        <v>0</v>
      </c>
      <c r="O78" s="274"/>
      <c r="P78" s="81">
        <f t="shared" si="22"/>
        <v>0</v>
      </c>
      <c r="Q78" s="81">
        <f t="shared" si="23"/>
        <v>0</v>
      </c>
      <c r="R78" s="81">
        <f t="shared" si="24"/>
        <v>0</v>
      </c>
      <c r="S78" s="81">
        <f t="shared" si="40"/>
        <v>0</v>
      </c>
      <c r="T78" s="283">
        <f t="shared" si="59"/>
        <v>0</v>
      </c>
      <c r="U78" s="120"/>
      <c r="V78" s="196">
        <f t="shared" si="55"/>
        <v>0</v>
      </c>
    </row>
    <row r="79" spans="1:22" ht="12.75" customHeight="1" x14ac:dyDescent="0.25">
      <c r="A79" s="14"/>
      <c r="B79" s="20" t="s">
        <v>86</v>
      </c>
      <c r="C79" s="274"/>
      <c r="D79" s="274"/>
      <c r="E79" s="274"/>
      <c r="F79" s="274"/>
      <c r="G79" s="274"/>
      <c r="H79" s="274"/>
      <c r="I79" s="274"/>
      <c r="J79" s="274"/>
      <c r="K79" s="274"/>
      <c r="L79" s="653">
        <f t="shared" si="37"/>
        <v>0</v>
      </c>
      <c r="M79" s="653">
        <f t="shared" si="38"/>
        <v>0</v>
      </c>
      <c r="N79" s="653">
        <f t="shared" si="39"/>
        <v>0</v>
      </c>
      <c r="O79" s="274"/>
      <c r="P79" s="81">
        <f t="shared" si="22"/>
        <v>0</v>
      </c>
      <c r="Q79" s="81">
        <f t="shared" si="23"/>
        <v>0</v>
      </c>
      <c r="R79" s="81">
        <f t="shared" si="24"/>
        <v>0</v>
      </c>
      <c r="S79" s="81">
        <f t="shared" si="40"/>
        <v>0</v>
      </c>
      <c r="T79" s="283">
        <f t="shared" si="59"/>
        <v>0</v>
      </c>
      <c r="U79" s="120"/>
      <c r="V79" s="196">
        <f t="shared" si="55"/>
        <v>0</v>
      </c>
    </row>
    <row r="80" spans="1:22" ht="12.75" customHeight="1" x14ac:dyDescent="0.25">
      <c r="A80" s="14" t="s">
        <v>87</v>
      </c>
      <c r="B80" s="20" t="s">
        <v>88</v>
      </c>
      <c r="C80" s="274">
        <v>10000</v>
      </c>
      <c r="D80" s="274">
        <v>10000</v>
      </c>
      <c r="E80" s="274">
        <v>10000</v>
      </c>
      <c r="F80" s="274"/>
      <c r="G80" s="274"/>
      <c r="H80" s="274">
        <v>593</v>
      </c>
      <c r="I80" s="274">
        <v>2123</v>
      </c>
      <c r="J80" s="274"/>
      <c r="K80" s="274"/>
      <c r="L80" s="653">
        <f t="shared" si="37"/>
        <v>5.9299999999999999E-2</v>
      </c>
      <c r="M80" s="653">
        <f t="shared" si="38"/>
        <v>0.21229999999999999</v>
      </c>
      <c r="N80" s="653">
        <f t="shared" si="39"/>
        <v>0</v>
      </c>
      <c r="O80" s="274"/>
      <c r="P80" s="81">
        <f t="shared" si="22"/>
        <v>0</v>
      </c>
      <c r="Q80" s="81">
        <f t="shared" si="23"/>
        <v>0</v>
      </c>
      <c r="R80" s="81">
        <f t="shared" si="24"/>
        <v>0</v>
      </c>
      <c r="S80" s="81">
        <f t="shared" si="40"/>
        <v>0</v>
      </c>
      <c r="T80" s="283">
        <f t="shared" si="59"/>
        <v>0</v>
      </c>
      <c r="U80" s="120"/>
      <c r="V80" s="196">
        <f t="shared" si="55"/>
        <v>0</v>
      </c>
    </row>
    <row r="81" spans="1:24" ht="56.25" customHeight="1" x14ac:dyDescent="0.25">
      <c r="A81" s="14"/>
      <c r="B81" s="20" t="s">
        <v>92</v>
      </c>
      <c r="C81" s="274"/>
      <c r="D81" s="274"/>
      <c r="E81" s="274"/>
      <c r="F81" s="274"/>
      <c r="G81" s="274"/>
      <c r="H81" s="274"/>
      <c r="I81" s="274"/>
      <c r="J81" s="274"/>
      <c r="K81" s="274"/>
      <c r="L81" s="653">
        <f t="shared" si="37"/>
        <v>0</v>
      </c>
      <c r="M81" s="653">
        <f t="shared" si="38"/>
        <v>0</v>
      </c>
      <c r="N81" s="653">
        <f t="shared" si="39"/>
        <v>0</v>
      </c>
      <c r="O81" s="274"/>
      <c r="P81" s="81">
        <f t="shared" si="22"/>
        <v>0</v>
      </c>
      <c r="Q81" s="81">
        <f t="shared" si="23"/>
        <v>0</v>
      </c>
      <c r="R81" s="81">
        <f t="shared" si="24"/>
        <v>0</v>
      </c>
      <c r="S81" s="81">
        <f t="shared" si="40"/>
        <v>0</v>
      </c>
      <c r="T81" s="283">
        <f t="shared" si="59"/>
        <v>0</v>
      </c>
      <c r="U81" s="120"/>
      <c r="V81" s="196">
        <f t="shared" si="55"/>
        <v>0</v>
      </c>
    </row>
    <row r="82" spans="1:24" ht="12.75" customHeight="1" x14ac:dyDescent="0.25">
      <c r="A82" s="285"/>
      <c r="B82" s="286"/>
      <c r="C82" s="287"/>
      <c r="D82" s="287"/>
      <c r="E82" s="287"/>
      <c r="F82" s="287"/>
      <c r="G82" s="287"/>
      <c r="H82" s="287"/>
      <c r="I82" s="287"/>
      <c r="J82" s="287"/>
      <c r="K82" s="287"/>
      <c r="L82" s="669">
        <f t="shared" si="37"/>
        <v>0</v>
      </c>
      <c r="M82" s="669">
        <f t="shared" si="38"/>
        <v>0</v>
      </c>
      <c r="N82" s="669">
        <f t="shared" si="39"/>
        <v>0</v>
      </c>
      <c r="O82" s="287"/>
      <c r="P82" s="288"/>
      <c r="Q82" s="288"/>
      <c r="R82" s="288"/>
      <c r="S82" s="288">
        <f t="shared" si="40"/>
        <v>0</v>
      </c>
      <c r="T82" s="289"/>
      <c r="U82" s="290"/>
      <c r="V82" s="196"/>
    </row>
    <row r="83" spans="1:24" s="42" customFormat="1" ht="12.75" customHeight="1" x14ac:dyDescent="0.25">
      <c r="A83" s="4" t="s">
        <v>158</v>
      </c>
      <c r="B83" s="3" t="s">
        <v>159</v>
      </c>
      <c r="C83" s="279">
        <f>SUM(C84:C85)</f>
        <v>300000</v>
      </c>
      <c r="D83" s="279">
        <f t="shared" ref="D83:F83" si="60">SUM(D84:D85)</f>
        <v>780000</v>
      </c>
      <c r="E83" s="279">
        <f t="shared" si="60"/>
        <v>780000</v>
      </c>
      <c r="F83" s="279">
        <f t="shared" si="60"/>
        <v>0</v>
      </c>
      <c r="G83" s="279"/>
      <c r="H83" s="279">
        <f t="shared" ref="H83:J83" si="61">SUM(H84:H85)</f>
        <v>757830</v>
      </c>
      <c r="I83" s="279">
        <f t="shared" si="61"/>
        <v>757830</v>
      </c>
      <c r="J83" s="279">
        <f t="shared" si="61"/>
        <v>0</v>
      </c>
      <c r="K83" s="279"/>
      <c r="L83" s="650">
        <f t="shared" si="37"/>
        <v>2.5261</v>
      </c>
      <c r="M83" s="650">
        <f t="shared" si="38"/>
        <v>0.97157692307692312</v>
      </c>
      <c r="N83" s="650">
        <f t="shared" si="39"/>
        <v>0</v>
      </c>
      <c r="O83" s="279"/>
      <c r="P83" s="279">
        <f t="shared" ref="P83:P88" si="62">+(D83-C83)*P$10</f>
        <v>480000</v>
      </c>
      <c r="Q83" s="279">
        <f t="shared" ref="Q83:Q88" si="63">+(E83-D83)*Q$10</f>
        <v>0</v>
      </c>
      <c r="R83" s="279">
        <f t="shared" ref="R83:R88" si="64">+(F83-E83)*R$10</f>
        <v>0</v>
      </c>
      <c r="S83" s="279">
        <f t="shared" si="40"/>
        <v>480000</v>
      </c>
      <c r="T83" s="284">
        <f t="shared" ref="T83:T88" si="65">IF(C83=0,0,+S83/C83)</f>
        <v>1.6</v>
      </c>
      <c r="U83" s="120"/>
      <c r="V83" s="196">
        <f t="shared" ref="V83:V88" si="66">+S83-E83+C83</f>
        <v>0</v>
      </c>
    </row>
    <row r="84" spans="1:24" ht="12.75" customHeight="1" x14ac:dyDescent="0.25">
      <c r="A84" s="14"/>
      <c r="B84" s="20"/>
      <c r="C84" s="275">
        <v>300000</v>
      </c>
      <c r="D84" s="274">
        <v>780000</v>
      </c>
      <c r="E84" s="274">
        <v>780000</v>
      </c>
      <c r="F84" s="274"/>
      <c r="G84" s="274"/>
      <c r="H84" s="274">
        <v>757830</v>
      </c>
      <c r="I84" s="302">
        <v>757830</v>
      </c>
      <c r="J84" s="274"/>
      <c r="K84" s="274"/>
      <c r="L84" s="659">
        <f t="shared" si="37"/>
        <v>2.5261</v>
      </c>
      <c r="M84" s="659">
        <f t="shared" si="38"/>
        <v>0.97157692307692312</v>
      </c>
      <c r="N84" s="659">
        <f t="shared" si="39"/>
        <v>0</v>
      </c>
      <c r="O84" s="274"/>
      <c r="P84" s="81">
        <f t="shared" si="62"/>
        <v>480000</v>
      </c>
      <c r="Q84" s="81">
        <f t="shared" si="63"/>
        <v>0</v>
      </c>
      <c r="R84" s="81">
        <f t="shared" si="64"/>
        <v>0</v>
      </c>
      <c r="S84" s="81">
        <f t="shared" si="40"/>
        <v>480000</v>
      </c>
      <c r="T84" s="283">
        <f t="shared" si="65"/>
        <v>1.6</v>
      </c>
      <c r="U84" s="120"/>
      <c r="V84" s="196">
        <f t="shared" si="66"/>
        <v>0</v>
      </c>
    </row>
    <row r="85" spans="1:24" ht="12.75" hidden="1" customHeight="1" x14ac:dyDescent="0.25">
      <c r="A85" s="14"/>
      <c r="B85" s="20"/>
      <c r="C85" s="275"/>
      <c r="D85" s="274"/>
      <c r="E85" s="274"/>
      <c r="F85" s="274"/>
      <c r="G85" s="274"/>
      <c r="H85" s="274"/>
      <c r="I85" s="274"/>
      <c r="J85" s="274"/>
      <c r="K85" s="274"/>
      <c r="L85" s="652">
        <f t="shared" si="37"/>
        <v>0</v>
      </c>
      <c r="M85" s="652">
        <f t="shared" si="38"/>
        <v>0</v>
      </c>
      <c r="N85" s="652">
        <f t="shared" si="39"/>
        <v>0</v>
      </c>
      <c r="O85" s="274"/>
      <c r="P85" s="81">
        <f t="shared" si="62"/>
        <v>0</v>
      </c>
      <c r="Q85" s="81">
        <f t="shared" si="63"/>
        <v>0</v>
      </c>
      <c r="R85" s="81">
        <f t="shared" si="64"/>
        <v>0</v>
      </c>
      <c r="S85" s="81">
        <f t="shared" si="40"/>
        <v>0</v>
      </c>
      <c r="T85" s="283">
        <f t="shared" si="65"/>
        <v>0</v>
      </c>
      <c r="U85" s="120"/>
      <c r="V85" s="196">
        <f t="shared" si="66"/>
        <v>0</v>
      </c>
    </row>
    <row r="86" spans="1:24" s="42" customFormat="1" ht="12.75" customHeight="1" x14ac:dyDescent="0.25">
      <c r="A86" s="4" t="s">
        <v>173</v>
      </c>
      <c r="B86" s="3" t="s">
        <v>174</v>
      </c>
      <c r="C86" s="279">
        <f>SUM(C87:C88)</f>
        <v>0</v>
      </c>
      <c r="D86" s="279">
        <f t="shared" ref="D86:F86" si="67">SUM(D87:D88)</f>
        <v>0</v>
      </c>
      <c r="E86" s="279">
        <f t="shared" si="67"/>
        <v>0</v>
      </c>
      <c r="F86" s="279">
        <f t="shared" si="67"/>
        <v>0</v>
      </c>
      <c r="G86" s="279"/>
      <c r="H86" s="279">
        <f t="shared" ref="H86:J86" si="68">SUM(H87:H88)</f>
        <v>0</v>
      </c>
      <c r="I86" s="279">
        <f t="shared" si="68"/>
        <v>0</v>
      </c>
      <c r="J86" s="279">
        <f t="shared" si="68"/>
        <v>0</v>
      </c>
      <c r="K86" s="279"/>
      <c r="L86" s="650">
        <f t="shared" si="37"/>
        <v>0</v>
      </c>
      <c r="M86" s="650">
        <f t="shared" si="38"/>
        <v>0</v>
      </c>
      <c r="N86" s="650">
        <f t="shared" si="39"/>
        <v>0</v>
      </c>
      <c r="O86" s="279"/>
      <c r="P86" s="279">
        <f t="shared" si="62"/>
        <v>0</v>
      </c>
      <c r="Q86" s="279">
        <f t="shared" si="63"/>
        <v>0</v>
      </c>
      <c r="R86" s="279">
        <f t="shared" si="64"/>
        <v>0</v>
      </c>
      <c r="S86" s="279">
        <f t="shared" si="40"/>
        <v>0</v>
      </c>
      <c r="T86" s="284">
        <f t="shared" si="65"/>
        <v>0</v>
      </c>
      <c r="U86" s="120"/>
      <c r="V86" s="196">
        <f t="shared" si="66"/>
        <v>0</v>
      </c>
    </row>
    <row r="87" spans="1:24" ht="12.75" customHeight="1" x14ac:dyDescent="0.25">
      <c r="A87" s="14"/>
      <c r="B87" s="20"/>
      <c r="C87" s="275"/>
      <c r="D87" s="274"/>
      <c r="E87" s="274"/>
      <c r="F87" s="274"/>
      <c r="G87" s="274"/>
      <c r="H87" s="274"/>
      <c r="I87" s="302"/>
      <c r="J87" s="274"/>
      <c r="K87" s="274"/>
      <c r="L87" s="659">
        <f t="shared" si="37"/>
        <v>0</v>
      </c>
      <c r="M87" s="659">
        <f t="shared" si="38"/>
        <v>0</v>
      </c>
      <c r="N87" s="659">
        <f t="shared" si="39"/>
        <v>0</v>
      </c>
      <c r="O87" s="274"/>
      <c r="P87" s="81">
        <f t="shared" si="62"/>
        <v>0</v>
      </c>
      <c r="Q87" s="81">
        <f t="shared" si="63"/>
        <v>0</v>
      </c>
      <c r="R87" s="81">
        <f t="shared" si="64"/>
        <v>0</v>
      </c>
      <c r="S87" s="81">
        <f t="shared" si="40"/>
        <v>0</v>
      </c>
      <c r="T87" s="283">
        <f t="shared" si="65"/>
        <v>0</v>
      </c>
      <c r="U87" s="120"/>
      <c r="V87" s="196">
        <f t="shared" si="66"/>
        <v>0</v>
      </c>
    </row>
    <row r="88" spans="1:24" ht="12.75" hidden="1" customHeight="1" x14ac:dyDescent="0.25">
      <c r="A88" s="14"/>
      <c r="B88" s="20"/>
      <c r="C88" s="275"/>
      <c r="D88" s="274"/>
      <c r="E88" s="274"/>
      <c r="F88" s="274"/>
      <c r="G88" s="274"/>
      <c r="H88" s="274"/>
      <c r="I88" s="274"/>
      <c r="J88" s="274"/>
      <c r="K88" s="274"/>
      <c r="L88" s="652">
        <f t="shared" si="37"/>
        <v>0</v>
      </c>
      <c r="M88" s="652">
        <f t="shared" si="38"/>
        <v>0</v>
      </c>
      <c r="N88" s="652">
        <f t="shared" si="39"/>
        <v>0</v>
      </c>
      <c r="O88" s="274"/>
      <c r="P88" s="81">
        <f t="shared" si="62"/>
        <v>0</v>
      </c>
      <c r="Q88" s="81">
        <f t="shared" si="63"/>
        <v>0</v>
      </c>
      <c r="R88" s="81">
        <f t="shared" si="64"/>
        <v>0</v>
      </c>
      <c r="S88" s="81">
        <f t="shared" si="40"/>
        <v>0</v>
      </c>
      <c r="T88" s="283">
        <f t="shared" si="65"/>
        <v>0</v>
      </c>
      <c r="U88" s="120"/>
      <c r="V88" s="196">
        <f t="shared" si="66"/>
        <v>0</v>
      </c>
    </row>
    <row r="89" spans="1:24" ht="21" customHeight="1" x14ac:dyDescent="0.25">
      <c r="A89" s="484"/>
      <c r="B89" s="474" t="s">
        <v>377</v>
      </c>
      <c r="C89" s="475">
        <f>C13+C29+C32+C83+C86</f>
        <v>65578000</v>
      </c>
      <c r="D89" s="475">
        <f t="shared" ref="D89:J89" si="69">D13+D29+D32+D83+D86</f>
        <v>65578000</v>
      </c>
      <c r="E89" s="475">
        <f t="shared" si="69"/>
        <v>65578000</v>
      </c>
      <c r="F89" s="475">
        <f t="shared" si="69"/>
        <v>0</v>
      </c>
      <c r="G89" s="475"/>
      <c r="H89" s="475">
        <f t="shared" si="69"/>
        <v>31656497</v>
      </c>
      <c r="I89" s="475">
        <f t="shared" si="69"/>
        <v>46781710</v>
      </c>
      <c r="J89" s="475">
        <f t="shared" si="69"/>
        <v>0</v>
      </c>
      <c r="K89" s="477"/>
      <c r="L89" s="656">
        <f t="shared" si="37"/>
        <v>0.48273044313641772</v>
      </c>
      <c r="M89" s="656">
        <f t="shared" si="38"/>
        <v>0.71337506480831991</v>
      </c>
      <c r="N89" s="656">
        <f t="shared" si="39"/>
        <v>0</v>
      </c>
      <c r="O89" s="477"/>
      <c r="P89" s="475">
        <f t="shared" si="22"/>
        <v>0</v>
      </c>
      <c r="Q89" s="475">
        <f t="shared" si="23"/>
        <v>0</v>
      </c>
      <c r="R89" s="475">
        <f t="shared" si="24"/>
        <v>0</v>
      </c>
      <c r="S89" s="475">
        <f t="shared" si="40"/>
        <v>0</v>
      </c>
      <c r="T89" s="478">
        <f t="shared" ref="T89:T102" si="70">IF(C89=0,0,+S89/C89)</f>
        <v>0</v>
      </c>
      <c r="U89" s="482"/>
      <c r="V89" s="483">
        <f t="shared" si="55"/>
        <v>0</v>
      </c>
    </row>
    <row r="90" spans="1:24" ht="10.35" customHeight="1" x14ac:dyDescent="0.25">
      <c r="A90" s="25"/>
      <c r="B90" s="25"/>
      <c r="C90" s="97"/>
      <c r="D90" s="98"/>
      <c r="E90" s="98"/>
      <c r="F90" s="98"/>
      <c r="G90" s="98"/>
      <c r="H90" s="98"/>
      <c r="I90" s="98"/>
      <c r="J90" s="98"/>
      <c r="K90" s="98"/>
      <c r="L90" s="665"/>
      <c r="M90" s="665"/>
      <c r="N90" s="665"/>
      <c r="O90" s="98"/>
      <c r="P90" s="98"/>
      <c r="Q90" s="98"/>
      <c r="R90" s="98"/>
      <c r="S90" s="98"/>
      <c r="T90" s="98"/>
      <c r="U90" s="22"/>
      <c r="V90" s="196">
        <f t="shared" si="55"/>
        <v>0</v>
      </c>
      <c r="W90" s="122"/>
      <c r="X90" s="122"/>
    </row>
    <row r="91" spans="1:24" ht="10.35" customHeight="1" x14ac:dyDescent="0.25">
      <c r="A91" s="469"/>
      <c r="B91" s="469"/>
      <c r="C91" s="470"/>
      <c r="D91" s="471"/>
      <c r="E91" s="471"/>
      <c r="F91" s="471"/>
      <c r="G91" s="471"/>
      <c r="H91" s="471"/>
      <c r="I91" s="471"/>
      <c r="J91" s="471"/>
      <c r="K91" s="471"/>
      <c r="L91" s="666"/>
      <c r="M91" s="666"/>
      <c r="N91" s="666"/>
      <c r="O91" s="471"/>
      <c r="P91" s="471"/>
      <c r="Q91" s="471"/>
      <c r="R91" s="471"/>
      <c r="S91" s="471"/>
      <c r="T91" s="471"/>
      <c r="U91" s="472"/>
      <c r="V91" s="473"/>
      <c r="W91" s="122"/>
      <c r="X91" s="122"/>
    </row>
    <row r="92" spans="1:24" ht="10.35" customHeight="1" x14ac:dyDescent="0.25">
      <c r="A92" s="25"/>
      <c r="B92" s="25"/>
      <c r="C92" s="97"/>
      <c r="D92" s="98"/>
      <c r="E92" s="98"/>
      <c r="F92" s="98"/>
      <c r="G92" s="98"/>
      <c r="H92" s="98"/>
      <c r="I92" s="98"/>
      <c r="J92" s="98"/>
      <c r="K92" s="98"/>
      <c r="L92" s="665"/>
      <c r="M92" s="665"/>
      <c r="N92" s="665"/>
      <c r="O92" s="98"/>
      <c r="P92" s="98"/>
      <c r="Q92" s="98"/>
      <c r="R92" s="98"/>
      <c r="S92" s="98"/>
      <c r="T92" s="98"/>
      <c r="U92" s="22"/>
      <c r="V92" s="196"/>
      <c r="W92" s="122"/>
      <c r="X92" s="122"/>
    </row>
    <row r="93" spans="1:24" s="42" customFormat="1" ht="12.75" customHeight="1" x14ac:dyDescent="0.25">
      <c r="A93" s="4" t="s">
        <v>241</v>
      </c>
      <c r="B93" s="3" t="s">
        <v>242</v>
      </c>
      <c r="C93" s="279">
        <f>SUM(C94:C94)</f>
        <v>0</v>
      </c>
      <c r="D93" s="279">
        <f>SUM(D94:D94)</f>
        <v>0</v>
      </c>
      <c r="E93" s="279">
        <f>SUM(E94:E94)</f>
        <v>0</v>
      </c>
      <c r="F93" s="279">
        <f>SUM(F94:F94)</f>
        <v>0</v>
      </c>
      <c r="G93" s="279"/>
      <c r="H93" s="279">
        <f>SUM(H94:H94)</f>
        <v>0</v>
      </c>
      <c r="I93" s="279">
        <f>SUM(I94:I94)</f>
        <v>0</v>
      </c>
      <c r="J93" s="279">
        <f>SUM(J94:J94)</f>
        <v>0</v>
      </c>
      <c r="K93" s="279"/>
      <c r="L93" s="650">
        <f t="shared" ref="L93:L102" si="71">IF(H93&gt;0,H93/C93,0)</f>
        <v>0</v>
      </c>
      <c r="M93" s="650">
        <f t="shared" ref="M93:M102" si="72">IF(I93&gt;0,I93/D93,0)</f>
        <v>0</v>
      </c>
      <c r="N93" s="650">
        <f t="shared" ref="N93:N102" si="73">IF(J93&gt;0,J93/E93,0)</f>
        <v>0</v>
      </c>
      <c r="O93" s="279"/>
      <c r="P93" s="279">
        <f t="shared" ref="P93:P94" si="74">+(D93-C93)*P$10</f>
        <v>0</v>
      </c>
      <c r="Q93" s="279">
        <f t="shared" ref="Q93:Q94" si="75">+(E93-D93)*Q$10</f>
        <v>0</v>
      </c>
      <c r="R93" s="279">
        <f t="shared" ref="R93:R94" si="76">+(F93-E93)*R$10</f>
        <v>0</v>
      </c>
      <c r="S93" s="279">
        <f t="shared" ref="S93:S102" si="77">+P93*P$10+Q93*Q$10+R93*R$10</f>
        <v>0</v>
      </c>
      <c r="T93" s="284">
        <f t="shared" ref="T93:T94" si="78">IF(C93=0,0,+S93/C93)</f>
        <v>0</v>
      </c>
      <c r="U93" s="120"/>
      <c r="V93" s="196">
        <f t="shared" ref="V93:V94" si="79">+S93-E93+C93</f>
        <v>0</v>
      </c>
    </row>
    <row r="94" spans="1:24" ht="12.75" customHeight="1" x14ac:dyDescent="0.25">
      <c r="A94" s="14"/>
      <c r="B94" s="20"/>
      <c r="C94" s="275"/>
      <c r="D94" s="274"/>
      <c r="E94" s="274"/>
      <c r="F94" s="274"/>
      <c r="G94" s="274"/>
      <c r="H94" s="274"/>
      <c r="I94" s="302"/>
      <c r="J94" s="274"/>
      <c r="K94" s="274"/>
      <c r="L94" s="659">
        <f t="shared" si="71"/>
        <v>0</v>
      </c>
      <c r="M94" s="659">
        <f t="shared" si="72"/>
        <v>0</v>
      </c>
      <c r="N94" s="659">
        <f t="shared" si="73"/>
        <v>0</v>
      </c>
      <c r="O94" s="274"/>
      <c r="P94" s="81">
        <f t="shared" si="74"/>
        <v>0</v>
      </c>
      <c r="Q94" s="81">
        <f t="shared" si="75"/>
        <v>0</v>
      </c>
      <c r="R94" s="81">
        <f t="shared" si="76"/>
        <v>0</v>
      </c>
      <c r="S94" s="81">
        <f t="shared" si="77"/>
        <v>0</v>
      </c>
      <c r="T94" s="283">
        <f t="shared" si="78"/>
        <v>0</v>
      </c>
      <c r="U94" s="120"/>
      <c r="V94" s="196">
        <f t="shared" si="79"/>
        <v>0</v>
      </c>
    </row>
    <row r="95" spans="1:24" s="42" customFormat="1" ht="12.75" customHeight="1" x14ac:dyDescent="0.25">
      <c r="A95" s="4" t="s">
        <v>284</v>
      </c>
      <c r="B95" s="3" t="s">
        <v>285</v>
      </c>
      <c r="C95" s="279">
        <f>SUM(C96:C98)</f>
        <v>3610000</v>
      </c>
      <c r="D95" s="279">
        <f>SUM(D96:D98)</f>
        <v>3610000</v>
      </c>
      <c r="E95" s="279">
        <f>SUM(E96:E98)</f>
        <v>3610000</v>
      </c>
      <c r="F95" s="279">
        <f>SUM(F96:F98)</f>
        <v>0</v>
      </c>
      <c r="G95" s="279"/>
      <c r="H95" s="279">
        <f>SUM(H96:H98)</f>
        <v>1730005</v>
      </c>
      <c r="I95" s="279">
        <f>+I96+I97+I98</f>
        <v>2811829</v>
      </c>
      <c r="J95" s="279">
        <f>+J96+J97+J98</f>
        <v>0</v>
      </c>
      <c r="K95" s="279"/>
      <c r="L95" s="650">
        <f t="shared" si="71"/>
        <v>0.4792257617728532</v>
      </c>
      <c r="M95" s="650">
        <f t="shared" si="72"/>
        <v>0.77890000000000004</v>
      </c>
      <c r="N95" s="650">
        <f t="shared" si="73"/>
        <v>0</v>
      </c>
      <c r="O95" s="279"/>
      <c r="P95" s="279">
        <f t="shared" si="22"/>
        <v>0</v>
      </c>
      <c r="Q95" s="279">
        <f t="shared" si="23"/>
        <v>0</v>
      </c>
      <c r="R95" s="279">
        <f t="shared" si="24"/>
        <v>0</v>
      </c>
      <c r="S95" s="279">
        <f t="shared" si="77"/>
        <v>0</v>
      </c>
      <c r="T95" s="284">
        <f t="shared" si="70"/>
        <v>0</v>
      </c>
      <c r="U95" s="120"/>
      <c r="V95" s="196">
        <f t="shared" si="55"/>
        <v>0</v>
      </c>
    </row>
    <row r="96" spans="1:24" ht="27" customHeight="1" x14ac:dyDescent="0.25">
      <c r="A96" s="485" t="s">
        <v>548</v>
      </c>
      <c r="B96" s="20" t="s">
        <v>296</v>
      </c>
      <c r="C96" s="275">
        <f>300000+3000000</f>
        <v>3300000</v>
      </c>
      <c r="D96" s="275">
        <f>300000+3000000</f>
        <v>3300000</v>
      </c>
      <c r="E96" s="275">
        <v>3300000</v>
      </c>
      <c r="F96" s="275"/>
      <c r="G96" s="275"/>
      <c r="H96" s="274">
        <f>10000+1545106</f>
        <v>1555106</v>
      </c>
      <c r="I96" s="274">
        <f>46000+2516974</f>
        <v>2562974</v>
      </c>
      <c r="J96" s="274"/>
      <c r="K96" s="275"/>
      <c r="L96" s="659">
        <f t="shared" si="71"/>
        <v>0.4712442424242424</v>
      </c>
      <c r="M96" s="659">
        <f t="shared" si="72"/>
        <v>0.77665878787878784</v>
      </c>
      <c r="N96" s="659">
        <f t="shared" si="73"/>
        <v>0</v>
      </c>
      <c r="O96" s="275"/>
      <c r="P96" s="81">
        <f t="shared" si="22"/>
        <v>0</v>
      </c>
      <c r="Q96" s="81">
        <f t="shared" si="23"/>
        <v>0</v>
      </c>
      <c r="R96" s="81">
        <f t="shared" si="24"/>
        <v>0</v>
      </c>
      <c r="S96" s="81">
        <f t="shared" si="77"/>
        <v>0</v>
      </c>
      <c r="T96" s="283">
        <f t="shared" si="70"/>
        <v>0</v>
      </c>
      <c r="U96" s="120"/>
      <c r="V96" s="196">
        <f t="shared" si="55"/>
        <v>0</v>
      </c>
    </row>
    <row r="97" spans="1:22" ht="12.75" customHeight="1" x14ac:dyDescent="0.25">
      <c r="A97" s="14" t="s">
        <v>298</v>
      </c>
      <c r="B97" s="20" t="s">
        <v>299</v>
      </c>
      <c r="C97" s="275">
        <v>300000</v>
      </c>
      <c r="D97" s="275">
        <v>300000</v>
      </c>
      <c r="E97" s="275">
        <v>300000</v>
      </c>
      <c r="F97" s="275"/>
      <c r="G97" s="275"/>
      <c r="H97" s="274">
        <v>172249</v>
      </c>
      <c r="I97" s="274">
        <v>245649</v>
      </c>
      <c r="J97" s="274"/>
      <c r="K97" s="275"/>
      <c r="L97" s="659">
        <f t="shared" si="71"/>
        <v>0.57416333333333336</v>
      </c>
      <c r="M97" s="659">
        <f t="shared" si="72"/>
        <v>0.81882999999999995</v>
      </c>
      <c r="N97" s="659">
        <f t="shared" si="73"/>
        <v>0</v>
      </c>
      <c r="O97" s="275"/>
      <c r="P97" s="81">
        <f t="shared" si="22"/>
        <v>0</v>
      </c>
      <c r="Q97" s="81">
        <f t="shared" si="23"/>
        <v>0</v>
      </c>
      <c r="R97" s="81">
        <f t="shared" si="24"/>
        <v>0</v>
      </c>
      <c r="S97" s="81">
        <f t="shared" si="77"/>
        <v>0</v>
      </c>
      <c r="T97" s="283">
        <f t="shared" si="70"/>
        <v>0</v>
      </c>
      <c r="U97" s="120"/>
      <c r="V97" s="196">
        <f t="shared" si="55"/>
        <v>0</v>
      </c>
    </row>
    <row r="98" spans="1:22" ht="26.4" customHeight="1" x14ac:dyDescent="0.25">
      <c r="A98" s="485" t="s">
        <v>546</v>
      </c>
      <c r="B98" s="485" t="s">
        <v>470</v>
      </c>
      <c r="C98" s="275">
        <v>10000</v>
      </c>
      <c r="D98" s="275">
        <v>10000</v>
      </c>
      <c r="E98" s="275">
        <v>10000</v>
      </c>
      <c r="F98" s="275"/>
      <c r="G98" s="275"/>
      <c r="H98" s="274">
        <f>81+2569</f>
        <v>2650</v>
      </c>
      <c r="I98" s="274">
        <f>185+3021</f>
        <v>3206</v>
      </c>
      <c r="J98" s="274"/>
      <c r="K98" s="275"/>
      <c r="L98" s="659">
        <f t="shared" si="71"/>
        <v>0.26500000000000001</v>
      </c>
      <c r="M98" s="659">
        <f t="shared" si="72"/>
        <v>0.3206</v>
      </c>
      <c r="N98" s="659">
        <f t="shared" si="73"/>
        <v>0</v>
      </c>
      <c r="O98" s="275"/>
      <c r="P98" s="81">
        <f t="shared" si="22"/>
        <v>0</v>
      </c>
      <c r="Q98" s="81">
        <f t="shared" si="23"/>
        <v>0</v>
      </c>
      <c r="R98" s="81">
        <f t="shared" si="24"/>
        <v>0</v>
      </c>
      <c r="S98" s="81">
        <f t="shared" si="77"/>
        <v>0</v>
      </c>
      <c r="T98" s="283">
        <f t="shared" si="70"/>
        <v>0</v>
      </c>
      <c r="U98" s="120"/>
      <c r="V98" s="196">
        <f t="shared" si="55"/>
        <v>0</v>
      </c>
    </row>
    <row r="99" spans="1:22" s="42" customFormat="1" ht="12.75" customHeight="1" x14ac:dyDescent="0.25">
      <c r="A99" s="4" t="s">
        <v>333</v>
      </c>
      <c r="B99" s="3" t="s">
        <v>334</v>
      </c>
      <c r="C99" s="279">
        <f>SUM(C100:C101)</f>
        <v>61968000</v>
      </c>
      <c r="D99" s="279">
        <f t="shared" ref="D99:J99" si="80">SUM(D100:D101)</f>
        <v>61968000</v>
      </c>
      <c r="E99" s="279">
        <f t="shared" si="80"/>
        <v>61968000</v>
      </c>
      <c r="F99" s="279">
        <f t="shared" si="80"/>
        <v>0</v>
      </c>
      <c r="G99" s="279"/>
      <c r="H99" s="279">
        <f t="shared" si="80"/>
        <v>35861075</v>
      </c>
      <c r="I99" s="279">
        <f t="shared" si="80"/>
        <v>48347425</v>
      </c>
      <c r="J99" s="279">
        <f t="shared" si="80"/>
        <v>0</v>
      </c>
      <c r="K99" s="279"/>
      <c r="L99" s="650">
        <f t="shared" si="71"/>
        <v>0.57870312096565968</v>
      </c>
      <c r="M99" s="650">
        <f t="shared" si="72"/>
        <v>0.78019986121869356</v>
      </c>
      <c r="N99" s="650">
        <f t="shared" si="73"/>
        <v>0</v>
      </c>
      <c r="O99" s="279"/>
      <c r="P99" s="279">
        <f t="shared" si="22"/>
        <v>0</v>
      </c>
      <c r="Q99" s="279">
        <f t="shared" si="23"/>
        <v>0</v>
      </c>
      <c r="R99" s="279">
        <f t="shared" si="24"/>
        <v>0</v>
      </c>
      <c r="S99" s="279">
        <f t="shared" si="77"/>
        <v>0</v>
      </c>
      <c r="T99" s="284">
        <f t="shared" si="70"/>
        <v>0</v>
      </c>
      <c r="U99" s="120"/>
      <c r="V99" s="196">
        <f t="shared" si="55"/>
        <v>0</v>
      </c>
    </row>
    <row r="100" spans="1:22" ht="12.75" customHeight="1" x14ac:dyDescent="0.25">
      <c r="A100" s="14" t="s">
        <v>359</v>
      </c>
      <c r="B100" s="20" t="s">
        <v>387</v>
      </c>
      <c r="C100" s="275">
        <f>+C105</f>
        <v>59311639</v>
      </c>
      <c r="D100" s="275">
        <v>59311639</v>
      </c>
      <c r="E100" s="275">
        <v>59311639</v>
      </c>
      <c r="F100" s="274"/>
      <c r="G100" s="274"/>
      <c r="H100" s="274">
        <v>33204714</v>
      </c>
      <c r="I100" s="302">
        <v>45691064</v>
      </c>
      <c r="J100" s="274"/>
      <c r="K100" s="274"/>
      <c r="L100" s="659">
        <f t="shared" si="71"/>
        <v>0.55983470630444054</v>
      </c>
      <c r="M100" s="659">
        <f t="shared" si="72"/>
        <v>0.7703557812657984</v>
      </c>
      <c r="N100" s="659">
        <f t="shared" si="73"/>
        <v>0</v>
      </c>
      <c r="O100" s="274"/>
      <c r="P100" s="81">
        <f t="shared" si="22"/>
        <v>0</v>
      </c>
      <c r="Q100" s="81">
        <f t="shared" si="23"/>
        <v>0</v>
      </c>
      <c r="R100" s="81">
        <f t="shared" si="24"/>
        <v>0</v>
      </c>
      <c r="S100" s="81">
        <f t="shared" si="77"/>
        <v>0</v>
      </c>
      <c r="T100" s="283">
        <f t="shared" si="70"/>
        <v>0</v>
      </c>
      <c r="U100" s="120"/>
      <c r="V100" s="196">
        <f t="shared" si="55"/>
        <v>0</v>
      </c>
    </row>
    <row r="101" spans="1:22" ht="12.75" customHeight="1" x14ac:dyDescent="0.25">
      <c r="A101" s="14" t="s">
        <v>347</v>
      </c>
      <c r="B101" s="20" t="s">
        <v>348</v>
      </c>
      <c r="C101" s="583">
        <v>2656361</v>
      </c>
      <c r="D101" s="583">
        <v>2656361</v>
      </c>
      <c r="E101" s="583">
        <v>2656361</v>
      </c>
      <c r="F101" s="274"/>
      <c r="G101" s="274"/>
      <c r="H101" s="583">
        <v>2656361</v>
      </c>
      <c r="I101" s="583">
        <v>2656361</v>
      </c>
      <c r="J101" s="274"/>
      <c r="K101" s="274"/>
      <c r="L101" s="652">
        <f t="shared" si="71"/>
        <v>1</v>
      </c>
      <c r="M101" s="652">
        <f t="shared" si="72"/>
        <v>1</v>
      </c>
      <c r="N101" s="652">
        <f t="shared" si="73"/>
        <v>0</v>
      </c>
      <c r="O101" s="274"/>
      <c r="P101" s="81">
        <f t="shared" si="22"/>
        <v>0</v>
      </c>
      <c r="Q101" s="81">
        <f t="shared" si="23"/>
        <v>0</v>
      </c>
      <c r="R101" s="81">
        <f t="shared" si="24"/>
        <v>0</v>
      </c>
      <c r="S101" s="81">
        <f t="shared" si="77"/>
        <v>0</v>
      </c>
      <c r="T101" s="283">
        <f t="shared" si="70"/>
        <v>0</v>
      </c>
      <c r="U101" s="120"/>
      <c r="V101" s="196">
        <f t="shared" si="55"/>
        <v>0</v>
      </c>
    </row>
    <row r="102" spans="1:22" ht="20.25" customHeight="1" x14ac:dyDescent="0.25">
      <c r="A102" s="476"/>
      <c r="B102" s="474" t="s">
        <v>376</v>
      </c>
      <c r="C102" s="475">
        <f>+C95+C99+C93</f>
        <v>65578000</v>
      </c>
      <c r="D102" s="475">
        <f>+D95+D99+D93</f>
        <v>65578000</v>
      </c>
      <c r="E102" s="475">
        <f>+E95+E99+E93</f>
        <v>65578000</v>
      </c>
      <c r="F102" s="475">
        <f>+F95+F99+F93</f>
        <v>0</v>
      </c>
      <c r="G102" s="475"/>
      <c r="H102" s="475">
        <f>+H95+H99+H93</f>
        <v>37591080</v>
      </c>
      <c r="I102" s="475">
        <f>+I95+I99+I93</f>
        <v>51159254</v>
      </c>
      <c r="J102" s="475">
        <f>+J95+J99+J93</f>
        <v>0</v>
      </c>
      <c r="K102" s="477"/>
      <c r="L102" s="656">
        <f t="shared" si="71"/>
        <v>0.5732269968587026</v>
      </c>
      <c r="M102" s="656">
        <f t="shared" si="72"/>
        <v>0.78012830522431298</v>
      </c>
      <c r="N102" s="656">
        <f t="shared" si="73"/>
        <v>0</v>
      </c>
      <c r="O102" s="477"/>
      <c r="P102" s="481">
        <f t="shared" ref="P102:R102" si="81">+(D102-C102)*P$10</f>
        <v>0</v>
      </c>
      <c r="Q102" s="481">
        <f t="shared" si="81"/>
        <v>0</v>
      </c>
      <c r="R102" s="481">
        <f t="shared" si="81"/>
        <v>0</v>
      </c>
      <c r="S102" s="481">
        <f t="shared" si="77"/>
        <v>0</v>
      </c>
      <c r="T102" s="478">
        <f t="shared" si="70"/>
        <v>0</v>
      </c>
      <c r="U102" s="479"/>
      <c r="V102" s="480">
        <f t="shared" si="55"/>
        <v>0</v>
      </c>
    </row>
    <row r="103" spans="1:22" ht="12.75" customHeight="1" x14ac:dyDescent="0.25">
      <c r="C103" s="278"/>
      <c r="D103" s="278"/>
      <c r="E103" s="278"/>
      <c r="F103" s="278"/>
      <c r="G103" s="278"/>
      <c r="H103" s="278"/>
      <c r="I103" s="278"/>
      <c r="J103" s="278"/>
      <c r="K103" s="278"/>
      <c r="L103" s="670"/>
      <c r="M103" s="670"/>
      <c r="N103" s="670"/>
      <c r="O103" s="278"/>
      <c r="P103" s="282"/>
      <c r="Q103" s="282"/>
      <c r="R103" s="282"/>
      <c r="S103" s="282"/>
    </row>
    <row r="104" spans="1:22" ht="12.75" customHeight="1" x14ac:dyDescent="0.25">
      <c r="C104" s="278"/>
      <c r="D104" s="278"/>
      <c r="E104" s="278"/>
      <c r="F104" s="278"/>
      <c r="G104" s="278"/>
      <c r="H104" s="278"/>
      <c r="I104" s="278"/>
      <c r="J104" s="278"/>
      <c r="K104" s="278"/>
      <c r="L104" s="665"/>
      <c r="M104" s="665"/>
      <c r="N104" s="665"/>
      <c r="O104" s="278"/>
      <c r="P104" s="282"/>
      <c r="Q104" s="282"/>
      <c r="R104" s="282"/>
      <c r="S104" s="282"/>
    </row>
    <row r="105" spans="1:22" ht="12.75" customHeight="1" x14ac:dyDescent="0.25">
      <c r="C105" s="278">
        <f>+C89-C95-C101</f>
        <v>59311639</v>
      </c>
      <c r="D105" s="278"/>
      <c r="E105" s="278"/>
      <c r="F105" s="278"/>
      <c r="G105" s="278"/>
      <c r="H105" s="278"/>
      <c r="I105" s="278"/>
      <c r="J105" s="278"/>
      <c r="K105" s="278"/>
      <c r="L105" s="665"/>
      <c r="M105" s="665"/>
      <c r="N105" s="665"/>
      <c r="O105" s="278"/>
      <c r="P105" s="282"/>
      <c r="Q105" s="282"/>
      <c r="R105" s="282"/>
      <c r="S105" s="282"/>
    </row>
    <row r="106" spans="1:22" ht="12.75" customHeight="1" x14ac:dyDescent="0.25">
      <c r="C106" s="278"/>
      <c r="D106" s="278"/>
      <c r="E106" s="278"/>
      <c r="F106" s="278"/>
      <c r="G106" s="278"/>
      <c r="H106" s="278"/>
      <c r="I106" s="278"/>
      <c r="J106" s="278"/>
      <c r="K106" s="278"/>
      <c r="L106" s="665"/>
      <c r="M106" s="665"/>
      <c r="N106" s="665"/>
      <c r="O106" s="278"/>
      <c r="P106" s="282"/>
      <c r="Q106" s="282"/>
      <c r="R106" s="282"/>
      <c r="S106" s="282"/>
    </row>
    <row r="107" spans="1:22" ht="12.75" customHeight="1" x14ac:dyDescent="0.25">
      <c r="A107" s="59"/>
      <c r="B107" s="59" t="s">
        <v>499</v>
      </c>
      <c r="C107" s="278">
        <f>8838000+14965000+8398000</f>
        <v>32201000</v>
      </c>
      <c r="D107" s="278"/>
      <c r="E107" s="278"/>
      <c r="F107" s="278"/>
      <c r="G107" s="278"/>
      <c r="H107" s="278"/>
      <c r="I107" s="278"/>
      <c r="J107" s="278"/>
      <c r="K107" s="278"/>
      <c r="L107" s="665"/>
      <c r="M107" s="665"/>
      <c r="N107" s="665"/>
      <c r="O107" s="278"/>
      <c r="P107" s="98"/>
      <c r="Q107" s="98"/>
      <c r="R107" s="98"/>
      <c r="S107" s="98"/>
    </row>
    <row r="108" spans="1:22" ht="12.75" customHeight="1" x14ac:dyDescent="0.25">
      <c r="C108" s="98"/>
      <c r="D108" s="98"/>
      <c r="E108" s="98"/>
      <c r="F108" s="98"/>
      <c r="G108" s="98"/>
      <c r="H108" s="98"/>
      <c r="I108" s="98"/>
      <c r="J108" s="98"/>
      <c r="K108" s="98"/>
      <c r="O108" s="98"/>
      <c r="P108" s="98"/>
      <c r="Q108" s="98"/>
      <c r="R108" s="98"/>
      <c r="S108" s="98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66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ÖNK részletező</vt:lpstr>
      <vt:lpstr>B11</vt:lpstr>
      <vt:lpstr>B11 Pót ei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  <vt:lpstr>'ÖNK részletező'!Nyomtatási_terület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Jegyzo</cp:lastModifiedBy>
  <cp:lastPrinted>2019-11-07T11:54:55Z</cp:lastPrinted>
  <dcterms:created xsi:type="dcterms:W3CDTF">2014-01-15T07:36:54Z</dcterms:created>
  <dcterms:modified xsi:type="dcterms:W3CDTF">2019-11-08T11:04:11Z</dcterms:modified>
</cp:coreProperties>
</file>