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375" firstSheet="2" activeTab="2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Dr Gáspár HSZK" sheetId="2" r:id="rId7"/>
    <sheet name="5. Csicsergő" sheetId="3" r:id="rId8"/>
    <sheet name="6. Gólyahír" sheetId="4" r:id="rId9"/>
    <sheet name="7. Polg.Hiv." sheetId="5" r:id="rId10"/>
    <sheet name="8. WAMKK" sheetId="6" r:id="rId11"/>
    <sheet name="9. Közp. Konyha" sheetId="7" r:id="rId12"/>
    <sheet name="ÖNK részletező" sheetId="19" r:id="rId13"/>
    <sheet name="B11" sheetId="20" r:id="rId14"/>
    <sheet name="III.2." sheetId="21" r:id="rId15"/>
  </sheets>
  <definedNames>
    <definedName name="_xlnm.Print_Titles" localSheetId="2">'egységenkénti segédtábla'!$7:$10</definedName>
    <definedName name="_xlnm.Print_Area" localSheetId="4">' 2. Önk. Bevételek'!$A$1:$V$96</definedName>
    <definedName name="_xlnm.Print_Area" localSheetId="3">'1. Sülysáp összesen'!$A$1:$V$41</definedName>
    <definedName name="_xlnm.Print_Area" localSheetId="5">'3. Önk. Kiadások'!$A$1:$V$168</definedName>
    <definedName name="_xlnm.Print_Area" localSheetId="6">'4. Dr Gáspár HSZK'!$A$1:$V$102</definedName>
    <definedName name="_xlnm.Print_Area" localSheetId="7">'5. Csicsergő'!$A$1:$V$102</definedName>
    <definedName name="_xlnm.Print_Area" localSheetId="8">'6. Gólyahír'!$A$1:$V$102</definedName>
    <definedName name="_xlnm.Print_Area" localSheetId="9">'7. Polg.Hiv.'!$A$1:$V$102</definedName>
    <definedName name="_xlnm.Print_Area" localSheetId="10">'8. WAMKK'!$A$1:$V$102</definedName>
    <definedName name="_xlnm.Print_Area" localSheetId="11">'9. Közp. Konyha'!$A$1:$V$102</definedName>
    <definedName name="_xlnm.Print_Area" localSheetId="1">'bevételi segédtábla'!$A$1:$V$144</definedName>
    <definedName name="_xlnm.Print_Area" localSheetId="2">'egységenkénti segédtábla'!$A$1:$T$197</definedName>
    <definedName name="_xlnm.Print_Area" localSheetId="0">'kiadási segédtábla'!$A$1:$V$146</definedName>
  </definedNames>
  <calcPr calcId="152511"/>
</workbook>
</file>

<file path=xl/calcChain.xml><?xml version="1.0" encoding="utf-8"?>
<calcChain xmlns="http://schemas.openxmlformats.org/spreadsheetml/2006/main">
  <c r="E27" i="20" l="1"/>
  <c r="E28" i="20"/>
  <c r="E29" i="20"/>
  <c r="E30" i="20"/>
  <c r="E31" i="20"/>
  <c r="E32" i="20"/>
  <c r="E26" i="20"/>
  <c r="D34" i="20"/>
  <c r="D35" i="20" s="1"/>
  <c r="C34" i="20"/>
  <c r="E34" i="20" s="1"/>
  <c r="B35" i="20"/>
  <c r="E15" i="20"/>
  <c r="E16" i="20"/>
  <c r="E17" i="20"/>
  <c r="E18" i="20"/>
  <c r="E14" i="20"/>
  <c r="C21" i="20"/>
  <c r="E21" i="20" s="1"/>
  <c r="D22" i="20"/>
  <c r="E22" i="20" s="1"/>
  <c r="D21" i="20"/>
  <c r="B22" i="20"/>
  <c r="C35" i="20" l="1"/>
  <c r="E35" i="20" s="1"/>
  <c r="C161" i="9"/>
  <c r="E24" i="9"/>
  <c r="F24" i="9"/>
  <c r="G13" i="9"/>
  <c r="H24" i="9"/>
  <c r="I24" i="9"/>
  <c r="J24" i="9"/>
  <c r="J13" i="9"/>
  <c r="E14" i="9"/>
  <c r="F14" i="9"/>
  <c r="H14" i="9"/>
  <c r="I14" i="9"/>
  <c r="J14" i="9"/>
  <c r="D13" i="9"/>
  <c r="E13" i="9"/>
  <c r="F13" i="9"/>
  <c r="I13" i="9"/>
  <c r="C13" i="9"/>
  <c r="D14" i="9"/>
  <c r="C14" i="9"/>
  <c r="D24" i="9"/>
  <c r="C24" i="9"/>
  <c r="H65" i="10"/>
  <c r="F47" i="10"/>
  <c r="E47" i="10"/>
  <c r="H47" i="10"/>
  <c r="H41" i="10"/>
  <c r="H26" i="10"/>
  <c r="H25" i="10"/>
  <c r="C43" i="10"/>
  <c r="D25" i="10"/>
  <c r="D27" i="10"/>
  <c r="C18" i="21"/>
  <c r="B18" i="21"/>
  <c r="C21" i="21"/>
  <c r="B21" i="21"/>
  <c r="H98" i="6"/>
  <c r="E95" i="3"/>
  <c r="F95" i="3"/>
  <c r="D95" i="3"/>
  <c r="H14" i="5"/>
  <c r="H24" i="5"/>
  <c r="H13" i="5" s="1"/>
  <c r="D13" i="5"/>
  <c r="C13" i="5"/>
  <c r="D14" i="5"/>
  <c r="D24" i="5"/>
  <c r="C24" i="5"/>
  <c r="H13" i="9" l="1"/>
  <c r="I32" i="7"/>
  <c r="J32" i="7"/>
  <c r="H98" i="7"/>
  <c r="H71" i="7"/>
  <c r="I71" i="7"/>
  <c r="J71" i="7"/>
  <c r="H66" i="7"/>
  <c r="I66" i="7"/>
  <c r="J66" i="7"/>
  <c r="H48" i="7"/>
  <c r="H32" i="7" s="1"/>
  <c r="I48" i="7"/>
  <c r="J48" i="7"/>
  <c r="H41" i="7"/>
  <c r="I41" i="7"/>
  <c r="J41" i="7"/>
  <c r="H33" i="7"/>
  <c r="I33" i="7"/>
  <c r="J33" i="7"/>
  <c r="D71" i="7"/>
  <c r="E71" i="7"/>
  <c r="F71" i="7"/>
  <c r="D66" i="7"/>
  <c r="D32" i="7" s="1"/>
  <c r="E66" i="7"/>
  <c r="F66" i="7"/>
  <c r="D48" i="7"/>
  <c r="E48" i="7"/>
  <c r="F48" i="7"/>
  <c r="E32" i="7"/>
  <c r="D33" i="7"/>
  <c r="E33" i="7"/>
  <c r="F33" i="7"/>
  <c r="D41" i="7"/>
  <c r="E41" i="7"/>
  <c r="F41" i="7"/>
  <c r="H98" i="3"/>
  <c r="C104" i="3"/>
  <c r="C110" i="3" s="1"/>
  <c r="H98" i="4"/>
  <c r="H96" i="4"/>
  <c r="E18" i="21"/>
  <c r="E19" i="21" s="1"/>
  <c r="D18" i="21"/>
  <c r="D19" i="21" s="1"/>
  <c r="C19" i="21"/>
  <c r="C23" i="21" s="1"/>
  <c r="B19" i="21"/>
  <c r="B23" i="21" s="1"/>
  <c r="C14" i="21"/>
  <c r="C15" i="21" s="1"/>
  <c r="C13" i="21"/>
  <c r="B13" i="21"/>
  <c r="E14" i="21"/>
  <c r="E15" i="21" s="1"/>
  <c r="D14" i="21"/>
  <c r="D15" i="21" s="1"/>
  <c r="D11" i="21"/>
  <c r="E11" i="21"/>
  <c r="D10" i="21"/>
  <c r="E10" i="21"/>
  <c r="C11" i="21"/>
  <c r="C10" i="21"/>
  <c r="C9" i="21"/>
  <c r="B9" i="21"/>
  <c r="D96" i="4"/>
  <c r="F32" i="7" l="1"/>
  <c r="H98" i="2"/>
  <c r="L16" i="2"/>
  <c r="C59" i="10" l="1"/>
  <c r="J1" i="6" l="1"/>
  <c r="C64" i="6" l="1"/>
  <c r="C31" i="3"/>
  <c r="C19" i="3"/>
  <c r="C15" i="3"/>
  <c r="C19" i="5" l="1"/>
  <c r="C14" i="5" s="1"/>
  <c r="E10" i="20"/>
  <c r="E9" i="20"/>
  <c r="E8" i="20"/>
  <c r="E7" i="20"/>
  <c r="E6" i="20"/>
  <c r="E5" i="20"/>
  <c r="D4" i="20"/>
  <c r="C4" i="20"/>
  <c r="E4" i="20" l="1"/>
  <c r="C36" i="5"/>
  <c r="C25" i="10" l="1"/>
  <c r="E30" i="19" l="1"/>
  <c r="E18" i="19"/>
  <c r="C130" i="9" s="1"/>
  <c r="D18" i="19"/>
  <c r="E5" i="19"/>
  <c r="D5" i="19"/>
  <c r="D17" i="19" s="1"/>
  <c r="C27" i="10" l="1"/>
  <c r="C96" i="4" l="1"/>
  <c r="C33" i="7"/>
  <c r="C41" i="7"/>
  <c r="C48" i="7"/>
  <c r="C66" i="7"/>
  <c r="C71" i="7"/>
  <c r="C32" i="7" l="1"/>
  <c r="C83" i="6"/>
  <c r="C95" i="5"/>
  <c r="C19" i="6" l="1"/>
  <c r="C19" i="4"/>
  <c r="C19" i="7" l="1"/>
  <c r="H2" i="10" l="1"/>
  <c r="H93" i="5" l="1"/>
  <c r="D67" i="3" l="1"/>
  <c r="E67" i="3"/>
  <c r="F67" i="3"/>
  <c r="C67" i="3"/>
  <c r="Q51" i="10" l="1"/>
  <c r="S51" i="10" s="1"/>
  <c r="I43" i="10" l="1"/>
  <c r="E43" i="10" l="1"/>
  <c r="I135" i="9"/>
  <c r="E135" i="9"/>
  <c r="E33" i="6" l="1"/>
  <c r="I99" i="5"/>
  <c r="E99" i="5"/>
  <c r="N26" i="5"/>
  <c r="I95" i="3"/>
  <c r="H95" i="3"/>
  <c r="T98" i="3"/>
  <c r="N98" i="3"/>
  <c r="M98" i="3"/>
  <c r="L98" i="3"/>
  <c r="I67" i="3"/>
  <c r="H67" i="3"/>
  <c r="E34" i="3"/>
  <c r="N29" i="3"/>
  <c r="I83" i="2"/>
  <c r="D93" i="5" l="1"/>
  <c r="E93" i="5"/>
  <c r="H99" i="5"/>
  <c r="M26" i="5"/>
  <c r="D99" i="5"/>
  <c r="H135" i="9"/>
  <c r="D135" i="9"/>
  <c r="M127" i="9"/>
  <c r="N192" i="17" l="1"/>
  <c r="M192" i="17"/>
  <c r="L192" i="17"/>
  <c r="N191" i="17"/>
  <c r="M191" i="17"/>
  <c r="L191" i="17"/>
  <c r="N190" i="17"/>
  <c r="M190" i="17"/>
  <c r="L190" i="17"/>
  <c r="N188" i="17"/>
  <c r="M188" i="17"/>
  <c r="L188" i="17"/>
  <c r="N187" i="17"/>
  <c r="M187" i="17"/>
  <c r="L187" i="17"/>
  <c r="N182" i="17"/>
  <c r="M182" i="17"/>
  <c r="L182" i="17"/>
  <c r="N179" i="17"/>
  <c r="M179" i="17"/>
  <c r="L179" i="17"/>
  <c r="N178" i="17"/>
  <c r="M178" i="17"/>
  <c r="L178" i="17"/>
  <c r="N170" i="17"/>
  <c r="N168" i="17"/>
  <c r="N167" i="17"/>
  <c r="N166" i="17"/>
  <c r="N165" i="17"/>
  <c r="M165" i="17"/>
  <c r="L165" i="17"/>
  <c r="N164" i="17"/>
  <c r="M164" i="17"/>
  <c r="L164" i="17"/>
  <c r="N163" i="17"/>
  <c r="M163" i="17"/>
  <c r="L163" i="17"/>
  <c r="N162" i="17"/>
  <c r="N161" i="17"/>
  <c r="M161" i="17"/>
  <c r="L161" i="17"/>
  <c r="N160" i="17"/>
  <c r="M160" i="17"/>
  <c r="L160" i="17"/>
  <c r="N159" i="17"/>
  <c r="N157" i="17"/>
  <c r="N156" i="17"/>
  <c r="M156" i="17"/>
  <c r="L156" i="17"/>
  <c r="N155" i="17"/>
  <c r="M155" i="17"/>
  <c r="L155" i="17"/>
  <c r="N154" i="17"/>
  <c r="M154" i="17"/>
  <c r="L154" i="17"/>
  <c r="N153" i="17"/>
  <c r="N152" i="17"/>
  <c r="M152" i="17"/>
  <c r="L152" i="17"/>
  <c r="N151" i="17"/>
  <c r="M151" i="17"/>
  <c r="L151" i="17"/>
  <c r="N150" i="17"/>
  <c r="N149" i="17"/>
  <c r="N148" i="17"/>
  <c r="N138" i="17"/>
  <c r="M138" i="17"/>
  <c r="L138" i="17"/>
  <c r="N137" i="17"/>
  <c r="M137" i="17"/>
  <c r="L137" i="17"/>
  <c r="N136" i="17"/>
  <c r="M136" i="17"/>
  <c r="L136" i="17"/>
  <c r="N134" i="17"/>
  <c r="M134" i="17"/>
  <c r="L134" i="17"/>
  <c r="N133" i="17"/>
  <c r="M133" i="17"/>
  <c r="L133" i="17"/>
  <c r="N129" i="17"/>
  <c r="M129" i="17"/>
  <c r="L129" i="17"/>
  <c r="N128" i="17"/>
  <c r="M128" i="17"/>
  <c r="L128" i="17"/>
  <c r="N125" i="17"/>
  <c r="M125" i="17"/>
  <c r="L125" i="17"/>
  <c r="N124" i="17"/>
  <c r="M124" i="17"/>
  <c r="L124" i="17"/>
  <c r="N111" i="17"/>
  <c r="M111" i="17"/>
  <c r="L111" i="17"/>
  <c r="N110" i="17"/>
  <c r="M110" i="17"/>
  <c r="L110" i="17"/>
  <c r="N109" i="17"/>
  <c r="M109" i="17"/>
  <c r="L109" i="17"/>
  <c r="N107" i="17"/>
  <c r="M107" i="17"/>
  <c r="L107" i="17"/>
  <c r="N106" i="17"/>
  <c r="M106" i="17"/>
  <c r="L106" i="17"/>
  <c r="N102" i="17"/>
  <c r="M102" i="17"/>
  <c r="L102" i="17"/>
  <c r="N101" i="17"/>
  <c r="M101" i="17"/>
  <c r="L101" i="17"/>
  <c r="N98" i="17"/>
  <c r="M98" i="17"/>
  <c r="L98" i="17"/>
  <c r="N97" i="17"/>
  <c r="M97" i="17"/>
  <c r="L97" i="17"/>
  <c r="N84" i="17"/>
  <c r="M84" i="17"/>
  <c r="L84" i="17"/>
  <c r="N83" i="17"/>
  <c r="M83" i="17"/>
  <c r="L83" i="17"/>
  <c r="N82" i="17"/>
  <c r="M82" i="17"/>
  <c r="L82" i="17"/>
  <c r="N80" i="17"/>
  <c r="M80" i="17"/>
  <c r="L80" i="17"/>
  <c r="N79" i="17"/>
  <c r="M79" i="17"/>
  <c r="L79" i="17"/>
  <c r="N75" i="17"/>
  <c r="M75" i="17"/>
  <c r="L75" i="17"/>
  <c r="N74" i="17"/>
  <c r="M74" i="17"/>
  <c r="L74" i="17"/>
  <c r="N71" i="17"/>
  <c r="M71" i="17"/>
  <c r="L71" i="17"/>
  <c r="N70" i="17"/>
  <c r="M70" i="17"/>
  <c r="L70" i="17"/>
  <c r="N57" i="17"/>
  <c r="M57" i="17"/>
  <c r="L57" i="17"/>
  <c r="N56" i="17"/>
  <c r="M56" i="17"/>
  <c r="L56" i="17"/>
  <c r="N55" i="17"/>
  <c r="M55" i="17"/>
  <c r="L55" i="17"/>
  <c r="N53" i="17"/>
  <c r="M53" i="17"/>
  <c r="L53" i="17"/>
  <c r="N52" i="17"/>
  <c r="M52" i="17"/>
  <c r="L52" i="17"/>
  <c r="N48" i="17"/>
  <c r="M48" i="17"/>
  <c r="L48" i="17"/>
  <c r="N47" i="17"/>
  <c r="M47" i="17"/>
  <c r="L47" i="17"/>
  <c r="N44" i="17"/>
  <c r="M44" i="17"/>
  <c r="L44" i="17"/>
  <c r="N43" i="17"/>
  <c r="M43" i="17"/>
  <c r="L43" i="17"/>
  <c r="N32" i="17"/>
  <c r="N31" i="17"/>
  <c r="N30" i="17"/>
  <c r="N29" i="17"/>
  <c r="N28" i="17"/>
  <c r="N25" i="17"/>
  <c r="N24" i="17"/>
  <c r="N21" i="17"/>
  <c r="N20" i="17"/>
  <c r="N17" i="17"/>
  <c r="N16" i="17"/>
  <c r="N15" i="17"/>
  <c r="N14" i="17"/>
  <c r="T82" i="5" l="1"/>
  <c r="N82" i="5"/>
  <c r="M82" i="5"/>
  <c r="L82" i="5"/>
  <c r="I107" i="15"/>
  <c r="D107" i="15"/>
  <c r="H186" i="17"/>
  <c r="J180" i="17"/>
  <c r="C86" i="7"/>
  <c r="C107" i="15" s="1"/>
  <c r="D86" i="7"/>
  <c r="D181" i="17" s="1"/>
  <c r="E86" i="7"/>
  <c r="E181" i="17" s="1"/>
  <c r="F86" i="7"/>
  <c r="F181" i="17" s="1"/>
  <c r="H86" i="7"/>
  <c r="L86" i="7" s="1"/>
  <c r="I86" i="7"/>
  <c r="M86" i="7" s="1"/>
  <c r="J86" i="7"/>
  <c r="N86" i="7" s="1"/>
  <c r="L87" i="7"/>
  <c r="M87" i="7"/>
  <c r="N87" i="7"/>
  <c r="T87" i="7"/>
  <c r="L88" i="7"/>
  <c r="M88" i="7"/>
  <c r="N88" i="7"/>
  <c r="T88" i="7"/>
  <c r="T85" i="7"/>
  <c r="N85" i="7"/>
  <c r="M85" i="7"/>
  <c r="L85" i="7"/>
  <c r="T84" i="7"/>
  <c r="N84" i="7"/>
  <c r="M84" i="7"/>
  <c r="L84" i="7"/>
  <c r="J83" i="7"/>
  <c r="J95" i="15" s="1"/>
  <c r="I83" i="7"/>
  <c r="I95" i="15" s="1"/>
  <c r="H83" i="7"/>
  <c r="H180" i="17" s="1"/>
  <c r="F83" i="7"/>
  <c r="F180" i="17" s="1"/>
  <c r="E83" i="7"/>
  <c r="E180" i="17" s="1"/>
  <c r="D83" i="7"/>
  <c r="D180" i="17" s="1"/>
  <c r="C83" i="7"/>
  <c r="C180" i="17" s="1"/>
  <c r="T94" i="7"/>
  <c r="N94" i="7"/>
  <c r="M94" i="7"/>
  <c r="L94" i="7"/>
  <c r="T93" i="7"/>
  <c r="J93" i="7"/>
  <c r="J34" i="16" s="1"/>
  <c r="I93" i="7"/>
  <c r="I34" i="16" s="1"/>
  <c r="H34" i="16"/>
  <c r="F93" i="7"/>
  <c r="F186" i="17" s="1"/>
  <c r="E93" i="7"/>
  <c r="E34" i="16" s="1"/>
  <c r="D34" i="16"/>
  <c r="C93" i="7"/>
  <c r="C34" i="16" s="1"/>
  <c r="V90" i="7"/>
  <c r="V90" i="6"/>
  <c r="J106" i="15"/>
  <c r="I106" i="15"/>
  <c r="H106" i="15"/>
  <c r="F106" i="15"/>
  <c r="E106" i="15"/>
  <c r="D106" i="15"/>
  <c r="C106" i="15"/>
  <c r="J94" i="15"/>
  <c r="F94" i="15"/>
  <c r="C94" i="15"/>
  <c r="J154" i="17"/>
  <c r="I154" i="17"/>
  <c r="H154" i="17"/>
  <c r="J153" i="17"/>
  <c r="F154" i="17"/>
  <c r="E154" i="17"/>
  <c r="D154" i="17"/>
  <c r="F153" i="17"/>
  <c r="C154" i="17"/>
  <c r="C153" i="17"/>
  <c r="J89" i="6"/>
  <c r="F89" i="6"/>
  <c r="N88" i="6"/>
  <c r="M88" i="6"/>
  <c r="L88" i="6"/>
  <c r="N87" i="6"/>
  <c r="M87" i="6"/>
  <c r="L87" i="6"/>
  <c r="L86" i="6"/>
  <c r="J86" i="6"/>
  <c r="I86" i="6"/>
  <c r="H86" i="6"/>
  <c r="F86" i="6"/>
  <c r="E86" i="6"/>
  <c r="D86" i="6"/>
  <c r="C86" i="6"/>
  <c r="N85" i="6"/>
  <c r="M85" i="6"/>
  <c r="L85" i="6"/>
  <c r="N84" i="6"/>
  <c r="M84" i="6"/>
  <c r="L84" i="6"/>
  <c r="J83" i="6"/>
  <c r="N83" i="6" s="1"/>
  <c r="I83" i="6"/>
  <c r="I153" i="17" s="1"/>
  <c r="H83" i="6"/>
  <c r="H153" i="17" s="1"/>
  <c r="F83" i="6"/>
  <c r="E83" i="6"/>
  <c r="E153" i="17" s="1"/>
  <c r="D83" i="6"/>
  <c r="D153" i="17" s="1"/>
  <c r="T82" i="6"/>
  <c r="V90" i="5"/>
  <c r="C93" i="15"/>
  <c r="T88" i="5"/>
  <c r="N88" i="5"/>
  <c r="M88" i="5"/>
  <c r="L88" i="5"/>
  <c r="T87" i="5"/>
  <c r="N87" i="5"/>
  <c r="M87" i="5"/>
  <c r="L87" i="5"/>
  <c r="J86" i="5"/>
  <c r="J127" i="17" s="1"/>
  <c r="I86" i="5"/>
  <c r="I127" i="17" s="1"/>
  <c r="H86" i="5"/>
  <c r="H105" i="15" s="1"/>
  <c r="F86" i="5"/>
  <c r="F127" i="17" s="1"/>
  <c r="E86" i="5"/>
  <c r="E127" i="17" s="1"/>
  <c r="D86" i="5"/>
  <c r="D127" i="17" s="1"/>
  <c r="C86" i="5"/>
  <c r="T86" i="5" s="1"/>
  <c r="T85" i="5"/>
  <c r="N85" i="5"/>
  <c r="M85" i="5"/>
  <c r="L85" i="5"/>
  <c r="M84" i="5"/>
  <c r="L84" i="5"/>
  <c r="N84" i="5"/>
  <c r="J83" i="5"/>
  <c r="J126" i="17" s="1"/>
  <c r="N126" i="17" s="1"/>
  <c r="I83" i="5"/>
  <c r="I93" i="15" s="1"/>
  <c r="H83" i="5"/>
  <c r="H93" i="15" s="1"/>
  <c r="F83" i="5"/>
  <c r="F126" i="17" s="1"/>
  <c r="E83" i="5"/>
  <c r="E93" i="15" s="1"/>
  <c r="D83" i="5"/>
  <c r="D93" i="15" s="1"/>
  <c r="C83" i="5"/>
  <c r="C126" i="17" s="1"/>
  <c r="H104" i="15"/>
  <c r="J92" i="15"/>
  <c r="D31" i="16"/>
  <c r="I105" i="17"/>
  <c r="J99" i="17"/>
  <c r="D100" i="17"/>
  <c r="C99" i="17"/>
  <c r="T94" i="4"/>
  <c r="N94" i="4"/>
  <c r="M94" i="4"/>
  <c r="L94" i="4"/>
  <c r="J93" i="4"/>
  <c r="N93" i="4" s="1"/>
  <c r="I93" i="4"/>
  <c r="M93" i="4" s="1"/>
  <c r="H93" i="4"/>
  <c r="H105" i="17" s="1"/>
  <c r="F93" i="4"/>
  <c r="E93" i="4"/>
  <c r="E31" i="16" s="1"/>
  <c r="D93" i="4"/>
  <c r="D105" i="17" s="1"/>
  <c r="C93" i="4"/>
  <c r="T93" i="4" s="1"/>
  <c r="N88" i="4"/>
  <c r="M88" i="4"/>
  <c r="L88" i="4"/>
  <c r="N87" i="4"/>
  <c r="M87" i="4"/>
  <c r="L87" i="4"/>
  <c r="J86" i="4"/>
  <c r="N86" i="4" s="1"/>
  <c r="I86" i="4"/>
  <c r="M86" i="4" s="1"/>
  <c r="H86" i="4"/>
  <c r="L86" i="4" s="1"/>
  <c r="F86" i="4"/>
  <c r="F100" i="17" s="1"/>
  <c r="D86" i="4"/>
  <c r="D104" i="15" s="1"/>
  <c r="C86" i="4"/>
  <c r="C104" i="15" s="1"/>
  <c r="N85" i="4"/>
  <c r="M85" i="4"/>
  <c r="L85" i="4"/>
  <c r="N84" i="4"/>
  <c r="M84" i="4"/>
  <c r="L84" i="4"/>
  <c r="J83" i="4"/>
  <c r="N83" i="4" s="1"/>
  <c r="I83" i="4"/>
  <c r="I92" i="15" s="1"/>
  <c r="H83" i="4"/>
  <c r="L83" i="4" s="1"/>
  <c r="F83" i="4"/>
  <c r="F99" i="17" s="1"/>
  <c r="C83" i="4"/>
  <c r="C92" i="15" s="1"/>
  <c r="V90" i="4"/>
  <c r="F73" i="17"/>
  <c r="V91" i="3"/>
  <c r="N94" i="3"/>
  <c r="J93" i="3"/>
  <c r="N93" i="3" s="1"/>
  <c r="I93" i="3"/>
  <c r="I78" i="17" s="1"/>
  <c r="H93" i="3"/>
  <c r="H78" i="17" s="1"/>
  <c r="F93" i="3"/>
  <c r="F78" i="17" s="1"/>
  <c r="J84" i="3"/>
  <c r="I84" i="3"/>
  <c r="H84" i="3"/>
  <c r="F84" i="3"/>
  <c r="E84" i="3"/>
  <c r="D84" i="3"/>
  <c r="C84" i="3"/>
  <c r="N85" i="3"/>
  <c r="L85" i="3"/>
  <c r="M85" i="3"/>
  <c r="N88" i="3"/>
  <c r="L88" i="3"/>
  <c r="I87" i="3"/>
  <c r="I103" i="15" s="1"/>
  <c r="J87" i="3"/>
  <c r="J73" i="17" s="1"/>
  <c r="N73" i="17" s="1"/>
  <c r="H87" i="3"/>
  <c r="L87" i="3" s="1"/>
  <c r="F87" i="3"/>
  <c r="F103" i="15" s="1"/>
  <c r="D87" i="3"/>
  <c r="D103" i="15" s="1"/>
  <c r="C87" i="3"/>
  <c r="C103" i="15" s="1"/>
  <c r="G51" i="17"/>
  <c r="N94" i="2"/>
  <c r="L94" i="2"/>
  <c r="J93" i="2"/>
  <c r="N93" i="2" s="1"/>
  <c r="I93" i="2"/>
  <c r="I29" i="16" s="1"/>
  <c r="H93" i="2"/>
  <c r="H29" i="16" s="1"/>
  <c r="F93" i="2"/>
  <c r="F51" i="17" s="1"/>
  <c r="C93" i="2"/>
  <c r="C29" i="16" s="1"/>
  <c r="K46" i="17"/>
  <c r="K45" i="17"/>
  <c r="F90" i="15"/>
  <c r="V82" i="2"/>
  <c r="V88" i="2"/>
  <c r="N87" i="2"/>
  <c r="L87" i="2"/>
  <c r="M87" i="2"/>
  <c r="J86" i="2"/>
  <c r="N86" i="2" s="1"/>
  <c r="H86" i="2"/>
  <c r="H102" i="15" s="1"/>
  <c r="F86" i="2"/>
  <c r="F102" i="15" s="1"/>
  <c r="E86" i="2"/>
  <c r="E46" i="17" s="1"/>
  <c r="D86" i="2"/>
  <c r="D102" i="15" s="1"/>
  <c r="C86" i="2"/>
  <c r="C102" i="15" s="1"/>
  <c r="V85" i="2"/>
  <c r="N84" i="2"/>
  <c r="L84" i="2"/>
  <c r="M84" i="2"/>
  <c r="J83" i="2"/>
  <c r="N83" i="2" s="1"/>
  <c r="H83" i="2"/>
  <c r="H45" i="17" s="1"/>
  <c r="F83" i="2"/>
  <c r="F45" i="17" s="1"/>
  <c r="E83" i="2"/>
  <c r="E45" i="17" s="1"/>
  <c r="D83" i="2"/>
  <c r="D45" i="17" s="1"/>
  <c r="C83" i="2"/>
  <c r="C90" i="15" s="1"/>
  <c r="N127" i="17" l="1"/>
  <c r="F105" i="15"/>
  <c r="C95" i="15"/>
  <c r="J45" i="17"/>
  <c r="N45" i="17" s="1"/>
  <c r="F46" i="17"/>
  <c r="C45" i="17"/>
  <c r="H46" i="17"/>
  <c r="F29" i="16"/>
  <c r="E102" i="15"/>
  <c r="C46" i="17"/>
  <c r="D46" i="17"/>
  <c r="J46" i="17"/>
  <c r="J102" i="15"/>
  <c r="J90" i="15"/>
  <c r="C51" i="17"/>
  <c r="J29" i="16"/>
  <c r="N180" i="17"/>
  <c r="H181" i="17"/>
  <c r="L181" i="17" s="1"/>
  <c r="E107" i="15"/>
  <c r="J107" i="15"/>
  <c r="F95" i="15"/>
  <c r="I181" i="17"/>
  <c r="M181" i="17" s="1"/>
  <c r="F107" i="15"/>
  <c r="C181" i="17"/>
  <c r="J181" i="17"/>
  <c r="N181" i="17" s="1"/>
  <c r="H107" i="15"/>
  <c r="D186" i="17"/>
  <c r="L186" i="17" s="1"/>
  <c r="I186" i="17"/>
  <c r="F34" i="16"/>
  <c r="E186" i="17"/>
  <c r="J186" i="17"/>
  <c r="N186" i="17" s="1"/>
  <c r="N93" i="7"/>
  <c r="C186" i="17"/>
  <c r="I30" i="16"/>
  <c r="F30" i="16"/>
  <c r="J78" i="17"/>
  <c r="M127" i="17"/>
  <c r="L105" i="17"/>
  <c r="C100" i="17"/>
  <c r="H100" i="17"/>
  <c r="L100" i="17" s="1"/>
  <c r="C31" i="16"/>
  <c r="H92" i="15"/>
  <c r="F104" i="15"/>
  <c r="N99" i="17"/>
  <c r="I100" i="17"/>
  <c r="I31" i="16"/>
  <c r="F92" i="15"/>
  <c r="J104" i="15"/>
  <c r="L93" i="4"/>
  <c r="H99" i="17"/>
  <c r="J100" i="17"/>
  <c r="N100" i="17" s="1"/>
  <c r="H31" i="16"/>
  <c r="I104" i="15"/>
  <c r="E105" i="17"/>
  <c r="M105" i="17" s="1"/>
  <c r="J105" i="17"/>
  <c r="N105" i="17" s="1"/>
  <c r="F105" i="17"/>
  <c r="F31" i="16"/>
  <c r="C105" i="17"/>
  <c r="J31" i="16"/>
  <c r="L83" i="7"/>
  <c r="E95" i="15"/>
  <c r="M83" i="6"/>
  <c r="D90" i="15"/>
  <c r="M83" i="7"/>
  <c r="I180" i="17"/>
  <c r="M180" i="17" s="1"/>
  <c r="M153" i="17"/>
  <c r="I94" i="15"/>
  <c r="E94" i="15"/>
  <c r="I99" i="17"/>
  <c r="C73" i="17"/>
  <c r="H73" i="17"/>
  <c r="L73" i="17" s="1"/>
  <c r="H30" i="16"/>
  <c r="N78" i="17"/>
  <c r="D73" i="17"/>
  <c r="I73" i="17"/>
  <c r="J103" i="15"/>
  <c r="H103" i="15"/>
  <c r="J30" i="16"/>
  <c r="E90" i="15"/>
  <c r="H95" i="15"/>
  <c r="L180" i="17"/>
  <c r="D95" i="15"/>
  <c r="L153" i="17"/>
  <c r="H94" i="15"/>
  <c r="D94" i="15"/>
  <c r="L83" i="5"/>
  <c r="H126" i="17"/>
  <c r="L45" i="17"/>
  <c r="H90" i="15"/>
  <c r="C127" i="17"/>
  <c r="L86" i="5"/>
  <c r="D126" i="17"/>
  <c r="I105" i="15"/>
  <c r="D105" i="15"/>
  <c r="H127" i="17"/>
  <c r="L127" i="17" s="1"/>
  <c r="F93" i="15"/>
  <c r="I126" i="17"/>
  <c r="J105" i="15"/>
  <c r="E105" i="15"/>
  <c r="N83" i="7"/>
  <c r="M93" i="7"/>
  <c r="L93" i="7"/>
  <c r="M86" i="6"/>
  <c r="L83" i="6"/>
  <c r="N86" i="6"/>
  <c r="T86" i="6"/>
  <c r="T87" i="6"/>
  <c r="T88" i="6"/>
  <c r="T85" i="6"/>
  <c r="J93" i="15"/>
  <c r="E126" i="17"/>
  <c r="C105" i="15"/>
  <c r="N86" i="5"/>
  <c r="M86" i="5"/>
  <c r="N83" i="5"/>
  <c r="M83" i="5"/>
  <c r="D83" i="4"/>
  <c r="M83" i="4"/>
  <c r="H51" i="17"/>
  <c r="I51" i="17"/>
  <c r="J51" i="17"/>
  <c r="N51" i="17" s="1"/>
  <c r="L94" i="3"/>
  <c r="C93" i="3"/>
  <c r="E87" i="3"/>
  <c r="M88" i="3"/>
  <c r="L93" i="2"/>
  <c r="M94" i="2"/>
  <c r="D93" i="2"/>
  <c r="L83" i="2"/>
  <c r="L86" i="2"/>
  <c r="I86" i="2"/>
  <c r="F13" i="7"/>
  <c r="H13" i="7"/>
  <c r="J13" i="7"/>
  <c r="E13" i="6"/>
  <c r="F13" i="6"/>
  <c r="H13" i="6"/>
  <c r="J13" i="6"/>
  <c r="C13" i="6"/>
  <c r="E13" i="5"/>
  <c r="F13" i="5"/>
  <c r="J13" i="5"/>
  <c r="D13" i="4"/>
  <c r="E13" i="4"/>
  <c r="F13" i="4"/>
  <c r="H13" i="4"/>
  <c r="J13" i="4"/>
  <c r="K13" i="4"/>
  <c r="C13" i="4"/>
  <c r="E13" i="3"/>
  <c r="F13" i="3"/>
  <c r="H13" i="3"/>
  <c r="J13" i="3"/>
  <c r="C13" i="3"/>
  <c r="F13" i="2"/>
  <c r="H13" i="2"/>
  <c r="J13" i="2"/>
  <c r="C13" i="2"/>
  <c r="L126" i="17" l="1"/>
  <c r="L46" i="17"/>
  <c r="N46" i="17"/>
  <c r="M186" i="17"/>
  <c r="D92" i="15"/>
  <c r="D99" i="17"/>
  <c r="L99" i="17" s="1"/>
  <c r="E73" i="17"/>
  <c r="M73" i="17" s="1"/>
  <c r="E103" i="15"/>
  <c r="C30" i="16"/>
  <c r="C78" i="17"/>
  <c r="M86" i="2"/>
  <c r="I102" i="15"/>
  <c r="I46" i="17"/>
  <c r="M46" i="17" s="1"/>
  <c r="M83" i="2"/>
  <c r="I45" i="17"/>
  <c r="M45" i="17" s="1"/>
  <c r="I90" i="15"/>
  <c r="M126" i="17"/>
  <c r="E83" i="4"/>
  <c r="E86" i="4"/>
  <c r="D29" i="16"/>
  <c r="D51" i="17"/>
  <c r="L51" i="17" s="1"/>
  <c r="D93" i="3"/>
  <c r="M94" i="3"/>
  <c r="L93" i="3"/>
  <c r="M87" i="3"/>
  <c r="E93" i="2"/>
  <c r="M93" i="2"/>
  <c r="T192" i="17"/>
  <c r="T191" i="17"/>
  <c r="T190" i="17"/>
  <c r="T188" i="17"/>
  <c r="T187" i="17"/>
  <c r="T183" i="17"/>
  <c r="T182" i="17"/>
  <c r="T179" i="17"/>
  <c r="T178" i="17"/>
  <c r="T165" i="17"/>
  <c r="T164" i="17"/>
  <c r="T163" i="17"/>
  <c r="T161" i="17"/>
  <c r="T160" i="17"/>
  <c r="T156" i="17"/>
  <c r="T155" i="17"/>
  <c r="T152" i="17"/>
  <c r="T151" i="17"/>
  <c r="T138" i="17"/>
  <c r="T137" i="17"/>
  <c r="T136" i="17"/>
  <c r="T134" i="17"/>
  <c r="T133" i="17"/>
  <c r="T129" i="17"/>
  <c r="T128" i="17"/>
  <c r="T125" i="17"/>
  <c r="T124" i="17"/>
  <c r="T111" i="17"/>
  <c r="T110" i="17"/>
  <c r="T109" i="17"/>
  <c r="T107" i="17"/>
  <c r="T106" i="17"/>
  <c r="T102" i="17"/>
  <c r="T101" i="17"/>
  <c r="T98" i="17"/>
  <c r="T97" i="17"/>
  <c r="T84" i="17"/>
  <c r="T83" i="17"/>
  <c r="T82" i="17"/>
  <c r="T80" i="17"/>
  <c r="T79" i="17"/>
  <c r="T75" i="17"/>
  <c r="T74" i="17"/>
  <c r="T71" i="17"/>
  <c r="T70" i="17"/>
  <c r="T57" i="17"/>
  <c r="T56" i="17"/>
  <c r="T55" i="17"/>
  <c r="T53" i="17"/>
  <c r="T52" i="17"/>
  <c r="T48" i="17"/>
  <c r="T47" i="17"/>
  <c r="T44" i="17"/>
  <c r="T43" i="17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N72" i="17" s="1"/>
  <c r="H72" i="17"/>
  <c r="F72" i="17"/>
  <c r="E72" i="17"/>
  <c r="D72" i="17"/>
  <c r="C72" i="17"/>
  <c r="J175" i="17"/>
  <c r="H175" i="17"/>
  <c r="F175" i="17"/>
  <c r="J148" i="17"/>
  <c r="H148" i="17"/>
  <c r="F148" i="17"/>
  <c r="E148" i="17"/>
  <c r="C148" i="17"/>
  <c r="J121" i="17"/>
  <c r="N121" i="17" s="1"/>
  <c r="H121" i="17"/>
  <c r="F121" i="17"/>
  <c r="E121" i="17"/>
  <c r="C121" i="17"/>
  <c r="J94" i="17"/>
  <c r="H94" i="17"/>
  <c r="F94" i="17"/>
  <c r="E94" i="17"/>
  <c r="D94" i="17"/>
  <c r="C94" i="17"/>
  <c r="J67" i="17"/>
  <c r="H67" i="17"/>
  <c r="F67" i="17"/>
  <c r="E67" i="17"/>
  <c r="C67" i="17"/>
  <c r="J40" i="17"/>
  <c r="N40" i="17" s="1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N194" i="17" s="1"/>
  <c r="H194" i="17"/>
  <c r="F194" i="17"/>
  <c r="E194" i="17"/>
  <c r="D194" i="17"/>
  <c r="C194" i="17"/>
  <c r="J167" i="17"/>
  <c r="I167" i="17"/>
  <c r="H167" i="17"/>
  <c r="F167" i="17"/>
  <c r="E167" i="17"/>
  <c r="D167" i="17"/>
  <c r="C167" i="17"/>
  <c r="J140" i="17"/>
  <c r="N140" i="17" s="1"/>
  <c r="I140" i="17"/>
  <c r="H140" i="17"/>
  <c r="F140" i="17"/>
  <c r="E140" i="17"/>
  <c r="D140" i="17"/>
  <c r="C140" i="17"/>
  <c r="J113" i="17"/>
  <c r="I113" i="17"/>
  <c r="H113" i="17"/>
  <c r="F113" i="17"/>
  <c r="C113" i="17"/>
  <c r="J86" i="17"/>
  <c r="I86" i="17"/>
  <c r="H86" i="17"/>
  <c r="F86" i="17"/>
  <c r="C86" i="17"/>
  <c r="J59" i="17"/>
  <c r="I59" i="17"/>
  <c r="H59" i="17"/>
  <c r="F59" i="17"/>
  <c r="C59" i="17"/>
  <c r="J32" i="17"/>
  <c r="J31" i="17" s="1"/>
  <c r="I32" i="17"/>
  <c r="H32" i="17"/>
  <c r="F32" i="17"/>
  <c r="F31" i="17" s="1"/>
  <c r="E32" i="17"/>
  <c r="C32" i="17"/>
  <c r="J30" i="17"/>
  <c r="F30" i="17"/>
  <c r="J29" i="17"/>
  <c r="F29" i="17"/>
  <c r="J28" i="17"/>
  <c r="F28" i="17"/>
  <c r="C135" i="17"/>
  <c r="J27" i="17"/>
  <c r="J26" i="17"/>
  <c r="J25" i="17"/>
  <c r="F25" i="17"/>
  <c r="C159" i="17"/>
  <c r="J132" i="17"/>
  <c r="N132" i="17" s="1"/>
  <c r="H132" i="17"/>
  <c r="F132" i="17"/>
  <c r="E132" i="17"/>
  <c r="D132" i="17"/>
  <c r="J24" i="17"/>
  <c r="G24" i="17"/>
  <c r="F24" i="17"/>
  <c r="J1" i="17"/>
  <c r="J16" i="11"/>
  <c r="J15" i="11"/>
  <c r="J14" i="11"/>
  <c r="J12" i="11"/>
  <c r="J11" i="11"/>
  <c r="F11" i="11"/>
  <c r="F14" i="11"/>
  <c r="F15" i="11"/>
  <c r="F16" i="11"/>
  <c r="J64" i="16"/>
  <c r="C68" i="16"/>
  <c r="J19" i="16"/>
  <c r="J18" i="16"/>
  <c r="J17" i="16"/>
  <c r="J15" i="16"/>
  <c r="J14" i="16"/>
  <c r="F19" i="16"/>
  <c r="F18" i="16"/>
  <c r="F17" i="16"/>
  <c r="F14" i="16"/>
  <c r="J130" i="16"/>
  <c r="H130" i="16"/>
  <c r="J129" i="16"/>
  <c r="I129" i="16"/>
  <c r="H129" i="16"/>
  <c r="J128" i="16"/>
  <c r="I128" i="16"/>
  <c r="H128" i="16"/>
  <c r="J127" i="16"/>
  <c r="I127" i="16"/>
  <c r="H127" i="16"/>
  <c r="J126" i="16"/>
  <c r="I126" i="16"/>
  <c r="H126" i="16"/>
  <c r="J125" i="16"/>
  <c r="I125" i="16"/>
  <c r="H125" i="16"/>
  <c r="J124" i="16"/>
  <c r="I124" i="16"/>
  <c r="H124" i="16"/>
  <c r="F130" i="16"/>
  <c r="F129" i="16"/>
  <c r="F128" i="16"/>
  <c r="F127" i="16"/>
  <c r="F126" i="16"/>
  <c r="F125" i="16"/>
  <c r="F124" i="16"/>
  <c r="E130" i="16"/>
  <c r="D130" i="16"/>
  <c r="E129" i="16"/>
  <c r="D129" i="16"/>
  <c r="E128" i="16"/>
  <c r="D128" i="16"/>
  <c r="E124" i="16"/>
  <c r="J112" i="16"/>
  <c r="F112" i="16"/>
  <c r="A132" i="16"/>
  <c r="C130" i="16"/>
  <c r="C129" i="16"/>
  <c r="C128" i="16"/>
  <c r="C127" i="16"/>
  <c r="C126" i="16"/>
  <c r="C125" i="16"/>
  <c r="C124" i="16"/>
  <c r="A120" i="16"/>
  <c r="J100" i="16"/>
  <c r="J108" i="16" s="1"/>
  <c r="F100" i="16"/>
  <c r="B99" i="16"/>
  <c r="F108" i="16"/>
  <c r="A108" i="16"/>
  <c r="A96" i="16"/>
  <c r="J88" i="16"/>
  <c r="J96" i="16" s="1"/>
  <c r="F88" i="16"/>
  <c r="F96" i="16" s="1"/>
  <c r="B87" i="16"/>
  <c r="J76" i="16"/>
  <c r="J84" i="16" s="1"/>
  <c r="F76" i="16"/>
  <c r="F84" i="16" s="1"/>
  <c r="B75" i="16"/>
  <c r="B63" i="16"/>
  <c r="A84" i="16"/>
  <c r="A72" i="16"/>
  <c r="A36" i="16"/>
  <c r="A48" i="16"/>
  <c r="A60" i="16"/>
  <c r="J52" i="16"/>
  <c r="J60" i="16" s="1"/>
  <c r="B51" i="16"/>
  <c r="J40" i="16"/>
  <c r="J48" i="16" s="1"/>
  <c r="F40" i="16"/>
  <c r="F48" i="16" s="1"/>
  <c r="B39" i="16"/>
  <c r="J32" i="16"/>
  <c r="H32" i="16"/>
  <c r="J28" i="16"/>
  <c r="F28" i="16"/>
  <c r="D32" i="16"/>
  <c r="E32" i="16"/>
  <c r="F32" i="16"/>
  <c r="C33" i="16"/>
  <c r="B27" i="16"/>
  <c r="J142" i="16"/>
  <c r="I142" i="16"/>
  <c r="H142" i="16"/>
  <c r="F142" i="16"/>
  <c r="E142" i="16"/>
  <c r="J141" i="16"/>
  <c r="I141" i="16"/>
  <c r="H141" i="16"/>
  <c r="F141" i="16"/>
  <c r="E141" i="16"/>
  <c r="D141" i="16"/>
  <c r="J140" i="16"/>
  <c r="I140" i="16"/>
  <c r="H140" i="16"/>
  <c r="F140" i="16"/>
  <c r="J139" i="16"/>
  <c r="I139" i="16"/>
  <c r="H139" i="16"/>
  <c r="F139" i="16"/>
  <c r="E139" i="16"/>
  <c r="D139" i="16"/>
  <c r="J138" i="16"/>
  <c r="I138" i="16"/>
  <c r="H138" i="16"/>
  <c r="F138" i="16"/>
  <c r="J137" i="16"/>
  <c r="I137" i="16"/>
  <c r="H137" i="16"/>
  <c r="F137" i="16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V23" i="16"/>
  <c r="T23" i="16"/>
  <c r="R8" i="16"/>
  <c r="P8" i="16"/>
  <c r="J1" i="16"/>
  <c r="J40" i="10"/>
  <c r="I40" i="10"/>
  <c r="H40" i="10"/>
  <c r="D40" i="10"/>
  <c r="E40" i="10"/>
  <c r="F40" i="10"/>
  <c r="C40" i="10"/>
  <c r="J25" i="10"/>
  <c r="F25" i="10"/>
  <c r="J14" i="10"/>
  <c r="I14" i="10"/>
  <c r="H14" i="10"/>
  <c r="F14" i="10"/>
  <c r="C14" i="10"/>
  <c r="C13" i="10" s="1"/>
  <c r="L194" i="17" l="1"/>
  <c r="N59" i="17"/>
  <c r="N175" i="17"/>
  <c r="N113" i="17"/>
  <c r="N94" i="17"/>
  <c r="E104" i="15"/>
  <c r="E100" i="17"/>
  <c r="M100" i="17" s="1"/>
  <c r="L132" i="17"/>
  <c r="M140" i="17"/>
  <c r="M20" i="17"/>
  <c r="L20" i="17"/>
  <c r="M167" i="17"/>
  <c r="E92" i="15"/>
  <c r="E99" i="17"/>
  <c r="M99" i="17" s="1"/>
  <c r="N86" i="17"/>
  <c r="D30" i="16"/>
  <c r="D78" i="17"/>
  <c r="L78" i="17" s="1"/>
  <c r="N67" i="17"/>
  <c r="L167" i="17"/>
  <c r="L140" i="17"/>
  <c r="L94" i="17"/>
  <c r="L72" i="17"/>
  <c r="M32" i="17"/>
  <c r="E51" i="17"/>
  <c r="M51" i="17" s="1"/>
  <c r="E29" i="16"/>
  <c r="M93" i="3"/>
  <c r="E93" i="3"/>
  <c r="T94" i="2"/>
  <c r="A11" i="17"/>
  <c r="B105" i="17"/>
  <c r="B132" i="17" s="1"/>
  <c r="B159" i="17" s="1"/>
  <c r="B79" i="17"/>
  <c r="B106" i="17" s="1"/>
  <c r="B133" i="17" s="1"/>
  <c r="B160" i="17" s="1"/>
  <c r="B187" i="17" s="1"/>
  <c r="J33" i="17"/>
  <c r="C132" i="16"/>
  <c r="F132" i="16"/>
  <c r="H132" i="16"/>
  <c r="J132" i="16"/>
  <c r="H143" i="16"/>
  <c r="H21" i="16" s="1"/>
  <c r="I143" i="16"/>
  <c r="I21" i="16" s="1"/>
  <c r="N17" i="16"/>
  <c r="J143" i="16"/>
  <c r="J21" i="16" s="1"/>
  <c r="F143" i="16"/>
  <c r="F21" i="16" s="1"/>
  <c r="N19" i="16"/>
  <c r="N14" i="16"/>
  <c r="F48" i="4"/>
  <c r="C48" i="4"/>
  <c r="J48" i="4"/>
  <c r="H48" i="4"/>
  <c r="E30" i="16" l="1"/>
  <c r="E78" i="17"/>
  <c r="M78" i="17" s="1"/>
  <c r="T94" i="3"/>
  <c r="T93" i="2"/>
  <c r="B186" i="17"/>
  <c r="B84" i="17"/>
  <c r="B111" i="17" s="1"/>
  <c r="B138" i="17" s="1"/>
  <c r="N18" i="16"/>
  <c r="E13" i="2"/>
  <c r="D95" i="7"/>
  <c r="E95" i="7"/>
  <c r="F95" i="7"/>
  <c r="J95" i="7"/>
  <c r="C95" i="7"/>
  <c r="E99" i="7"/>
  <c r="E118" i="16" s="1"/>
  <c r="F99" i="7"/>
  <c r="H99" i="7"/>
  <c r="J99" i="7"/>
  <c r="D99" i="6"/>
  <c r="D117" i="16" s="1"/>
  <c r="E99" i="6"/>
  <c r="E117" i="16" s="1"/>
  <c r="F99" i="6"/>
  <c r="H99" i="6"/>
  <c r="I99" i="6"/>
  <c r="J99" i="6"/>
  <c r="D29" i="6"/>
  <c r="D46" i="15" s="1"/>
  <c r="E29" i="6"/>
  <c r="E149" i="17" s="1"/>
  <c r="F29" i="6"/>
  <c r="F149" i="17" s="1"/>
  <c r="H29" i="6"/>
  <c r="J29" i="6"/>
  <c r="J149" i="17" s="1"/>
  <c r="C29" i="6"/>
  <c r="D33" i="6"/>
  <c r="F33" i="6"/>
  <c r="F32" i="6" s="1"/>
  <c r="F150" i="17" s="1"/>
  <c r="H33" i="6"/>
  <c r="J33" i="6"/>
  <c r="J32" i="6" s="1"/>
  <c r="J150" i="17" s="1"/>
  <c r="C33" i="6"/>
  <c r="E41" i="6"/>
  <c r="F41" i="6"/>
  <c r="H41" i="6"/>
  <c r="I41" i="6"/>
  <c r="J41" i="6"/>
  <c r="C41" i="6"/>
  <c r="D48" i="6"/>
  <c r="E48" i="6"/>
  <c r="F48" i="6"/>
  <c r="H48" i="6"/>
  <c r="J48" i="6"/>
  <c r="C48" i="6"/>
  <c r="D66" i="6"/>
  <c r="E66" i="6"/>
  <c r="F66" i="6"/>
  <c r="J66" i="6"/>
  <c r="C66" i="6"/>
  <c r="E71" i="6"/>
  <c r="F71" i="6"/>
  <c r="H71" i="6"/>
  <c r="J71" i="6"/>
  <c r="C71" i="6"/>
  <c r="D33" i="5"/>
  <c r="E33" i="5"/>
  <c r="F33" i="5"/>
  <c r="F32" i="5" s="1"/>
  <c r="F123" i="17" s="1"/>
  <c r="H33" i="5"/>
  <c r="J33" i="5"/>
  <c r="C33" i="5"/>
  <c r="E71" i="5"/>
  <c r="F71" i="5"/>
  <c r="H71" i="5"/>
  <c r="J71" i="5"/>
  <c r="C71" i="5"/>
  <c r="D66" i="5"/>
  <c r="E66" i="5"/>
  <c r="F66" i="5"/>
  <c r="H66" i="5"/>
  <c r="J66" i="5"/>
  <c r="C66" i="5"/>
  <c r="D48" i="5"/>
  <c r="E48" i="5"/>
  <c r="F48" i="5"/>
  <c r="H48" i="5"/>
  <c r="J48" i="5"/>
  <c r="C48" i="5"/>
  <c r="D41" i="5"/>
  <c r="E41" i="5"/>
  <c r="F41" i="5"/>
  <c r="H41" i="5"/>
  <c r="J41" i="5"/>
  <c r="C41" i="5"/>
  <c r="D29" i="5"/>
  <c r="D122" i="17" s="1"/>
  <c r="E29" i="5"/>
  <c r="E224" i="9" s="1"/>
  <c r="F29" i="5"/>
  <c r="H29" i="5"/>
  <c r="J29" i="5"/>
  <c r="C29" i="5"/>
  <c r="C45" i="15" s="1"/>
  <c r="F99" i="4"/>
  <c r="H99" i="4"/>
  <c r="I99" i="4"/>
  <c r="J99" i="4"/>
  <c r="F71" i="4"/>
  <c r="H71" i="4"/>
  <c r="J71" i="4"/>
  <c r="C71" i="4"/>
  <c r="D41" i="4"/>
  <c r="E41" i="4"/>
  <c r="F41" i="4"/>
  <c r="H41" i="4"/>
  <c r="J41" i="4"/>
  <c r="C41" i="4"/>
  <c r="J33" i="4"/>
  <c r="H33" i="4"/>
  <c r="E33" i="4"/>
  <c r="F33" i="4"/>
  <c r="C33" i="4"/>
  <c r="J29" i="4"/>
  <c r="J44" i="15" s="1"/>
  <c r="H29" i="4"/>
  <c r="F29" i="4"/>
  <c r="C29" i="4"/>
  <c r="C44" i="15" s="1"/>
  <c r="J99" i="3"/>
  <c r="I99" i="3"/>
  <c r="H99" i="3"/>
  <c r="H102" i="3" s="1"/>
  <c r="F99" i="3"/>
  <c r="J95" i="3"/>
  <c r="J102" i="3" s="1"/>
  <c r="F102" i="3"/>
  <c r="C95" i="3"/>
  <c r="T95" i="3" s="1"/>
  <c r="J29" i="2"/>
  <c r="J41" i="17" s="1"/>
  <c r="H29" i="2"/>
  <c r="D29" i="2"/>
  <c r="D41" i="17" s="1"/>
  <c r="E29" i="2"/>
  <c r="E42" i="15" s="1"/>
  <c r="F29" i="2"/>
  <c r="F221" i="9" s="1"/>
  <c r="C29" i="2"/>
  <c r="J99" i="2"/>
  <c r="I99" i="2"/>
  <c r="H99" i="2"/>
  <c r="F99" i="2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V24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F46" i="15"/>
  <c r="H44" i="15"/>
  <c r="D42" i="15"/>
  <c r="C42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C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C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H225" i="9"/>
  <c r="F225" i="9"/>
  <c r="D224" i="9"/>
  <c r="D221" i="9"/>
  <c r="C221" i="9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7" i="9"/>
  <c r="C216" i="9"/>
  <c r="C215" i="9"/>
  <c r="C214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J32" i="5" l="1"/>
  <c r="J123" i="17" s="1"/>
  <c r="N123" i="17" s="1"/>
  <c r="C224" i="9"/>
  <c r="J42" i="15"/>
  <c r="J221" i="9"/>
  <c r="J223" i="9"/>
  <c r="E32" i="6"/>
  <c r="E45" i="15"/>
  <c r="I102" i="3"/>
  <c r="C32" i="6"/>
  <c r="C150" i="17" s="1"/>
  <c r="E32" i="5"/>
  <c r="E123" i="17" s="1"/>
  <c r="E40" i="17"/>
  <c r="C41" i="17"/>
  <c r="C32" i="5"/>
  <c r="C123" i="17" s="1"/>
  <c r="D45" i="15"/>
  <c r="H32" i="5"/>
  <c r="H123" i="17" s="1"/>
  <c r="C189" i="17"/>
  <c r="C70" i="16"/>
  <c r="J118" i="16"/>
  <c r="J193" i="17"/>
  <c r="E193" i="17"/>
  <c r="D70" i="16"/>
  <c r="D189" i="17"/>
  <c r="H118" i="16"/>
  <c r="H193" i="17"/>
  <c r="F102" i="7"/>
  <c r="F70" i="16"/>
  <c r="F189" i="17"/>
  <c r="F118" i="16"/>
  <c r="F193" i="17"/>
  <c r="J102" i="7"/>
  <c r="J189" i="17"/>
  <c r="J70" i="16"/>
  <c r="E102" i="7"/>
  <c r="E189" i="17"/>
  <c r="E70" i="16"/>
  <c r="I117" i="16"/>
  <c r="I166" i="17"/>
  <c r="C225" i="9"/>
  <c r="C149" i="17"/>
  <c r="F157" i="17"/>
  <c r="J117" i="16"/>
  <c r="J166" i="17"/>
  <c r="E166" i="17"/>
  <c r="J46" i="15"/>
  <c r="D225" i="9"/>
  <c r="D149" i="17"/>
  <c r="H166" i="17"/>
  <c r="H117" i="16"/>
  <c r="J157" i="17"/>
  <c r="D166" i="17"/>
  <c r="E225" i="9"/>
  <c r="J225" i="9"/>
  <c r="E46" i="15"/>
  <c r="H46" i="15"/>
  <c r="H149" i="17"/>
  <c r="F166" i="17"/>
  <c r="F117" i="16"/>
  <c r="F45" i="15"/>
  <c r="F122" i="17"/>
  <c r="F130" i="17" s="1"/>
  <c r="F89" i="5"/>
  <c r="J224" i="9"/>
  <c r="J89" i="5"/>
  <c r="J122" i="17"/>
  <c r="E122" i="17"/>
  <c r="H45" i="15"/>
  <c r="H122" i="17"/>
  <c r="L122" i="17" s="1"/>
  <c r="H224" i="9"/>
  <c r="C122" i="17"/>
  <c r="C223" i="9"/>
  <c r="J95" i="17"/>
  <c r="N95" i="17" s="1"/>
  <c r="C95" i="17"/>
  <c r="F44" i="15"/>
  <c r="F95" i="17"/>
  <c r="J115" i="16"/>
  <c r="J112" i="17"/>
  <c r="H223" i="9"/>
  <c r="H95" i="17"/>
  <c r="F115" i="16"/>
  <c r="F112" i="17"/>
  <c r="I112" i="17"/>
  <c r="I115" i="16"/>
  <c r="F223" i="9"/>
  <c r="H115" i="16"/>
  <c r="H112" i="17"/>
  <c r="T93" i="3"/>
  <c r="J145" i="15"/>
  <c r="J36" i="11" s="1"/>
  <c r="F114" i="16"/>
  <c r="F85" i="17"/>
  <c r="E66" i="16"/>
  <c r="E81" i="17"/>
  <c r="J66" i="16"/>
  <c r="J81" i="17"/>
  <c r="J85" i="17"/>
  <c r="J114" i="16"/>
  <c r="D81" i="17"/>
  <c r="D66" i="16"/>
  <c r="C81" i="17"/>
  <c r="C66" i="16"/>
  <c r="H81" i="17"/>
  <c r="L81" i="17" s="1"/>
  <c r="H66" i="16"/>
  <c r="H85" i="17"/>
  <c r="H114" i="16"/>
  <c r="F81" i="17"/>
  <c r="F66" i="16"/>
  <c r="I81" i="17"/>
  <c r="I66" i="16"/>
  <c r="I114" i="16"/>
  <c r="I85" i="17"/>
  <c r="H145" i="15"/>
  <c r="H22" i="15" s="1"/>
  <c r="F145" i="15"/>
  <c r="I145" i="15"/>
  <c r="I58" i="17"/>
  <c r="I113" i="16"/>
  <c r="E221" i="9"/>
  <c r="E41" i="17"/>
  <c r="F113" i="16"/>
  <c r="F58" i="17"/>
  <c r="J113" i="16"/>
  <c r="J58" i="17"/>
  <c r="H221" i="9"/>
  <c r="H41" i="17"/>
  <c r="L41" i="17" s="1"/>
  <c r="H58" i="17"/>
  <c r="H113" i="16"/>
  <c r="F42" i="15"/>
  <c r="F41" i="17"/>
  <c r="N41" i="17" s="1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L149" i="17" l="1"/>
  <c r="N58" i="17"/>
  <c r="N193" i="17"/>
  <c r="J195" i="17"/>
  <c r="N189" i="17"/>
  <c r="N81" i="17"/>
  <c r="J130" i="17"/>
  <c r="N130" i="17" s="1"/>
  <c r="N122" i="17"/>
  <c r="N112" i="17"/>
  <c r="E89" i="5"/>
  <c r="C89" i="5"/>
  <c r="M166" i="17"/>
  <c r="M81" i="17"/>
  <c r="N85" i="17"/>
  <c r="L166" i="17"/>
  <c r="E150" i="17"/>
  <c r="E89" i="6"/>
  <c r="C157" i="17"/>
  <c r="C89" i="6"/>
  <c r="C105" i="6" s="1"/>
  <c r="C100" i="6" s="1"/>
  <c r="E130" i="17"/>
  <c r="H130" i="17"/>
  <c r="C130" i="17"/>
  <c r="H89" i="5"/>
  <c r="E195" i="17"/>
  <c r="F195" i="17"/>
  <c r="F87" i="17"/>
  <c r="I87" i="17"/>
  <c r="J87" i="17"/>
  <c r="H87" i="17"/>
  <c r="B192" i="17"/>
  <c r="H36" i="11"/>
  <c r="J22" i="15"/>
  <c r="I36" i="11"/>
  <c r="I22" i="15"/>
  <c r="F36" i="11"/>
  <c r="N36" i="11" s="1"/>
  <c r="F22" i="15"/>
  <c r="C141" i="16" l="1"/>
  <c r="C142" i="15"/>
  <c r="C99" i="6"/>
  <c r="N195" i="17"/>
  <c r="N87" i="17"/>
  <c r="E157" i="17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C117" i="16" l="1"/>
  <c r="C166" i="17"/>
  <c r="T14" i="7"/>
  <c r="T16" i="7"/>
  <c r="T17" i="7"/>
  <c r="T20" i="7"/>
  <c r="T22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4" i="7"/>
  <c r="T75" i="7"/>
  <c r="T76" i="7"/>
  <c r="T77" i="7"/>
  <c r="T78" i="7"/>
  <c r="T79" i="7"/>
  <c r="T81" i="7"/>
  <c r="T82" i="7"/>
  <c r="T95" i="7"/>
  <c r="T96" i="7"/>
  <c r="T100" i="7"/>
  <c r="N101" i="7"/>
  <c r="N100" i="7"/>
  <c r="N98" i="7"/>
  <c r="N97" i="7"/>
  <c r="N96" i="7"/>
  <c r="N80" i="7"/>
  <c r="N74" i="7"/>
  <c r="N67" i="7"/>
  <c r="N64" i="7"/>
  <c r="N62" i="7"/>
  <c r="N58" i="7"/>
  <c r="N49" i="7"/>
  <c r="N46" i="7"/>
  <c r="N42" i="7"/>
  <c r="N34" i="7"/>
  <c r="N30" i="7"/>
  <c r="N23" i="7"/>
  <c r="N21" i="7"/>
  <c r="N19" i="7"/>
  <c r="N18" i="7"/>
  <c r="L101" i="7"/>
  <c r="L97" i="7"/>
  <c r="L96" i="7"/>
  <c r="M80" i="7"/>
  <c r="L80" i="7"/>
  <c r="M74" i="7"/>
  <c r="L74" i="7"/>
  <c r="L72" i="7"/>
  <c r="M67" i="7"/>
  <c r="L67" i="7"/>
  <c r="L64" i="7"/>
  <c r="M62" i="7"/>
  <c r="L62" i="7"/>
  <c r="M58" i="7"/>
  <c r="L58" i="7"/>
  <c r="M42" i="7"/>
  <c r="L42" i="7"/>
  <c r="L36" i="7"/>
  <c r="M34" i="7"/>
  <c r="L34" i="7"/>
  <c r="L30" i="7"/>
  <c r="L23" i="7"/>
  <c r="L21" i="7"/>
  <c r="L19" i="7"/>
  <c r="L18" i="7"/>
  <c r="J29" i="7"/>
  <c r="F29" i="7"/>
  <c r="J1" i="7"/>
  <c r="T14" i="6"/>
  <c r="T16" i="6"/>
  <c r="T17" i="6"/>
  <c r="T20" i="6"/>
  <c r="T22" i="6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V68" i="6"/>
  <c r="T70" i="6"/>
  <c r="T73" i="6"/>
  <c r="T74" i="6"/>
  <c r="T75" i="6"/>
  <c r="T76" i="6"/>
  <c r="T77" i="6"/>
  <c r="T78" i="6"/>
  <c r="T79" i="6"/>
  <c r="T81" i="6"/>
  <c r="T93" i="6"/>
  <c r="T94" i="6"/>
  <c r="T98" i="6"/>
  <c r="N101" i="6"/>
  <c r="N100" i="6"/>
  <c r="N98" i="6"/>
  <c r="N97" i="6"/>
  <c r="N96" i="6"/>
  <c r="N94" i="6"/>
  <c r="N80" i="6"/>
  <c r="N74" i="6"/>
  <c r="N72" i="6"/>
  <c r="N69" i="6"/>
  <c r="N67" i="6"/>
  <c r="N64" i="6"/>
  <c r="N62" i="6"/>
  <c r="N58" i="6"/>
  <c r="N56" i="6"/>
  <c r="N49" i="6"/>
  <c r="N36" i="6"/>
  <c r="N34" i="6"/>
  <c r="N30" i="6"/>
  <c r="N23" i="6"/>
  <c r="N21" i="6"/>
  <c r="N19" i="6"/>
  <c r="N15" i="6"/>
  <c r="N13" i="6"/>
  <c r="L101" i="6"/>
  <c r="L100" i="6"/>
  <c r="L98" i="6"/>
  <c r="L97" i="6"/>
  <c r="L94" i="6"/>
  <c r="L80" i="6"/>
  <c r="L74" i="6"/>
  <c r="L67" i="6"/>
  <c r="L64" i="6"/>
  <c r="L62" i="6"/>
  <c r="L58" i="6"/>
  <c r="L56" i="6"/>
  <c r="L49" i="6"/>
  <c r="L36" i="6"/>
  <c r="L34" i="6"/>
  <c r="L30" i="6"/>
  <c r="L23" i="6"/>
  <c r="L21" i="6"/>
  <c r="L19" i="6"/>
  <c r="N99" i="6"/>
  <c r="J95" i="6"/>
  <c r="J93" i="6"/>
  <c r="N29" i="6"/>
  <c r="F95" i="6"/>
  <c r="F93" i="6"/>
  <c r="J1" i="5"/>
  <c r="T16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5" i="5"/>
  <c r="T96" i="5"/>
  <c r="T98" i="5"/>
  <c r="F99" i="5"/>
  <c r="F95" i="5"/>
  <c r="N101" i="5"/>
  <c r="L101" i="5"/>
  <c r="N98" i="5"/>
  <c r="L98" i="5"/>
  <c r="N96" i="5"/>
  <c r="L96" i="5"/>
  <c r="N93" i="5"/>
  <c r="N80" i="5"/>
  <c r="L80" i="5"/>
  <c r="N72" i="5"/>
  <c r="L72" i="5"/>
  <c r="N69" i="5"/>
  <c r="L69" i="5"/>
  <c r="N67" i="5"/>
  <c r="L67" i="5"/>
  <c r="N64" i="5"/>
  <c r="L64" i="5"/>
  <c r="N62" i="5"/>
  <c r="L62" i="5"/>
  <c r="N58" i="5"/>
  <c r="L58" i="5"/>
  <c r="N53" i="5"/>
  <c r="L53" i="5"/>
  <c r="N49" i="5"/>
  <c r="L49" i="5"/>
  <c r="N46" i="5"/>
  <c r="L46" i="5"/>
  <c r="N42" i="5"/>
  <c r="L42" i="5"/>
  <c r="N36" i="5"/>
  <c r="L36" i="5"/>
  <c r="N34" i="5"/>
  <c r="L34" i="5"/>
  <c r="N30" i="5"/>
  <c r="L30" i="5"/>
  <c r="N27" i="5"/>
  <c r="L27" i="5"/>
  <c r="N25" i="5"/>
  <c r="L25" i="5"/>
  <c r="N23" i="5"/>
  <c r="L23" i="5"/>
  <c r="N22" i="5"/>
  <c r="L22" i="5"/>
  <c r="N21" i="5"/>
  <c r="L21" i="5"/>
  <c r="N19" i="5"/>
  <c r="L19" i="5"/>
  <c r="N15" i="5"/>
  <c r="L15" i="5"/>
  <c r="M101" i="5"/>
  <c r="J1" i="4"/>
  <c r="T14" i="4"/>
  <c r="T73" i="4"/>
  <c r="T75" i="4"/>
  <c r="J66" i="4"/>
  <c r="N66" i="4" s="1"/>
  <c r="N41" i="4"/>
  <c r="T98" i="4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4" i="4"/>
  <c r="T22" i="4"/>
  <c r="T20" i="4"/>
  <c r="T18" i="4"/>
  <c r="T17" i="4"/>
  <c r="T97" i="3"/>
  <c r="T96" i="3"/>
  <c r="N101" i="4"/>
  <c r="M101" i="4"/>
  <c r="L101" i="4"/>
  <c r="L100" i="4"/>
  <c r="N98" i="4"/>
  <c r="L98" i="4"/>
  <c r="N97" i="4"/>
  <c r="L97" i="4"/>
  <c r="N96" i="4"/>
  <c r="L96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L74" i="4"/>
  <c r="N73" i="4"/>
  <c r="M73" i="4"/>
  <c r="L73" i="4"/>
  <c r="N72" i="4"/>
  <c r="L72" i="4"/>
  <c r="N70" i="4"/>
  <c r="M70" i="4"/>
  <c r="L70" i="4"/>
  <c r="N69" i="4"/>
  <c r="M69" i="4"/>
  <c r="L69" i="4"/>
  <c r="N68" i="4"/>
  <c r="M68" i="4"/>
  <c r="L68" i="4"/>
  <c r="N67" i="4"/>
  <c r="L67" i="4"/>
  <c r="N65" i="4"/>
  <c r="M65" i="4"/>
  <c r="L65" i="4"/>
  <c r="N64" i="4"/>
  <c r="L64" i="4"/>
  <c r="N63" i="4"/>
  <c r="M63" i="4"/>
  <c r="L63" i="4"/>
  <c r="N62" i="4"/>
  <c r="L62" i="4"/>
  <c r="N61" i="4"/>
  <c r="M61" i="4"/>
  <c r="L61" i="4"/>
  <c r="N60" i="4"/>
  <c r="M60" i="4"/>
  <c r="L60" i="4"/>
  <c r="N59" i="4"/>
  <c r="M59" i="4"/>
  <c r="L59" i="4"/>
  <c r="N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L53" i="4"/>
  <c r="N52" i="4"/>
  <c r="M52" i="4"/>
  <c r="L52" i="4"/>
  <c r="N51" i="4"/>
  <c r="M51" i="4"/>
  <c r="L51" i="4"/>
  <c r="N50" i="4"/>
  <c r="M50" i="4"/>
  <c r="L50" i="4"/>
  <c r="N49" i="4"/>
  <c r="L49" i="4"/>
  <c r="N47" i="4"/>
  <c r="M47" i="4"/>
  <c r="L47" i="4"/>
  <c r="N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L36" i="4"/>
  <c r="N35" i="4"/>
  <c r="M35" i="4"/>
  <c r="L35" i="4"/>
  <c r="N34" i="4"/>
  <c r="L34" i="4"/>
  <c r="N30" i="4"/>
  <c r="L30" i="4"/>
  <c r="N27" i="4"/>
  <c r="L27" i="4"/>
  <c r="N26" i="4"/>
  <c r="M26" i="4"/>
  <c r="L26" i="4"/>
  <c r="N25" i="4"/>
  <c r="M25" i="4"/>
  <c r="L25" i="4"/>
  <c r="N24" i="4"/>
  <c r="M24" i="4"/>
  <c r="L24" i="4"/>
  <c r="N23" i="4"/>
  <c r="L23" i="4"/>
  <c r="N22" i="4"/>
  <c r="M22" i="4"/>
  <c r="L22" i="4"/>
  <c r="N21" i="4"/>
  <c r="L21" i="4"/>
  <c r="N20" i="4"/>
  <c r="M20" i="4"/>
  <c r="L20" i="4"/>
  <c r="N19" i="4"/>
  <c r="L19" i="4"/>
  <c r="N18" i="4"/>
  <c r="M18" i="4"/>
  <c r="L18" i="4"/>
  <c r="N17" i="4"/>
  <c r="M17" i="4"/>
  <c r="L17" i="4"/>
  <c r="N16" i="4"/>
  <c r="M16" i="4"/>
  <c r="L16" i="4"/>
  <c r="N15" i="4"/>
  <c r="L15" i="4"/>
  <c r="N14" i="4"/>
  <c r="M14" i="4"/>
  <c r="L14" i="4"/>
  <c r="F95" i="4"/>
  <c r="F102" i="4" s="1"/>
  <c r="F66" i="4"/>
  <c r="F89" i="7" l="1"/>
  <c r="F5" i="7" s="1"/>
  <c r="F184" i="9" s="1"/>
  <c r="J89" i="7"/>
  <c r="C28" i="16"/>
  <c r="C24" i="17"/>
  <c r="F176" i="17"/>
  <c r="F226" i="9"/>
  <c r="F47" i="15"/>
  <c r="J177" i="17"/>
  <c r="J59" i="15"/>
  <c r="J234" i="9"/>
  <c r="F177" i="17"/>
  <c r="F234" i="9"/>
  <c r="F59" i="15"/>
  <c r="J176" i="17"/>
  <c r="J47" i="15"/>
  <c r="J226" i="9"/>
  <c r="F33" i="16"/>
  <c r="F36" i="16" s="1"/>
  <c r="F13" i="16" s="1"/>
  <c r="F159" i="17"/>
  <c r="N93" i="6"/>
  <c r="J159" i="17"/>
  <c r="J168" i="17" s="1"/>
  <c r="J170" i="17" s="1"/>
  <c r="J33" i="16"/>
  <c r="J36" i="16" s="1"/>
  <c r="J13" i="16" s="1"/>
  <c r="F69" i="16"/>
  <c r="F162" i="17"/>
  <c r="N95" i="6"/>
  <c r="J69" i="16"/>
  <c r="J162" i="17"/>
  <c r="F135" i="17"/>
  <c r="F68" i="16"/>
  <c r="F102" i="5"/>
  <c r="F6" i="5" s="1"/>
  <c r="F116" i="16"/>
  <c r="F120" i="16" s="1"/>
  <c r="F20" i="16" s="1"/>
  <c r="F139" i="17"/>
  <c r="F67" i="16"/>
  <c r="F108" i="17"/>
  <c r="F114" i="17" s="1"/>
  <c r="N32" i="6"/>
  <c r="J58" i="15"/>
  <c r="J233" i="9"/>
  <c r="F233" i="9"/>
  <c r="F58" i="15"/>
  <c r="F232" i="9"/>
  <c r="F57" i="15"/>
  <c r="J5" i="7"/>
  <c r="J6" i="7"/>
  <c r="F6" i="7"/>
  <c r="J102" i="6"/>
  <c r="F102" i="6"/>
  <c r="F6" i="4"/>
  <c r="F32" i="4"/>
  <c r="N177" i="17" l="1"/>
  <c r="F184" i="17"/>
  <c r="F197" i="17" s="1"/>
  <c r="N176" i="17"/>
  <c r="J184" i="17"/>
  <c r="J7" i="7"/>
  <c r="F168" i="17"/>
  <c r="F170" i="17" s="1"/>
  <c r="J10" i="11"/>
  <c r="N13" i="16"/>
  <c r="F10" i="11"/>
  <c r="F141" i="17"/>
  <c r="F143" i="17" s="1"/>
  <c r="F17" i="11"/>
  <c r="F18" i="11"/>
  <c r="F96" i="17"/>
  <c r="F103" i="17" s="1"/>
  <c r="F116" i="17" s="1"/>
  <c r="F89" i="4"/>
  <c r="N5" i="7"/>
  <c r="J184" i="9"/>
  <c r="F7" i="7"/>
  <c r="N6" i="7"/>
  <c r="F5" i="4"/>
  <c r="F181" i="9" s="1"/>
  <c r="F231" i="9"/>
  <c r="F56" i="15"/>
  <c r="N89" i="6"/>
  <c r="J5" i="6"/>
  <c r="F5" i="6"/>
  <c r="F183" i="9" s="1"/>
  <c r="F6" i="6"/>
  <c r="N102" i="6"/>
  <c r="J6" i="6"/>
  <c r="F5" i="5"/>
  <c r="V14" i="3"/>
  <c r="N184" i="17" l="1"/>
  <c r="J197" i="17"/>
  <c r="N197" i="17" s="1"/>
  <c r="N5" i="6"/>
  <c r="J183" i="9"/>
  <c r="F7" i="6"/>
  <c r="F7" i="5"/>
  <c r="F182" i="9"/>
  <c r="F7" i="4"/>
  <c r="J7" i="6"/>
  <c r="N6" i="6"/>
  <c r="L13" i="3"/>
  <c r="N13" i="3"/>
  <c r="K13" i="3"/>
  <c r="O13" i="3"/>
  <c r="N95" i="3"/>
  <c r="M95" i="3"/>
  <c r="T82" i="3"/>
  <c r="T80" i="3"/>
  <c r="T79" i="3"/>
  <c r="T78" i="3"/>
  <c r="T77" i="3"/>
  <c r="T76" i="3"/>
  <c r="T75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51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L15" i="3"/>
  <c r="F42" i="3"/>
  <c r="J1" i="3"/>
  <c r="J1" i="2"/>
  <c r="J1" i="9"/>
  <c r="J1" i="10"/>
  <c r="L82" i="3"/>
  <c r="M82" i="3"/>
  <c r="N82" i="3"/>
  <c r="N101" i="3"/>
  <c r="M101" i="3"/>
  <c r="L101" i="3"/>
  <c r="N97" i="3"/>
  <c r="M97" i="3"/>
  <c r="L97" i="3"/>
  <c r="N96" i="3"/>
  <c r="M96" i="3"/>
  <c r="L96" i="3"/>
  <c r="L84" i="3"/>
  <c r="L81" i="3"/>
  <c r="N80" i="3"/>
  <c r="M80" i="3"/>
  <c r="L80" i="3"/>
  <c r="N79" i="3"/>
  <c r="M79" i="3"/>
  <c r="L79" i="3"/>
  <c r="N78" i="3"/>
  <c r="M78" i="3"/>
  <c r="L78" i="3"/>
  <c r="N77" i="3"/>
  <c r="M77" i="3"/>
  <c r="L77" i="3"/>
  <c r="N76" i="3"/>
  <c r="M76" i="3"/>
  <c r="L76" i="3"/>
  <c r="N75" i="3"/>
  <c r="M75" i="3"/>
  <c r="L75" i="3"/>
  <c r="N74" i="3"/>
  <c r="M74" i="3"/>
  <c r="L74" i="3"/>
  <c r="L73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L65" i="3"/>
  <c r="N64" i="3"/>
  <c r="M64" i="3"/>
  <c r="L64" i="3"/>
  <c r="L63" i="3"/>
  <c r="N62" i="3"/>
  <c r="M62" i="3"/>
  <c r="L62" i="3"/>
  <c r="N61" i="3"/>
  <c r="M61" i="3"/>
  <c r="L61" i="3"/>
  <c r="N60" i="3"/>
  <c r="M60" i="3"/>
  <c r="L60" i="3"/>
  <c r="L59" i="3"/>
  <c r="N58" i="3"/>
  <c r="M58" i="3"/>
  <c r="L58" i="3"/>
  <c r="N57" i="3"/>
  <c r="M57" i="3"/>
  <c r="L57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L50" i="3"/>
  <c r="N48" i="3"/>
  <c r="M48" i="3"/>
  <c r="L48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1" i="3"/>
  <c r="M41" i="3"/>
  <c r="L41" i="3"/>
  <c r="N40" i="3"/>
  <c r="M40" i="3"/>
  <c r="L40" i="3"/>
  <c r="N39" i="3"/>
  <c r="M39" i="3"/>
  <c r="L39" i="3"/>
  <c r="N38" i="3"/>
  <c r="M38" i="3"/>
  <c r="L38" i="3"/>
  <c r="L37" i="3"/>
  <c r="N36" i="3"/>
  <c r="M36" i="3"/>
  <c r="L36" i="3"/>
  <c r="L35" i="3"/>
  <c r="L31" i="3"/>
  <c r="L28" i="3"/>
  <c r="N27" i="3"/>
  <c r="M27" i="3"/>
  <c r="L27" i="3"/>
  <c r="N26" i="3"/>
  <c r="M26" i="3"/>
  <c r="L26" i="3"/>
  <c r="N25" i="3"/>
  <c r="M25" i="3"/>
  <c r="L25" i="3"/>
  <c r="L24" i="3"/>
  <c r="N23" i="3"/>
  <c r="M23" i="3"/>
  <c r="L23" i="3"/>
  <c r="L22" i="3"/>
  <c r="N21" i="3"/>
  <c r="M21" i="3"/>
  <c r="L21" i="3"/>
  <c r="L20" i="3"/>
  <c r="N19" i="3"/>
  <c r="M19" i="3"/>
  <c r="L19" i="3"/>
  <c r="N18" i="3"/>
  <c r="M18" i="3"/>
  <c r="L18" i="3"/>
  <c r="L17" i="3"/>
  <c r="N16" i="3"/>
  <c r="M16" i="3"/>
  <c r="L16" i="3"/>
  <c r="F72" i="3"/>
  <c r="F49" i="3"/>
  <c r="V14" i="2"/>
  <c r="V24" i="2"/>
  <c r="V28" i="2"/>
  <c r="V31" i="2"/>
  <c r="V90" i="2"/>
  <c r="N14" i="11"/>
  <c r="T32" i="10"/>
  <c r="T34" i="10"/>
  <c r="T36" i="10"/>
  <c r="T37" i="10"/>
  <c r="T38" i="10"/>
  <c r="T95" i="10"/>
  <c r="T94" i="10"/>
  <c r="T93" i="10"/>
  <c r="T92" i="10"/>
  <c r="T91" i="10"/>
  <c r="T90" i="10"/>
  <c r="T89" i="10"/>
  <c r="T86" i="10"/>
  <c r="T85" i="10"/>
  <c r="T84" i="10"/>
  <c r="T83" i="10"/>
  <c r="T82" i="10"/>
  <c r="T81" i="10"/>
  <c r="T79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33" i="10"/>
  <c r="T28" i="10"/>
  <c r="T20" i="10"/>
  <c r="T21" i="10"/>
  <c r="T22" i="10"/>
  <c r="T23" i="10"/>
  <c r="T24" i="10"/>
  <c r="T19" i="10"/>
  <c r="N87" i="10"/>
  <c r="N79" i="10"/>
  <c r="N75" i="10"/>
  <c r="N70" i="10"/>
  <c r="N69" i="10"/>
  <c r="N65" i="10"/>
  <c r="N62" i="10"/>
  <c r="N59" i="10"/>
  <c r="N53" i="10"/>
  <c r="N52" i="10"/>
  <c r="N48" i="10"/>
  <c r="N46" i="10"/>
  <c r="N45" i="10"/>
  <c r="N31" i="10"/>
  <c r="N29" i="10"/>
  <c r="N28" i="10"/>
  <c r="N27" i="10"/>
  <c r="N26" i="10"/>
  <c r="N19" i="10"/>
  <c r="N18" i="10"/>
  <c r="N17" i="10"/>
  <c r="N16" i="10"/>
  <c r="N15" i="10"/>
  <c r="L87" i="10"/>
  <c r="L79" i="10"/>
  <c r="L75" i="10"/>
  <c r="L70" i="10"/>
  <c r="L69" i="10"/>
  <c r="L62" i="10"/>
  <c r="L59" i="10"/>
  <c r="L53" i="10"/>
  <c r="L52" i="10"/>
  <c r="L46" i="10"/>
  <c r="L45" i="10"/>
  <c r="L31" i="10"/>
  <c r="L29" i="10"/>
  <c r="L28" i="10"/>
  <c r="L27" i="10"/>
  <c r="L26" i="10"/>
  <c r="L19" i="10"/>
  <c r="L18" i="10"/>
  <c r="L17" i="10"/>
  <c r="L16" i="10"/>
  <c r="L15" i="10"/>
  <c r="J80" i="10"/>
  <c r="J76" i="10"/>
  <c r="J72" i="10"/>
  <c r="J67" i="10"/>
  <c r="J50" i="10"/>
  <c r="J47" i="10"/>
  <c r="J43" i="10"/>
  <c r="J42" i="10" s="1"/>
  <c r="J35" i="10"/>
  <c r="J30" i="10" s="1"/>
  <c r="F43" i="10"/>
  <c r="F42" i="10" s="1"/>
  <c r="F80" i="10"/>
  <c r="F76" i="10"/>
  <c r="F72" i="10"/>
  <c r="F67" i="10"/>
  <c r="F50" i="10"/>
  <c r="F35" i="10"/>
  <c r="F30" i="10" s="1"/>
  <c r="F27" i="17" l="1"/>
  <c r="F64" i="16"/>
  <c r="L95" i="3"/>
  <c r="N16" i="11"/>
  <c r="N15" i="11"/>
  <c r="N11" i="11"/>
  <c r="J13" i="10"/>
  <c r="J39" i="10"/>
  <c r="F13" i="10"/>
  <c r="F39" i="10"/>
  <c r="T98" i="2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0" i="2"/>
  <c r="T25" i="2"/>
  <c r="T26" i="2"/>
  <c r="T27" i="2"/>
  <c r="T166" i="9"/>
  <c r="T165" i="9"/>
  <c r="T164" i="9"/>
  <c r="T163" i="9"/>
  <c r="T162" i="9"/>
  <c r="T160" i="9"/>
  <c r="T159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3" i="9"/>
  <c r="T142" i="9"/>
  <c r="T141" i="9"/>
  <c r="T140" i="9"/>
  <c r="T139" i="9"/>
  <c r="T138" i="9"/>
  <c r="T137" i="9"/>
  <c r="T136" i="9"/>
  <c r="T135" i="9"/>
  <c r="T133" i="9"/>
  <c r="T131" i="9"/>
  <c r="T127" i="9"/>
  <c r="T123" i="9"/>
  <c r="T121" i="9"/>
  <c r="T115" i="9"/>
  <c r="T113" i="9"/>
  <c r="T111" i="9"/>
  <c r="T110" i="9"/>
  <c r="T109" i="9"/>
  <c r="T108" i="9"/>
  <c r="T107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5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20" i="9"/>
  <c r="T17" i="9"/>
  <c r="V14" i="9"/>
  <c r="V24" i="9"/>
  <c r="V28" i="9"/>
  <c r="V31" i="9"/>
  <c r="V80" i="9"/>
  <c r="V119" i="9"/>
  <c r="V128" i="9"/>
  <c r="V134" i="9"/>
  <c r="V144" i="9"/>
  <c r="V167" i="9"/>
  <c r="N101" i="2"/>
  <c r="N81" i="2"/>
  <c r="N80" i="2"/>
  <c r="N79" i="2"/>
  <c r="N78" i="2"/>
  <c r="N77" i="2"/>
  <c r="N76" i="2"/>
  <c r="N75" i="2"/>
  <c r="N74" i="2"/>
  <c r="N73" i="2"/>
  <c r="N70" i="2"/>
  <c r="N69" i="2"/>
  <c r="N68" i="2"/>
  <c r="N67" i="2"/>
  <c r="N65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7" i="2"/>
  <c r="N45" i="2"/>
  <c r="N44" i="2"/>
  <c r="N43" i="2"/>
  <c r="N40" i="2"/>
  <c r="N39" i="2"/>
  <c r="N38" i="2"/>
  <c r="N37" i="2"/>
  <c r="N35" i="2"/>
  <c r="N34" i="2"/>
  <c r="N16" i="2"/>
  <c r="N17" i="2"/>
  <c r="N18" i="2"/>
  <c r="N19" i="2"/>
  <c r="N20" i="2"/>
  <c r="N21" i="2"/>
  <c r="N22" i="2"/>
  <c r="N23" i="2"/>
  <c r="N15" i="2"/>
  <c r="N72" i="2"/>
  <c r="N64" i="2"/>
  <c r="N53" i="2"/>
  <c r="N49" i="2"/>
  <c r="N46" i="2"/>
  <c r="N42" i="2"/>
  <c r="N36" i="2"/>
  <c r="N27" i="2"/>
  <c r="N26" i="2"/>
  <c r="N25" i="2"/>
  <c r="M101" i="2"/>
  <c r="M81" i="2"/>
  <c r="M80" i="2"/>
  <c r="M79" i="2"/>
  <c r="M78" i="2"/>
  <c r="M77" i="2"/>
  <c r="M76" i="2"/>
  <c r="M75" i="2"/>
  <c r="M74" i="2"/>
  <c r="M73" i="2"/>
  <c r="M70" i="2"/>
  <c r="M69" i="2"/>
  <c r="M68" i="2"/>
  <c r="M67" i="2"/>
  <c r="M65" i="2"/>
  <c r="M63" i="2"/>
  <c r="M62" i="2"/>
  <c r="M61" i="2"/>
  <c r="M60" i="2"/>
  <c r="M59" i="2"/>
  <c r="M58" i="2"/>
  <c r="M57" i="2"/>
  <c r="M56" i="2"/>
  <c r="M55" i="2"/>
  <c r="M54" i="2"/>
  <c r="M52" i="2"/>
  <c r="M51" i="2"/>
  <c r="M50" i="2"/>
  <c r="M47" i="2"/>
  <c r="M45" i="2"/>
  <c r="M44" i="2"/>
  <c r="M43" i="2"/>
  <c r="M40" i="2"/>
  <c r="M39" i="2"/>
  <c r="M38" i="2"/>
  <c r="M37" i="2"/>
  <c r="M35" i="2"/>
  <c r="M34" i="2"/>
  <c r="M27" i="2"/>
  <c r="M26" i="2"/>
  <c r="M25" i="2"/>
  <c r="M22" i="2"/>
  <c r="M20" i="2"/>
  <c r="M18" i="2"/>
  <c r="L101" i="2"/>
  <c r="L98" i="2"/>
  <c r="L97" i="2"/>
  <c r="L96" i="2"/>
  <c r="L81" i="2"/>
  <c r="L80" i="2"/>
  <c r="L79" i="2"/>
  <c r="L78" i="2"/>
  <c r="L77" i="2"/>
  <c r="L76" i="2"/>
  <c r="L75" i="2"/>
  <c r="L74" i="2"/>
  <c r="L73" i="2"/>
  <c r="L72" i="2"/>
  <c r="L70" i="2"/>
  <c r="L69" i="2"/>
  <c r="L68" i="2"/>
  <c r="L67" i="2"/>
  <c r="L65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0" i="2"/>
  <c r="L27" i="2"/>
  <c r="M16" i="2"/>
  <c r="M17" i="2"/>
  <c r="L20" i="2"/>
  <c r="L21" i="2"/>
  <c r="L22" i="2"/>
  <c r="L23" i="2"/>
  <c r="L25" i="2"/>
  <c r="L26" i="2"/>
  <c r="L17" i="2"/>
  <c r="L18" i="2"/>
  <c r="L19" i="2"/>
  <c r="L15" i="2"/>
  <c r="F95" i="2"/>
  <c r="F102" i="2" s="1"/>
  <c r="R135" i="9"/>
  <c r="Q135" i="9"/>
  <c r="P135" i="9"/>
  <c r="R82" i="9"/>
  <c r="Q82" i="9"/>
  <c r="N107" i="9"/>
  <c r="N108" i="9"/>
  <c r="N109" i="9"/>
  <c r="N110" i="9"/>
  <c r="N111" i="9"/>
  <c r="N166" i="9"/>
  <c r="N165" i="9"/>
  <c r="N164" i="9"/>
  <c r="N163" i="9"/>
  <c r="N162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3" i="9"/>
  <c r="N142" i="9"/>
  <c r="N141" i="9"/>
  <c r="N140" i="9"/>
  <c r="N139" i="9"/>
  <c r="N138" i="9"/>
  <c r="N137" i="9"/>
  <c r="N136" i="9"/>
  <c r="N135" i="9"/>
  <c r="N133" i="9"/>
  <c r="N132" i="9"/>
  <c r="N131" i="9"/>
  <c r="N130" i="9"/>
  <c r="N127" i="9"/>
  <c r="N126" i="9"/>
  <c r="N125" i="9"/>
  <c r="N124" i="9"/>
  <c r="N123" i="9"/>
  <c r="N122" i="9"/>
  <c r="N121" i="9"/>
  <c r="N118" i="9"/>
  <c r="N116" i="9"/>
  <c r="N115" i="9"/>
  <c r="N114" i="9"/>
  <c r="N112" i="9"/>
  <c r="N88" i="9"/>
  <c r="N82" i="9"/>
  <c r="N78" i="9"/>
  <c r="N72" i="9"/>
  <c r="N67" i="9"/>
  <c r="N64" i="9"/>
  <c r="N62" i="9"/>
  <c r="N60" i="9"/>
  <c r="N58" i="9"/>
  <c r="N56" i="9"/>
  <c r="N51" i="9"/>
  <c r="N40" i="9"/>
  <c r="N36" i="9"/>
  <c r="N34" i="9"/>
  <c r="N19" i="9"/>
  <c r="J145" i="9"/>
  <c r="J129" i="9"/>
  <c r="J120" i="9"/>
  <c r="J106" i="9"/>
  <c r="J81" i="9"/>
  <c r="J32" i="9"/>
  <c r="J29" i="9"/>
  <c r="F145" i="9"/>
  <c r="F129" i="9"/>
  <c r="F120" i="9"/>
  <c r="F106" i="9"/>
  <c r="F81" i="9"/>
  <c r="F32" i="9"/>
  <c r="F29" i="9"/>
  <c r="F52" i="16" l="1"/>
  <c r="F60" i="16" s="1"/>
  <c r="F15" i="16" s="1"/>
  <c r="F26" i="17"/>
  <c r="N26" i="17" s="1"/>
  <c r="N27" i="17"/>
  <c r="F54" i="17"/>
  <c r="F60" i="17" s="1"/>
  <c r="F65" i="16"/>
  <c r="F72" i="16" s="1"/>
  <c r="F16" i="16" s="1"/>
  <c r="R29" i="9"/>
  <c r="F14" i="17"/>
  <c r="F41" i="15"/>
  <c r="R32" i="9"/>
  <c r="F15" i="17"/>
  <c r="F53" i="15"/>
  <c r="R13" i="9"/>
  <c r="F13" i="17"/>
  <c r="F29" i="15"/>
  <c r="F37" i="15" s="1"/>
  <c r="F13" i="15" s="1"/>
  <c r="F27" i="11" s="1"/>
  <c r="R106" i="9"/>
  <c r="F17" i="17"/>
  <c r="F77" i="15"/>
  <c r="J13" i="17"/>
  <c r="N13" i="17" s="1"/>
  <c r="J29" i="15"/>
  <c r="J37" i="15" s="1"/>
  <c r="J13" i="15" s="1"/>
  <c r="J17" i="17"/>
  <c r="J77" i="15"/>
  <c r="Q20" i="17"/>
  <c r="Q113" i="15"/>
  <c r="Q121" i="15" s="1"/>
  <c r="F18" i="17"/>
  <c r="N18" i="17" s="1"/>
  <c r="F89" i="15"/>
  <c r="F97" i="15" s="1"/>
  <c r="F18" i="15" s="1"/>
  <c r="F32" i="11" s="1"/>
  <c r="R20" i="17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J41" i="15"/>
  <c r="F19" i="17"/>
  <c r="N19" i="17" s="1"/>
  <c r="F101" i="15"/>
  <c r="R81" i="9"/>
  <c r="F16" i="17"/>
  <c r="F65" i="15"/>
  <c r="F21" i="17"/>
  <c r="F125" i="15"/>
  <c r="J16" i="17"/>
  <c r="J65" i="15"/>
  <c r="J21" i="17"/>
  <c r="J125" i="15"/>
  <c r="P20" i="17"/>
  <c r="P113" i="15"/>
  <c r="P121" i="15" s="1"/>
  <c r="N10" i="11"/>
  <c r="J195" i="9"/>
  <c r="J197" i="9"/>
  <c r="R145" i="9"/>
  <c r="R21" i="17" s="1"/>
  <c r="F197" i="9"/>
  <c r="R120" i="9"/>
  <c r="F194" i="9"/>
  <c r="R129" i="9"/>
  <c r="F195" i="9"/>
  <c r="S135" i="9"/>
  <c r="J96" i="10"/>
  <c r="J9" i="10" s="1"/>
  <c r="F96" i="10"/>
  <c r="F9" i="10" s="1"/>
  <c r="F32" i="2"/>
  <c r="J168" i="9"/>
  <c r="F168" i="9"/>
  <c r="R168" i="9" s="1"/>
  <c r="F33" i="17" l="1"/>
  <c r="N33" i="17" s="1"/>
  <c r="F12" i="11"/>
  <c r="N12" i="11" s="1"/>
  <c r="N15" i="16"/>
  <c r="F42" i="17"/>
  <c r="F49" i="17" s="1"/>
  <c r="F89" i="2"/>
  <c r="F13" i="11"/>
  <c r="F19" i="11" s="1"/>
  <c r="F22" i="16"/>
  <c r="F9" i="16" s="1"/>
  <c r="F62" i="17"/>
  <c r="R16" i="17"/>
  <c r="R65" i="15"/>
  <c r="R73" i="15" s="1"/>
  <c r="R195" i="9"/>
  <c r="R19" i="17"/>
  <c r="R101" i="15"/>
  <c r="V135" i="9"/>
  <c r="S20" i="17"/>
  <c r="T20" i="17" s="1"/>
  <c r="S113" i="15"/>
  <c r="S121" i="15" s="1"/>
  <c r="J133" i="15"/>
  <c r="J21" i="15" s="1"/>
  <c r="F85" i="15"/>
  <c r="F17" i="15" s="1"/>
  <c r="F31" i="11" s="1"/>
  <c r="F22" i="17"/>
  <c r="F35" i="17" s="1"/>
  <c r="R15" i="17"/>
  <c r="R53" i="15"/>
  <c r="R194" i="9"/>
  <c r="R18" i="17"/>
  <c r="R89" i="15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N32" i="11" s="1"/>
  <c r="N18" i="15"/>
  <c r="J27" i="11"/>
  <c r="N27" i="11" s="1"/>
  <c r="N13" i="15"/>
  <c r="R17" i="17"/>
  <c r="R77" i="15"/>
  <c r="R85" i="15" s="1"/>
  <c r="R13" i="17"/>
  <c r="R29" i="15"/>
  <c r="F73" i="15"/>
  <c r="F16" i="15" s="1"/>
  <c r="F30" i="11" s="1"/>
  <c r="J85" i="15"/>
  <c r="J17" i="15" s="1"/>
  <c r="J22" i="17"/>
  <c r="R14" i="17"/>
  <c r="R41" i="15"/>
  <c r="R197" i="9"/>
  <c r="R125" i="15"/>
  <c r="R133" i="15" s="1"/>
  <c r="F5" i="2"/>
  <c r="F179" i="9" s="1"/>
  <c r="F54" i="15"/>
  <c r="F229" i="9"/>
  <c r="J32" i="2"/>
  <c r="N13" i="2"/>
  <c r="F6" i="2"/>
  <c r="J9" i="9"/>
  <c r="F9" i="9"/>
  <c r="R9" i="9" s="1"/>
  <c r="M79" i="10"/>
  <c r="M70" i="10"/>
  <c r="M69" i="10"/>
  <c r="M65" i="10"/>
  <c r="M62" i="10"/>
  <c r="M21" i="9"/>
  <c r="M34" i="9"/>
  <c r="M36" i="9"/>
  <c r="M40" i="9"/>
  <c r="M44" i="9"/>
  <c r="M47" i="9"/>
  <c r="M51" i="9"/>
  <c r="M54" i="9"/>
  <c r="M56" i="9"/>
  <c r="M60" i="9"/>
  <c r="M62" i="9"/>
  <c r="M67" i="9"/>
  <c r="M72" i="9"/>
  <c r="M78" i="9"/>
  <c r="M83" i="9"/>
  <c r="M87" i="9"/>
  <c r="M88" i="9"/>
  <c r="M91" i="9"/>
  <c r="M92" i="9"/>
  <c r="M112" i="9"/>
  <c r="M118" i="9"/>
  <c r="M122" i="9"/>
  <c r="M124" i="9"/>
  <c r="M125" i="9"/>
  <c r="M126" i="9"/>
  <c r="M132" i="9"/>
  <c r="L30" i="9"/>
  <c r="L34" i="9"/>
  <c r="L36" i="9"/>
  <c r="L40" i="9"/>
  <c r="L44" i="9"/>
  <c r="L47" i="9"/>
  <c r="L51" i="9"/>
  <c r="L56" i="9"/>
  <c r="L58" i="9"/>
  <c r="L60" i="9"/>
  <c r="L62" i="9"/>
  <c r="L67" i="9"/>
  <c r="L70" i="9"/>
  <c r="L78" i="9"/>
  <c r="L82" i="9"/>
  <c r="L112" i="9"/>
  <c r="L114" i="9"/>
  <c r="L116" i="9"/>
  <c r="L122" i="9"/>
  <c r="L124" i="9"/>
  <c r="L125" i="9"/>
  <c r="L126" i="9"/>
  <c r="L130" i="9"/>
  <c r="L132" i="9"/>
  <c r="L15" i="9"/>
  <c r="L16" i="9"/>
  <c r="L19" i="9"/>
  <c r="L21" i="9"/>
  <c r="L27" i="9"/>
  <c r="I32" i="9"/>
  <c r="H129" i="9"/>
  <c r="H120" i="9"/>
  <c r="H106" i="9"/>
  <c r="H81" i="9"/>
  <c r="H32" i="9"/>
  <c r="H29" i="9"/>
  <c r="E84" i="9"/>
  <c r="E85" i="9"/>
  <c r="E86" i="9"/>
  <c r="J35" i="17" l="1"/>
  <c r="N35" i="17" s="1"/>
  <c r="N22" i="17"/>
  <c r="J42" i="17"/>
  <c r="J89" i="2"/>
  <c r="R22" i="17"/>
  <c r="J35" i="11"/>
  <c r="N35" i="11" s="1"/>
  <c r="N21" i="15"/>
  <c r="H16" i="17"/>
  <c r="H65" i="15"/>
  <c r="I15" i="17"/>
  <c r="I53" i="15"/>
  <c r="J31" i="11"/>
  <c r="N31" i="11" s="1"/>
  <c r="N17" i="15"/>
  <c r="J33" i="11"/>
  <c r="N33" i="11" s="1"/>
  <c r="N19" i="15"/>
  <c r="N16" i="15"/>
  <c r="J30" i="11"/>
  <c r="N30" i="11" s="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N21" i="9"/>
  <c r="N47" i="9"/>
  <c r="N91" i="9"/>
  <c r="N54" i="9"/>
  <c r="N90" i="9"/>
  <c r="N70" i="9"/>
  <c r="N87" i="9"/>
  <c r="N83" i="9"/>
  <c r="N44" i="9"/>
  <c r="N92" i="9"/>
  <c r="F7" i="2"/>
  <c r="E81" i="9"/>
  <c r="J49" i="17" l="1"/>
  <c r="N49" i="17" s="1"/>
  <c r="N42" i="17"/>
  <c r="H27" i="11"/>
  <c r="H73" i="15"/>
  <c r="H16" i="15" s="1"/>
  <c r="H109" i="15"/>
  <c r="H19" i="15" s="1"/>
  <c r="E16" i="17"/>
  <c r="E65" i="15"/>
  <c r="H85" i="15"/>
  <c r="H17" i="15" s="1"/>
  <c r="H32" i="11"/>
  <c r="E42" i="10"/>
  <c r="N42" i="10" s="1"/>
  <c r="E30" i="10"/>
  <c r="N35" i="10"/>
  <c r="N81" i="9"/>
  <c r="I30" i="10"/>
  <c r="N47" i="10"/>
  <c r="E50" i="10"/>
  <c r="E67" i="10"/>
  <c r="E72" i="10"/>
  <c r="E76" i="10"/>
  <c r="E80" i="10"/>
  <c r="I80" i="10"/>
  <c r="I76" i="10"/>
  <c r="C72" i="10"/>
  <c r="H72" i="10"/>
  <c r="I72" i="10"/>
  <c r="H67" i="10"/>
  <c r="D67" i="10"/>
  <c r="I67" i="10"/>
  <c r="I50" i="10"/>
  <c r="C47" i="10"/>
  <c r="I47" i="10"/>
  <c r="H43" i="10"/>
  <c r="H42" i="10" s="1"/>
  <c r="I42" i="10"/>
  <c r="L40" i="10"/>
  <c r="H80" i="10"/>
  <c r="H76" i="10"/>
  <c r="L25" i="10"/>
  <c r="I112" i="16" l="1"/>
  <c r="I31" i="17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12" i="16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E31" i="17"/>
  <c r="M31" i="17" s="1"/>
  <c r="E30" i="17"/>
  <c r="M30" i="17" s="1"/>
  <c r="E100" i="16"/>
  <c r="E108" i="16" s="1"/>
  <c r="E19" i="16" s="1"/>
  <c r="E29" i="17"/>
  <c r="M29" i="17" s="1"/>
  <c r="E88" i="16"/>
  <c r="E96" i="16" s="1"/>
  <c r="E18" i="16" s="1"/>
  <c r="E76" i="16"/>
  <c r="E84" i="16" s="1"/>
  <c r="E17" i="16" s="1"/>
  <c r="E28" i="17"/>
  <c r="N50" i="10"/>
  <c r="E27" i="17"/>
  <c r="E64" i="16"/>
  <c r="E40" i="16"/>
  <c r="E48" i="16" s="1"/>
  <c r="E14" i="16" s="1"/>
  <c r="E25" i="17"/>
  <c r="M25" i="17" s="1"/>
  <c r="D76" i="16"/>
  <c r="D84" i="16" s="1"/>
  <c r="D17" i="16" s="1"/>
  <c r="D28" i="17"/>
  <c r="C88" i="16"/>
  <c r="C96" i="16" s="1"/>
  <c r="C18" i="16" s="1"/>
  <c r="C15" i="11" s="1"/>
  <c r="C29" i="17"/>
  <c r="H33" i="11"/>
  <c r="E73" i="15"/>
  <c r="E16" i="15" s="1"/>
  <c r="E30" i="11" s="1"/>
  <c r="H31" i="11"/>
  <c r="H30" i="11"/>
  <c r="N80" i="10"/>
  <c r="N25" i="10"/>
  <c r="N14" i="10"/>
  <c r="N40" i="10"/>
  <c r="L72" i="10"/>
  <c r="H13" i="10"/>
  <c r="H50" i="10"/>
  <c r="L65" i="10"/>
  <c r="N67" i="10"/>
  <c r="H30" i="10"/>
  <c r="L35" i="10"/>
  <c r="N76" i="10"/>
  <c r="N30" i="10"/>
  <c r="L47" i="10"/>
  <c r="L48" i="10"/>
  <c r="N72" i="10"/>
  <c r="I13" i="10"/>
  <c r="E39" i="10"/>
  <c r="M67" i="10"/>
  <c r="E13" i="10"/>
  <c r="M28" i="17" l="1"/>
  <c r="M27" i="17"/>
  <c r="L28" i="17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E16" i="11"/>
  <c r="R19" i="16"/>
  <c r="R16" i="11" s="1"/>
  <c r="M19" i="16"/>
  <c r="E15" i="11"/>
  <c r="M18" i="16"/>
  <c r="R18" i="16"/>
  <c r="R15" i="11" s="1"/>
  <c r="E14" i="11"/>
  <c r="R17" i="16"/>
  <c r="R14" i="11" s="1"/>
  <c r="M17" i="16"/>
  <c r="E11" i="11"/>
  <c r="R14" i="16"/>
  <c r="R11" i="11" s="1"/>
  <c r="M14" i="16"/>
  <c r="D14" i="11"/>
  <c r="L14" i="11" s="1"/>
  <c r="L17" i="16"/>
  <c r="H24" i="17"/>
  <c r="H28" i="16"/>
  <c r="I28" i="16"/>
  <c r="I24" i="17"/>
  <c r="E24" i="17"/>
  <c r="E28" i="16"/>
  <c r="E26" i="17"/>
  <c r="E52" i="16"/>
  <c r="E60" i="16" s="1"/>
  <c r="E15" i="16" s="1"/>
  <c r="N13" i="10"/>
  <c r="R13" i="10"/>
  <c r="N39" i="10"/>
  <c r="E96" i="10"/>
  <c r="N99" i="7"/>
  <c r="N95" i="7"/>
  <c r="N72" i="7"/>
  <c r="N36" i="7"/>
  <c r="E29" i="7"/>
  <c r="E13" i="7"/>
  <c r="M101" i="6"/>
  <c r="M80" i="6"/>
  <c r="M74" i="6"/>
  <c r="M67" i="6"/>
  <c r="M62" i="6"/>
  <c r="M58" i="6"/>
  <c r="M56" i="6"/>
  <c r="M34" i="6"/>
  <c r="E95" i="6"/>
  <c r="E93" i="6"/>
  <c r="E95" i="5"/>
  <c r="E71" i="4"/>
  <c r="E66" i="4"/>
  <c r="E48" i="4"/>
  <c r="E72" i="3"/>
  <c r="E49" i="3"/>
  <c r="D48" i="2"/>
  <c r="H96" i="10" l="1"/>
  <c r="H26" i="17"/>
  <c r="H33" i="17" s="1"/>
  <c r="M24" i="17"/>
  <c r="R28" i="16"/>
  <c r="R24" i="17"/>
  <c r="E12" i="11"/>
  <c r="R15" i="16"/>
  <c r="R12" i="11" s="1"/>
  <c r="E33" i="17"/>
  <c r="E175" i="17"/>
  <c r="E35" i="15"/>
  <c r="E218" i="9"/>
  <c r="N29" i="7"/>
  <c r="E176" i="17"/>
  <c r="E47" i="15"/>
  <c r="E226" i="9"/>
  <c r="E69" i="16"/>
  <c r="E162" i="17"/>
  <c r="E159" i="17"/>
  <c r="E33" i="16"/>
  <c r="E36" i="16" s="1"/>
  <c r="E13" i="16" s="1"/>
  <c r="E135" i="17"/>
  <c r="E68" i="16"/>
  <c r="E213" i="9"/>
  <c r="E30" i="15"/>
  <c r="E233" i="9"/>
  <c r="E58" i="15"/>
  <c r="E232" i="9"/>
  <c r="E57" i="15"/>
  <c r="N13" i="7"/>
  <c r="N15" i="7"/>
  <c r="N94" i="5"/>
  <c r="E32" i="4"/>
  <c r="E96" i="17" s="1"/>
  <c r="N41" i="2"/>
  <c r="N66" i="2"/>
  <c r="N71" i="2"/>
  <c r="N33" i="2"/>
  <c r="N96" i="10"/>
  <c r="E9" i="10"/>
  <c r="N9" i="10" s="1"/>
  <c r="E102" i="6"/>
  <c r="E89" i="7"/>
  <c r="H9" i="10" l="1"/>
  <c r="E168" i="17"/>
  <c r="E170" i="17" s="1"/>
  <c r="E177" i="17"/>
  <c r="E59" i="15"/>
  <c r="E234" i="9"/>
  <c r="E219" i="9"/>
  <c r="E10" i="11"/>
  <c r="R13" i="16"/>
  <c r="R10" i="11" s="1"/>
  <c r="E140" i="16"/>
  <c r="E141" i="15"/>
  <c r="N102" i="7"/>
  <c r="E6" i="7"/>
  <c r="E56" i="15"/>
  <c r="E231" i="9"/>
  <c r="N32" i="7"/>
  <c r="E6" i="6"/>
  <c r="E5" i="6"/>
  <c r="E183" i="9" s="1"/>
  <c r="E116" i="16"/>
  <c r="E5" i="5"/>
  <c r="E95" i="4"/>
  <c r="N48" i="2"/>
  <c r="E95" i="2"/>
  <c r="E32" i="2"/>
  <c r="E184" i="17" l="1"/>
  <c r="E42" i="17"/>
  <c r="E89" i="2"/>
  <c r="E139" i="17"/>
  <c r="E141" i="17" s="1"/>
  <c r="E143" i="17" s="1"/>
  <c r="E67" i="16"/>
  <c r="E108" i="17"/>
  <c r="E54" i="17"/>
  <c r="E65" i="16"/>
  <c r="N89" i="7"/>
  <c r="E5" i="7"/>
  <c r="E184" i="9" s="1"/>
  <c r="E182" i="9"/>
  <c r="E54" i="15"/>
  <c r="E229" i="9"/>
  <c r="E7" i="6"/>
  <c r="E102" i="5"/>
  <c r="E6" i="5" s="1"/>
  <c r="E7" i="5" s="1"/>
  <c r="N32" i="2"/>
  <c r="I66" i="6"/>
  <c r="I71" i="6"/>
  <c r="M64" i="6"/>
  <c r="M64" i="4"/>
  <c r="I41" i="4"/>
  <c r="M65" i="3"/>
  <c r="M63" i="3"/>
  <c r="M50" i="3"/>
  <c r="M73" i="3"/>
  <c r="M97" i="4"/>
  <c r="M74" i="4"/>
  <c r="I67" i="4"/>
  <c r="M58" i="4"/>
  <c r="M62" i="4"/>
  <c r="I53" i="4"/>
  <c r="M53" i="4" s="1"/>
  <c r="I71" i="2"/>
  <c r="M64" i="2"/>
  <c r="M53" i="2"/>
  <c r="M46" i="2"/>
  <c r="M80" i="5"/>
  <c r="M69" i="5"/>
  <c r="M64" i="5"/>
  <c r="M36" i="5"/>
  <c r="I66" i="5"/>
  <c r="M62" i="5"/>
  <c r="M58" i="5"/>
  <c r="I53" i="5"/>
  <c r="M53" i="5" s="1"/>
  <c r="E197" i="17" l="1"/>
  <c r="I71" i="5"/>
  <c r="I71" i="4"/>
  <c r="E49" i="17"/>
  <c r="L69" i="6"/>
  <c r="H66" i="6"/>
  <c r="H32" i="6" s="1"/>
  <c r="M36" i="6"/>
  <c r="I33" i="6"/>
  <c r="M49" i="6"/>
  <c r="I48" i="6"/>
  <c r="I41" i="5"/>
  <c r="I33" i="5"/>
  <c r="M49" i="5"/>
  <c r="I48" i="5"/>
  <c r="I189" i="9"/>
  <c r="E72" i="16"/>
  <c r="E16" i="16" s="1"/>
  <c r="E13" i="11" s="1"/>
  <c r="I48" i="4"/>
  <c r="M34" i="4"/>
  <c r="I33" i="4"/>
  <c r="M35" i="3"/>
  <c r="I34" i="3"/>
  <c r="I72" i="17"/>
  <c r="M72" i="17" s="1"/>
  <c r="I91" i="15"/>
  <c r="I187" i="9"/>
  <c r="M49" i="2"/>
  <c r="I48" i="2"/>
  <c r="M42" i="2"/>
  <c r="I41" i="2"/>
  <c r="M36" i="2"/>
  <c r="I33" i="2"/>
  <c r="E7" i="7"/>
  <c r="M49" i="4"/>
  <c r="M96" i="7"/>
  <c r="M64" i="7"/>
  <c r="M97" i="7"/>
  <c r="L49" i="7"/>
  <c r="M46" i="7"/>
  <c r="M49" i="7"/>
  <c r="L46" i="7"/>
  <c r="M42" i="5"/>
  <c r="M67" i="5"/>
  <c r="M34" i="5"/>
  <c r="M46" i="5"/>
  <c r="M46" i="4"/>
  <c r="I66" i="4"/>
  <c r="M67" i="4"/>
  <c r="N33" i="4"/>
  <c r="N71" i="4"/>
  <c r="N84" i="3"/>
  <c r="M84" i="3"/>
  <c r="N37" i="3"/>
  <c r="M37" i="3"/>
  <c r="N59" i="3"/>
  <c r="M59" i="3"/>
  <c r="N81" i="3"/>
  <c r="N35" i="3"/>
  <c r="N63" i="3"/>
  <c r="N65" i="3"/>
  <c r="E5" i="2"/>
  <c r="E179" i="9" s="1"/>
  <c r="M72" i="6"/>
  <c r="M69" i="6"/>
  <c r="I42" i="3"/>
  <c r="I72" i="3"/>
  <c r="I49" i="3"/>
  <c r="M53" i="10"/>
  <c r="M31" i="10"/>
  <c r="M28" i="10"/>
  <c r="M26" i="10"/>
  <c r="M17" i="10"/>
  <c r="M16" i="10"/>
  <c r="I81" i="9"/>
  <c r="H48" i="2"/>
  <c r="I32" i="6" l="1"/>
  <c r="I150" i="17" s="1"/>
  <c r="M150" i="17" s="1"/>
  <c r="H150" i="17"/>
  <c r="H157" i="17" s="1"/>
  <c r="H89" i="6"/>
  <c r="I177" i="17"/>
  <c r="M177" i="17" s="1"/>
  <c r="I234" i="9"/>
  <c r="I59" i="15"/>
  <c r="I32" i="5"/>
  <c r="I123" i="17" s="1"/>
  <c r="M123" i="17" s="1"/>
  <c r="R16" i="16"/>
  <c r="R13" i="11" s="1"/>
  <c r="I32" i="4"/>
  <c r="I96" i="17" s="1"/>
  <c r="M96" i="17" s="1"/>
  <c r="I16" i="17"/>
  <c r="M16" i="17" s="1"/>
  <c r="I65" i="15"/>
  <c r="N48" i="4"/>
  <c r="J72" i="3"/>
  <c r="N72" i="3" s="1"/>
  <c r="N73" i="3"/>
  <c r="J49" i="3"/>
  <c r="N49" i="3" s="1"/>
  <c r="N50" i="3"/>
  <c r="N34" i="3"/>
  <c r="J42" i="3"/>
  <c r="L64" i="2"/>
  <c r="M19" i="10"/>
  <c r="M27" i="10"/>
  <c r="I33" i="3"/>
  <c r="I69" i="17" s="1"/>
  <c r="I129" i="9"/>
  <c r="M29" i="10"/>
  <c r="I106" i="9"/>
  <c r="I120" i="9"/>
  <c r="I32" i="2"/>
  <c r="I42" i="17" s="1"/>
  <c r="M42" i="17" s="1"/>
  <c r="M98" i="5"/>
  <c r="I96" i="5"/>
  <c r="M96" i="5" s="1"/>
  <c r="I94" i="6"/>
  <c r="M96" i="6"/>
  <c r="M98" i="6"/>
  <c r="I18" i="7"/>
  <c r="I29" i="4"/>
  <c r="M23" i="4"/>
  <c r="M27" i="4"/>
  <c r="M21" i="4"/>
  <c r="M19" i="4"/>
  <c r="M22" i="3"/>
  <c r="M20" i="3"/>
  <c r="M17" i="3"/>
  <c r="M27" i="5"/>
  <c r="M25" i="5"/>
  <c r="M23" i="5"/>
  <c r="M21" i="5"/>
  <c r="M19" i="5"/>
  <c r="M21" i="2"/>
  <c r="I29" i="2"/>
  <c r="M23" i="2"/>
  <c r="M19" i="2"/>
  <c r="I57" i="15" l="1"/>
  <c r="I58" i="15"/>
  <c r="I233" i="9"/>
  <c r="M32" i="6"/>
  <c r="I13" i="6"/>
  <c r="I34" i="15" s="1"/>
  <c r="I232" i="9"/>
  <c r="I13" i="7"/>
  <c r="M101" i="7"/>
  <c r="I194" i="17"/>
  <c r="I130" i="16"/>
  <c r="I99" i="7"/>
  <c r="M30" i="6"/>
  <c r="I29" i="6"/>
  <c r="M29" i="6" s="1"/>
  <c r="M15" i="5"/>
  <c r="I13" i="5"/>
  <c r="M30" i="5"/>
  <c r="I29" i="5"/>
  <c r="I95" i="17"/>
  <c r="I44" i="15"/>
  <c r="I223" i="9"/>
  <c r="M15" i="4"/>
  <c r="I13" i="4"/>
  <c r="I89" i="4" s="1"/>
  <c r="I13" i="3"/>
  <c r="I41" i="17"/>
  <c r="M41" i="17" s="1"/>
  <c r="I42" i="15"/>
  <c r="I221" i="9"/>
  <c r="I13" i="2"/>
  <c r="I89" i="2" s="1"/>
  <c r="I17" i="17"/>
  <c r="I77" i="15"/>
  <c r="I19" i="17"/>
  <c r="I101" i="15"/>
  <c r="I73" i="15"/>
  <c r="I16" i="15" s="1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M18" i="7"/>
  <c r="M19" i="7"/>
  <c r="M21" i="7"/>
  <c r="M23" i="7"/>
  <c r="M30" i="7"/>
  <c r="N32" i="5"/>
  <c r="N29" i="4"/>
  <c r="J95" i="4"/>
  <c r="J102" i="4" s="1"/>
  <c r="N24" i="3"/>
  <c r="M24" i="3"/>
  <c r="J33" i="3"/>
  <c r="J69" i="17" s="1"/>
  <c r="N28" i="3"/>
  <c r="M28" i="3"/>
  <c r="I30" i="3"/>
  <c r="N17" i="3"/>
  <c r="N22" i="3"/>
  <c r="N15" i="3"/>
  <c r="N20" i="3"/>
  <c r="N97" i="2"/>
  <c r="M97" i="2"/>
  <c r="M30" i="2"/>
  <c r="N98" i="2"/>
  <c r="M21" i="6"/>
  <c r="M23" i="6"/>
  <c r="M19" i="6"/>
  <c r="M15" i="6"/>
  <c r="M97" i="6"/>
  <c r="I93" i="6"/>
  <c r="M94" i="6"/>
  <c r="I95" i="5"/>
  <c r="I29" i="7"/>
  <c r="I95" i="6"/>
  <c r="I95" i="4"/>
  <c r="I102" i="4" s="1"/>
  <c r="I95" i="2"/>
  <c r="I102" i="2" s="1"/>
  <c r="I193" i="17" l="1"/>
  <c r="M193" i="17" s="1"/>
  <c r="M194" i="17"/>
  <c r="I89" i="7"/>
  <c r="I5" i="7" s="1"/>
  <c r="I89" i="6"/>
  <c r="I217" i="9"/>
  <c r="I148" i="17"/>
  <c r="M148" i="17" s="1"/>
  <c r="I90" i="3"/>
  <c r="I5" i="3" s="1"/>
  <c r="I180" i="9" s="1"/>
  <c r="I118" i="16"/>
  <c r="I132" i="16"/>
  <c r="I176" i="17"/>
  <c r="M176" i="17" s="1"/>
  <c r="I47" i="15"/>
  <c r="I226" i="9"/>
  <c r="I175" i="17"/>
  <c r="I35" i="15"/>
  <c r="I218" i="9"/>
  <c r="I159" i="17"/>
  <c r="M159" i="17" s="1"/>
  <c r="I33" i="16"/>
  <c r="I149" i="17"/>
  <c r="I225" i="9"/>
  <c r="I46" i="15"/>
  <c r="M95" i="6"/>
  <c r="I162" i="17"/>
  <c r="M162" i="17" s="1"/>
  <c r="I69" i="16"/>
  <c r="I135" i="17"/>
  <c r="M135" i="17" s="1"/>
  <c r="I68" i="16"/>
  <c r="I122" i="17"/>
  <c r="M122" i="17" s="1"/>
  <c r="I45" i="15"/>
  <c r="I224" i="9"/>
  <c r="I89" i="5"/>
  <c r="I121" i="17"/>
  <c r="I216" i="9"/>
  <c r="I33" i="15"/>
  <c r="I108" i="17"/>
  <c r="I67" i="16"/>
  <c r="N95" i="4"/>
  <c r="J67" i="16"/>
  <c r="J108" i="17"/>
  <c r="I94" i="17"/>
  <c r="I32" i="15"/>
  <c r="I215" i="9"/>
  <c r="I68" i="17"/>
  <c r="I43" i="15"/>
  <c r="I222" i="9"/>
  <c r="I67" i="17"/>
  <c r="M67" i="17" s="1"/>
  <c r="I31" i="15"/>
  <c r="I214" i="9"/>
  <c r="I40" i="17"/>
  <c r="I30" i="15"/>
  <c r="I213" i="9"/>
  <c r="I54" i="17"/>
  <c r="I65" i="16"/>
  <c r="I30" i="11"/>
  <c r="M16" i="15"/>
  <c r="I32" i="11"/>
  <c r="I109" i="15"/>
  <c r="I19" i="15" s="1"/>
  <c r="I85" i="15"/>
  <c r="I17" i="15" s="1"/>
  <c r="J55" i="15"/>
  <c r="J230" i="9"/>
  <c r="N29" i="5"/>
  <c r="J95" i="5"/>
  <c r="N13" i="5"/>
  <c r="J30" i="3"/>
  <c r="J90" i="3" s="1"/>
  <c r="N96" i="2"/>
  <c r="J95" i="2"/>
  <c r="J102" i="2" s="1"/>
  <c r="N30" i="2"/>
  <c r="M19" i="9"/>
  <c r="M23" i="9"/>
  <c r="M30" i="9"/>
  <c r="M27" i="9"/>
  <c r="M16" i="9"/>
  <c r="M13" i="6"/>
  <c r="M93" i="6"/>
  <c r="E120" i="9"/>
  <c r="I29" i="9"/>
  <c r="J114" i="17" l="1"/>
  <c r="N114" i="17" s="1"/>
  <c r="N108" i="17"/>
  <c r="I227" i="9"/>
  <c r="I184" i="17"/>
  <c r="M184" i="17" s="1"/>
  <c r="M175" i="17"/>
  <c r="I157" i="17"/>
  <c r="M157" i="17" s="1"/>
  <c r="M149" i="17"/>
  <c r="I130" i="17"/>
  <c r="M130" i="17" s="1"/>
  <c r="M121" i="17"/>
  <c r="I114" i="17"/>
  <c r="M108" i="17"/>
  <c r="I103" i="17"/>
  <c r="M94" i="17"/>
  <c r="I60" i="17"/>
  <c r="M54" i="17"/>
  <c r="I49" i="17"/>
  <c r="M49" i="17" s="1"/>
  <c r="M40" i="17"/>
  <c r="I168" i="17"/>
  <c r="J135" i="17"/>
  <c r="N135" i="17" s="1"/>
  <c r="J68" i="16"/>
  <c r="I219" i="9"/>
  <c r="I76" i="17"/>
  <c r="I89" i="17" s="1"/>
  <c r="J68" i="17"/>
  <c r="J43" i="15"/>
  <c r="J49" i="15" s="1"/>
  <c r="J14" i="15" s="1"/>
  <c r="J222" i="9"/>
  <c r="J227" i="9" s="1"/>
  <c r="N95" i="2"/>
  <c r="J54" i="17"/>
  <c r="J65" i="16"/>
  <c r="I184" i="9"/>
  <c r="I33" i="11"/>
  <c r="I31" i="11"/>
  <c r="I13" i="17"/>
  <c r="I29" i="15"/>
  <c r="I37" i="15" s="1"/>
  <c r="I13" i="15" s="1"/>
  <c r="E18" i="17"/>
  <c r="M18" i="17" s="1"/>
  <c r="E89" i="15"/>
  <c r="E97" i="15" s="1"/>
  <c r="E18" i="15" s="1"/>
  <c r="I14" i="17"/>
  <c r="I41" i="15"/>
  <c r="I49" i="15" s="1"/>
  <c r="I14" i="15" s="1"/>
  <c r="E194" i="9"/>
  <c r="M89" i="6"/>
  <c r="I5" i="6"/>
  <c r="I183" i="9" s="1"/>
  <c r="J5" i="3"/>
  <c r="I5" i="5"/>
  <c r="I182" i="9" s="1"/>
  <c r="N95" i="5"/>
  <c r="N13" i="4"/>
  <c r="N29" i="2"/>
  <c r="N120" i="9"/>
  <c r="I5" i="2"/>
  <c r="I179" i="9" s="1"/>
  <c r="N16" i="9"/>
  <c r="N30" i="9"/>
  <c r="N15" i="9"/>
  <c r="N27" i="9"/>
  <c r="N23" i="9"/>
  <c r="J60" i="17" l="1"/>
  <c r="N54" i="17"/>
  <c r="J76" i="17"/>
  <c r="I170" i="17"/>
  <c r="M170" i="17" s="1"/>
  <c r="M168" i="17"/>
  <c r="I116" i="17"/>
  <c r="I62" i="17"/>
  <c r="J72" i="16"/>
  <c r="J16" i="16" s="1"/>
  <c r="N16" i="16" s="1"/>
  <c r="J28" i="11"/>
  <c r="E32" i="11"/>
  <c r="M18" i="15"/>
  <c r="E13" i="17"/>
  <c r="M13" i="17" s="1"/>
  <c r="E29" i="15"/>
  <c r="E37" i="15" s="1"/>
  <c r="E13" i="15" s="1"/>
  <c r="E27" i="11" s="1"/>
  <c r="I28" i="11"/>
  <c r="I27" i="11"/>
  <c r="N5" i="3"/>
  <c r="J180" i="9"/>
  <c r="J5" i="5"/>
  <c r="J182" i="9" s="1"/>
  <c r="N89" i="5"/>
  <c r="N89" i="2"/>
  <c r="J5" i="2"/>
  <c r="N13" i="9"/>
  <c r="E29" i="9"/>
  <c r="H95" i="7"/>
  <c r="M72" i="7"/>
  <c r="M36" i="7"/>
  <c r="D71" i="6"/>
  <c r="D32" i="6" s="1"/>
  <c r="D13" i="6"/>
  <c r="D93" i="6"/>
  <c r="H93" i="6"/>
  <c r="H95" i="6"/>
  <c r="H95" i="5"/>
  <c r="D95" i="5"/>
  <c r="D102" i="5" s="1"/>
  <c r="C94" i="5"/>
  <c r="D71" i="5"/>
  <c r="D13" i="3"/>
  <c r="P82" i="9"/>
  <c r="S82" i="9" s="1"/>
  <c r="D114" i="9"/>
  <c r="H95" i="4"/>
  <c r="H102" i="4" s="1"/>
  <c r="C95" i="4"/>
  <c r="D48" i="4"/>
  <c r="D33" i="4"/>
  <c r="M33" i="4" s="1"/>
  <c r="L71" i="4"/>
  <c r="D71" i="4"/>
  <c r="D66" i="4"/>
  <c r="M66" i="4" s="1"/>
  <c r="H66" i="4"/>
  <c r="C66" i="4"/>
  <c r="M41" i="4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M40" i="10"/>
  <c r="D49" i="10"/>
  <c r="D29" i="7"/>
  <c r="H29" i="7"/>
  <c r="H30" i="3"/>
  <c r="L99" i="6"/>
  <c r="M13" i="4"/>
  <c r="D29" i="9"/>
  <c r="D120" i="9"/>
  <c r="C81" i="9"/>
  <c r="C76" i="10"/>
  <c r="C32" i="9"/>
  <c r="C29" i="9"/>
  <c r="C29" i="7"/>
  <c r="C120" i="9"/>
  <c r="C129" i="9"/>
  <c r="L29" i="6"/>
  <c r="L29" i="4"/>
  <c r="C30" i="10"/>
  <c r="C80" i="10"/>
  <c r="C95" i="6"/>
  <c r="C67" i="10"/>
  <c r="C51" i="10"/>
  <c r="C50" i="10" s="1"/>
  <c r="D123" i="17" l="1"/>
  <c r="L123" i="17" s="1"/>
  <c r="D32" i="5"/>
  <c r="C30" i="17"/>
  <c r="C100" i="16"/>
  <c r="C108" i="16" s="1"/>
  <c r="C19" i="16" s="1"/>
  <c r="C16" i="11" s="1"/>
  <c r="J13" i="11"/>
  <c r="J62" i="17"/>
  <c r="N62" i="17" s="1"/>
  <c r="N60" i="17"/>
  <c r="T94" i="5"/>
  <c r="C93" i="5"/>
  <c r="C104" i="5" s="1"/>
  <c r="C100" i="5" s="1"/>
  <c r="J89" i="17"/>
  <c r="H89" i="7"/>
  <c r="D150" i="17"/>
  <c r="L150" i="17" s="1"/>
  <c r="D89" i="6"/>
  <c r="D100" i="16"/>
  <c r="D108" i="16" s="1"/>
  <c r="D19" i="16" s="1"/>
  <c r="D30" i="17"/>
  <c r="L30" i="17" s="1"/>
  <c r="C112" i="16"/>
  <c r="C31" i="17"/>
  <c r="D32" i="17"/>
  <c r="D124" i="16"/>
  <c r="C28" i="17"/>
  <c r="C76" i="16"/>
  <c r="C84" i="16" s="1"/>
  <c r="C17" i="16" s="1"/>
  <c r="C64" i="16"/>
  <c r="C27" i="17"/>
  <c r="C40" i="16"/>
  <c r="C48" i="16" s="1"/>
  <c r="C14" i="16" s="1"/>
  <c r="C11" i="11" s="1"/>
  <c r="C25" i="17"/>
  <c r="D14" i="10"/>
  <c r="C176" i="17"/>
  <c r="C226" i="9"/>
  <c r="C47" i="15"/>
  <c r="C177" i="17"/>
  <c r="C59" i="15"/>
  <c r="C234" i="9"/>
  <c r="M29" i="7"/>
  <c r="D176" i="17"/>
  <c r="D47" i="15"/>
  <c r="D226" i="9"/>
  <c r="D142" i="16"/>
  <c r="D143" i="15"/>
  <c r="D99" i="7"/>
  <c r="D118" i="16" s="1"/>
  <c r="H177" i="17"/>
  <c r="H234" i="9"/>
  <c r="H59" i="15"/>
  <c r="M15" i="7"/>
  <c r="D13" i="7"/>
  <c r="H102" i="7"/>
  <c r="H189" i="17"/>
  <c r="H70" i="16"/>
  <c r="H176" i="17"/>
  <c r="H184" i="17" s="1"/>
  <c r="H47" i="15"/>
  <c r="H226" i="9"/>
  <c r="C162" i="17"/>
  <c r="C168" i="17" s="1"/>
  <c r="C170" i="17" s="1"/>
  <c r="C69" i="16"/>
  <c r="H162" i="17"/>
  <c r="H69" i="16"/>
  <c r="D159" i="17"/>
  <c r="L159" i="17" s="1"/>
  <c r="D33" i="16"/>
  <c r="D148" i="17"/>
  <c r="D217" i="9"/>
  <c r="D34" i="15"/>
  <c r="H159" i="17"/>
  <c r="H33" i="16"/>
  <c r="H36" i="16" s="1"/>
  <c r="H13" i="16" s="1"/>
  <c r="D89" i="5"/>
  <c r="D121" i="17"/>
  <c r="D216" i="9"/>
  <c r="D33" i="15"/>
  <c r="L95" i="5"/>
  <c r="H135" i="17"/>
  <c r="H68" i="16"/>
  <c r="H139" i="17"/>
  <c r="H116" i="16"/>
  <c r="H120" i="16" s="1"/>
  <c r="H20" i="16" s="1"/>
  <c r="D135" i="17"/>
  <c r="L135" i="17" s="1"/>
  <c r="D68" i="16"/>
  <c r="D95" i="17"/>
  <c r="L95" i="17" s="1"/>
  <c r="D44" i="15"/>
  <c r="D223" i="9"/>
  <c r="H67" i="16"/>
  <c r="H108" i="17"/>
  <c r="H114" i="17" s="1"/>
  <c r="C108" i="17"/>
  <c r="C67" i="16"/>
  <c r="D127" i="16"/>
  <c r="D113" i="17"/>
  <c r="L113" i="17" s="1"/>
  <c r="D99" i="4"/>
  <c r="L66" i="4"/>
  <c r="H32" i="4"/>
  <c r="H68" i="17"/>
  <c r="H43" i="15"/>
  <c r="H222" i="9"/>
  <c r="C68" i="17"/>
  <c r="C222" i="9"/>
  <c r="C43" i="15"/>
  <c r="D86" i="17"/>
  <c r="L86" i="17" s="1"/>
  <c r="D126" i="16"/>
  <c r="D67" i="17"/>
  <c r="L67" i="17" s="1"/>
  <c r="D214" i="9"/>
  <c r="D31" i="15"/>
  <c r="D40" i="17"/>
  <c r="L40" i="17" s="1"/>
  <c r="D30" i="15"/>
  <c r="D213" i="9"/>
  <c r="H54" i="17"/>
  <c r="H60" i="17" s="1"/>
  <c r="H65" i="16"/>
  <c r="N13" i="11"/>
  <c r="D137" i="16"/>
  <c r="D99" i="2"/>
  <c r="D138" i="15"/>
  <c r="D59" i="17"/>
  <c r="L59" i="17" s="1"/>
  <c r="D125" i="16"/>
  <c r="C65" i="16"/>
  <c r="C54" i="17"/>
  <c r="M13" i="15"/>
  <c r="C13" i="17"/>
  <c r="C212" i="9"/>
  <c r="C29" i="15"/>
  <c r="D14" i="17"/>
  <c r="L14" i="17" s="1"/>
  <c r="D41" i="15"/>
  <c r="C194" i="9"/>
  <c r="C18" i="17"/>
  <c r="C89" i="15"/>
  <c r="C97" i="15" s="1"/>
  <c r="C18" i="15" s="1"/>
  <c r="C32" i="11" s="1"/>
  <c r="C195" i="9"/>
  <c r="C19" i="17"/>
  <c r="C101" i="15"/>
  <c r="C15" i="17"/>
  <c r="C53" i="15"/>
  <c r="C16" i="17"/>
  <c r="C65" i="15"/>
  <c r="C14" i="17"/>
  <c r="C41" i="15"/>
  <c r="D18" i="17"/>
  <c r="L18" i="17" s="1"/>
  <c r="D89" i="15"/>
  <c r="D97" i="15" s="1"/>
  <c r="D18" i="15" s="1"/>
  <c r="E14" i="17"/>
  <c r="M14" i="17" s="1"/>
  <c r="E41" i="15"/>
  <c r="H58" i="15"/>
  <c r="H233" i="9"/>
  <c r="C233" i="9"/>
  <c r="C58" i="15"/>
  <c r="H232" i="9"/>
  <c r="H57" i="15"/>
  <c r="D57" i="15"/>
  <c r="D232" i="9"/>
  <c r="C57" i="15"/>
  <c r="C232" i="9"/>
  <c r="N5" i="2"/>
  <c r="J179" i="9"/>
  <c r="D194" i="9"/>
  <c r="L129" i="9"/>
  <c r="L32" i="7"/>
  <c r="L29" i="7"/>
  <c r="I95" i="7"/>
  <c r="L98" i="7"/>
  <c r="L93" i="6"/>
  <c r="L72" i="6"/>
  <c r="L96" i="6"/>
  <c r="L15" i="6"/>
  <c r="M13" i="3"/>
  <c r="M32" i="5"/>
  <c r="L13" i="5"/>
  <c r="M29" i="5"/>
  <c r="M72" i="5"/>
  <c r="M95" i="5"/>
  <c r="M22" i="5"/>
  <c r="L29" i="5"/>
  <c r="L94" i="5"/>
  <c r="L32" i="5"/>
  <c r="N5" i="5"/>
  <c r="L41" i="4"/>
  <c r="M72" i="4"/>
  <c r="D95" i="4"/>
  <c r="M98" i="4"/>
  <c r="L99" i="4"/>
  <c r="E29" i="4"/>
  <c r="E89" i="4" s="1"/>
  <c r="M30" i="4"/>
  <c r="L13" i="4"/>
  <c r="L33" i="4"/>
  <c r="L48" i="4"/>
  <c r="M36" i="4"/>
  <c r="L95" i="4"/>
  <c r="M34" i="3"/>
  <c r="M49" i="3"/>
  <c r="E43" i="3"/>
  <c r="E42" i="3" s="1"/>
  <c r="E33" i="3" s="1"/>
  <c r="M15" i="3"/>
  <c r="L34" i="3"/>
  <c r="L72" i="3"/>
  <c r="M47" i="3"/>
  <c r="L42" i="3"/>
  <c r="D72" i="3"/>
  <c r="M81" i="3"/>
  <c r="M31" i="3"/>
  <c r="L49" i="3"/>
  <c r="F33" i="3"/>
  <c r="F69" i="17" s="1"/>
  <c r="N69" i="17" s="1"/>
  <c r="M98" i="2"/>
  <c r="M29" i="2"/>
  <c r="L66" i="2"/>
  <c r="M72" i="2"/>
  <c r="L48" i="2"/>
  <c r="L41" i="2"/>
  <c r="L13" i="2"/>
  <c r="M15" i="2"/>
  <c r="L33" i="2"/>
  <c r="M41" i="2"/>
  <c r="M66" i="2"/>
  <c r="L29" i="2"/>
  <c r="L71" i="2"/>
  <c r="M33" i="2"/>
  <c r="L95" i="2"/>
  <c r="M130" i="9"/>
  <c r="L81" i="9"/>
  <c r="T82" i="9"/>
  <c r="V82" i="9"/>
  <c r="L120" i="9"/>
  <c r="L32" i="9"/>
  <c r="L29" i="9"/>
  <c r="L80" i="10"/>
  <c r="M18" i="10"/>
  <c r="M46" i="10"/>
  <c r="M35" i="10"/>
  <c r="L50" i="10"/>
  <c r="M87" i="10"/>
  <c r="L67" i="10"/>
  <c r="L30" i="10"/>
  <c r="L13" i="10"/>
  <c r="L14" i="10"/>
  <c r="L76" i="10"/>
  <c r="M76" i="10"/>
  <c r="Q120" i="9"/>
  <c r="P120" i="9"/>
  <c r="N29" i="9"/>
  <c r="Q29" i="9"/>
  <c r="P29" i="9"/>
  <c r="C102" i="6"/>
  <c r="D47" i="10"/>
  <c r="M45" i="10"/>
  <c r="D43" i="10"/>
  <c r="M15" i="10"/>
  <c r="L13" i="9"/>
  <c r="M29" i="9"/>
  <c r="M161" i="9"/>
  <c r="M70" i="9"/>
  <c r="M114" i="9"/>
  <c r="M58" i="9"/>
  <c r="M82" i="9"/>
  <c r="M15" i="9"/>
  <c r="M116" i="9"/>
  <c r="M120" i="9"/>
  <c r="D32" i="9"/>
  <c r="D80" i="10"/>
  <c r="E30" i="3"/>
  <c r="M100" i="6"/>
  <c r="H6" i="3"/>
  <c r="C33" i="3"/>
  <c r="C69" i="17" s="1"/>
  <c r="D129" i="9"/>
  <c r="D42" i="3"/>
  <c r="M13" i="2"/>
  <c r="D106" i="9"/>
  <c r="M16" i="11"/>
  <c r="D30" i="3"/>
  <c r="H102" i="5"/>
  <c r="H6" i="5" s="1"/>
  <c r="M94" i="5"/>
  <c r="M25" i="10"/>
  <c r="D95" i="6"/>
  <c r="M59" i="10"/>
  <c r="M29" i="4"/>
  <c r="H5" i="7"/>
  <c r="H184" i="9" s="1"/>
  <c r="D81" i="9"/>
  <c r="D145" i="9"/>
  <c r="H32" i="2"/>
  <c r="H33" i="3"/>
  <c r="H69" i="17" s="1"/>
  <c r="H102" i="6"/>
  <c r="C32" i="2"/>
  <c r="C32" i="4"/>
  <c r="M48" i="4"/>
  <c r="D30" i="10"/>
  <c r="M71" i="4"/>
  <c r="C99" i="5" l="1"/>
  <c r="C140" i="16"/>
  <c r="C141" i="15"/>
  <c r="L100" i="5"/>
  <c r="L176" i="17"/>
  <c r="C132" i="17"/>
  <c r="C32" i="16"/>
  <c r="C36" i="16" s="1"/>
  <c r="C13" i="16" s="1"/>
  <c r="C10" i="11" s="1"/>
  <c r="T93" i="5"/>
  <c r="L93" i="5"/>
  <c r="C227" i="9"/>
  <c r="H195" i="17"/>
  <c r="H197" i="17" s="1"/>
  <c r="L189" i="17"/>
  <c r="H227" i="9"/>
  <c r="D89" i="7"/>
  <c r="M13" i="7"/>
  <c r="H72" i="16"/>
  <c r="H16" i="16" s="1"/>
  <c r="H13" i="11" s="1"/>
  <c r="D157" i="17"/>
  <c r="L157" i="17" s="1"/>
  <c r="L148" i="17"/>
  <c r="H141" i="17"/>
  <c r="H143" i="17" s="1"/>
  <c r="D130" i="17"/>
  <c r="L130" i="17" s="1"/>
  <c r="L121" i="17"/>
  <c r="L6" i="5"/>
  <c r="D115" i="16"/>
  <c r="D102" i="4"/>
  <c r="D6" i="4" s="1"/>
  <c r="H90" i="3"/>
  <c r="C90" i="3"/>
  <c r="H42" i="17"/>
  <c r="H49" i="17" s="1"/>
  <c r="H62" i="17" s="1"/>
  <c r="H89" i="2"/>
  <c r="D113" i="16"/>
  <c r="C42" i="17"/>
  <c r="C49" i="17" s="1"/>
  <c r="C89" i="2"/>
  <c r="D16" i="11"/>
  <c r="L19" i="16"/>
  <c r="P19" i="16"/>
  <c r="P16" i="11" s="1"/>
  <c r="M80" i="10"/>
  <c r="D112" i="16"/>
  <c r="D31" i="17"/>
  <c r="L31" i="17" s="1"/>
  <c r="L32" i="17"/>
  <c r="C14" i="11"/>
  <c r="P17" i="16"/>
  <c r="P14" i="11" s="1"/>
  <c r="D40" i="16"/>
  <c r="D48" i="16" s="1"/>
  <c r="D14" i="16" s="1"/>
  <c r="D25" i="17"/>
  <c r="L25" i="17" s="1"/>
  <c r="M32" i="7"/>
  <c r="D177" i="17"/>
  <c r="L177" i="17" s="1"/>
  <c r="D234" i="9"/>
  <c r="D59" i="15"/>
  <c r="C49" i="15"/>
  <c r="C14" i="15" s="1"/>
  <c r="C28" i="11" s="1"/>
  <c r="H49" i="15"/>
  <c r="H14" i="15" s="1"/>
  <c r="H28" i="11" s="1"/>
  <c r="D175" i="17"/>
  <c r="D218" i="9"/>
  <c r="D219" i="9" s="1"/>
  <c r="D35" i="15"/>
  <c r="I102" i="7"/>
  <c r="I189" i="17"/>
  <c r="I70" i="16"/>
  <c r="I72" i="16" s="1"/>
  <c r="I16" i="16" s="1"/>
  <c r="D193" i="17"/>
  <c r="D102" i="7"/>
  <c r="D6" i="7" s="1"/>
  <c r="L95" i="6"/>
  <c r="D162" i="17"/>
  <c r="D69" i="16"/>
  <c r="H10" i="11"/>
  <c r="H168" i="17"/>
  <c r="H170" i="17" s="1"/>
  <c r="D116" i="16"/>
  <c r="D140" i="16"/>
  <c r="D141" i="15"/>
  <c r="H17" i="11"/>
  <c r="H18" i="11"/>
  <c r="C96" i="17"/>
  <c r="C103" i="17" s="1"/>
  <c r="C89" i="4"/>
  <c r="H96" i="17"/>
  <c r="H103" i="17" s="1"/>
  <c r="H116" i="17" s="1"/>
  <c r="H89" i="4"/>
  <c r="E113" i="17"/>
  <c r="M113" i="17" s="1"/>
  <c r="E127" i="16"/>
  <c r="E99" i="4"/>
  <c r="M95" i="4"/>
  <c r="D108" i="17"/>
  <c r="L108" i="17" s="1"/>
  <c r="D67" i="16"/>
  <c r="C72" i="16"/>
  <c r="C16" i="16" s="1"/>
  <c r="C13" i="11" s="1"/>
  <c r="E95" i="17"/>
  <c r="E44" i="15"/>
  <c r="E223" i="9"/>
  <c r="D112" i="17"/>
  <c r="L112" i="17" s="1"/>
  <c r="D68" i="17"/>
  <c r="L68" i="17" s="1"/>
  <c r="D43" i="15"/>
  <c r="D49" i="15" s="1"/>
  <c r="D14" i="15" s="1"/>
  <c r="D222" i="9"/>
  <c r="D227" i="9" s="1"/>
  <c r="E68" i="17"/>
  <c r="M68" i="17" s="1"/>
  <c r="E43" i="15"/>
  <c r="E222" i="9"/>
  <c r="C76" i="17"/>
  <c r="E126" i="16"/>
  <c r="E86" i="17"/>
  <c r="M86" i="17" s="1"/>
  <c r="H76" i="17"/>
  <c r="H89" i="17" s="1"/>
  <c r="E137" i="16"/>
  <c r="E99" i="2"/>
  <c r="E138" i="15"/>
  <c r="D58" i="17"/>
  <c r="L58" i="17" s="1"/>
  <c r="E59" i="17"/>
  <c r="M59" i="17" s="1"/>
  <c r="E125" i="16"/>
  <c r="D132" i="16"/>
  <c r="L5" i="7"/>
  <c r="D16" i="17"/>
  <c r="L16" i="17" s="1"/>
  <c r="D65" i="15"/>
  <c r="D197" i="9"/>
  <c r="D21" i="17"/>
  <c r="D125" i="15"/>
  <c r="D15" i="17"/>
  <c r="L15" i="17" s="1"/>
  <c r="D53" i="15"/>
  <c r="P194" i="9"/>
  <c r="P18" i="17"/>
  <c r="P89" i="15"/>
  <c r="D195" i="9"/>
  <c r="D19" i="17"/>
  <c r="L19" i="17" s="1"/>
  <c r="D101" i="15"/>
  <c r="P14" i="17"/>
  <c r="P41" i="15"/>
  <c r="Q194" i="9"/>
  <c r="Q18" i="17"/>
  <c r="Q89" i="15"/>
  <c r="D32" i="11"/>
  <c r="L32" i="11" s="1"/>
  <c r="L18" i="15"/>
  <c r="C73" i="15"/>
  <c r="C16" i="15" s="1"/>
  <c r="C30" i="11" s="1"/>
  <c r="D17" i="17"/>
  <c r="L17" i="17" s="1"/>
  <c r="D77" i="15"/>
  <c r="Q14" i="17"/>
  <c r="Q41" i="15"/>
  <c r="D13" i="17"/>
  <c r="L13" i="17" s="1"/>
  <c r="D29" i="15"/>
  <c r="C109" i="15"/>
  <c r="C19" i="15" s="1"/>
  <c r="C33" i="11" s="1"/>
  <c r="D58" i="15"/>
  <c r="D233" i="9"/>
  <c r="L32" i="6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M98" i="7"/>
  <c r="M100" i="7"/>
  <c r="L95" i="7"/>
  <c r="M95" i="7"/>
  <c r="H5" i="6"/>
  <c r="H183" i="9" s="1"/>
  <c r="C5" i="6"/>
  <c r="C183" i="9" s="1"/>
  <c r="C6" i="6"/>
  <c r="H6" i="6"/>
  <c r="D102" i="6"/>
  <c r="L13" i="6"/>
  <c r="C5" i="5"/>
  <c r="C182" i="9" s="1"/>
  <c r="M13" i="5"/>
  <c r="L89" i="5"/>
  <c r="H5" i="5"/>
  <c r="H182" i="9" s="1"/>
  <c r="N100" i="5"/>
  <c r="J99" i="5"/>
  <c r="M96" i="4"/>
  <c r="L102" i="4"/>
  <c r="H6" i="4"/>
  <c r="M100" i="4"/>
  <c r="L32" i="4"/>
  <c r="J32" i="4"/>
  <c r="N42" i="3"/>
  <c r="M72" i="3"/>
  <c r="N47" i="3"/>
  <c r="F30" i="3"/>
  <c r="F90" i="3" s="1"/>
  <c r="N31" i="3"/>
  <c r="D33" i="3"/>
  <c r="D69" i="17" s="1"/>
  <c r="M42" i="3"/>
  <c r="L16" i="11"/>
  <c r="M100" i="2"/>
  <c r="M48" i="2"/>
  <c r="L32" i="2"/>
  <c r="H6" i="2"/>
  <c r="M96" i="2"/>
  <c r="M71" i="2"/>
  <c r="P81" i="9"/>
  <c r="Q81" i="9"/>
  <c r="D42" i="10"/>
  <c r="D39" i="10" s="1"/>
  <c r="C42" i="10"/>
  <c r="M30" i="10"/>
  <c r="N100" i="2"/>
  <c r="S29" i="9"/>
  <c r="P145" i="9"/>
  <c r="P129" i="9"/>
  <c r="S120" i="9"/>
  <c r="P13" i="9"/>
  <c r="Q13" i="9"/>
  <c r="D32" i="2"/>
  <c r="M75" i="10"/>
  <c r="D72" i="10"/>
  <c r="M52" i="10"/>
  <c r="D50" i="10"/>
  <c r="M13" i="9"/>
  <c r="M81" i="9"/>
  <c r="M32" i="9"/>
  <c r="M106" i="9"/>
  <c r="M129" i="9"/>
  <c r="M14" i="10"/>
  <c r="D13" i="10"/>
  <c r="M15" i="11"/>
  <c r="M99" i="6"/>
  <c r="I102" i="6"/>
  <c r="I6" i="6" s="1"/>
  <c r="E69" i="17"/>
  <c r="M69" i="17" s="1"/>
  <c r="E5" i="4"/>
  <c r="E181" i="9" s="1"/>
  <c r="M30" i="3"/>
  <c r="M30" i="11"/>
  <c r="M32" i="11"/>
  <c r="I145" i="9"/>
  <c r="M27" i="11"/>
  <c r="M48" i="10"/>
  <c r="I93" i="5"/>
  <c r="L89" i="6"/>
  <c r="D95" i="2"/>
  <c r="D102" i="2" s="1"/>
  <c r="M14" i="11"/>
  <c r="D32" i="4"/>
  <c r="M11" i="11"/>
  <c r="C116" i="16" l="1"/>
  <c r="C102" i="5"/>
  <c r="C139" i="17"/>
  <c r="C141" i="17" s="1"/>
  <c r="C143" i="17" s="1"/>
  <c r="L99" i="5"/>
  <c r="B10" i="21"/>
  <c r="B11" i="21" s="1"/>
  <c r="L100" i="2"/>
  <c r="C5" i="3"/>
  <c r="C180" i="9" s="1"/>
  <c r="C137" i="16"/>
  <c r="C99" i="2"/>
  <c r="L99" i="2" s="1"/>
  <c r="C138" i="15"/>
  <c r="C5" i="4"/>
  <c r="C181" i="9" s="1"/>
  <c r="B14" i="21"/>
  <c r="B15" i="21" s="1"/>
  <c r="I195" i="17"/>
  <c r="M189" i="17"/>
  <c r="L175" i="17"/>
  <c r="D184" i="17"/>
  <c r="L184" i="17" s="1"/>
  <c r="D195" i="17"/>
  <c r="L193" i="17"/>
  <c r="D168" i="17"/>
  <c r="L162" i="17"/>
  <c r="L14" i="15"/>
  <c r="E132" i="16"/>
  <c r="E115" i="16"/>
  <c r="E102" i="4"/>
  <c r="E6" i="4" s="1"/>
  <c r="E7" i="4" s="1"/>
  <c r="E103" i="17"/>
  <c r="M103" i="17" s="1"/>
  <c r="M95" i="17"/>
  <c r="E49" i="15"/>
  <c r="E14" i="15" s="1"/>
  <c r="M14" i="15" s="1"/>
  <c r="D76" i="17"/>
  <c r="L76" i="17" s="1"/>
  <c r="L69" i="17"/>
  <c r="D90" i="3"/>
  <c r="M90" i="3" s="1"/>
  <c r="E90" i="3"/>
  <c r="D42" i="17"/>
  <c r="D89" i="2"/>
  <c r="D5" i="2" s="1"/>
  <c r="D29" i="17"/>
  <c r="L29" i="17" s="1"/>
  <c r="D88" i="16"/>
  <c r="D96" i="16" s="1"/>
  <c r="D18" i="16" s="1"/>
  <c r="M50" i="10"/>
  <c r="D27" i="17"/>
  <c r="L27" i="17" s="1"/>
  <c r="D64" i="16"/>
  <c r="D26" i="17"/>
  <c r="L26" i="17" s="1"/>
  <c r="D52" i="16"/>
  <c r="D60" i="16" s="1"/>
  <c r="D15" i="16" s="1"/>
  <c r="D11" i="11"/>
  <c r="P14" i="16"/>
  <c r="P11" i="11" s="1"/>
  <c r="L14" i="16"/>
  <c r="D24" i="17"/>
  <c r="D28" i="16"/>
  <c r="D36" i="16" s="1"/>
  <c r="D13" i="16" s="1"/>
  <c r="E102" i="2"/>
  <c r="E113" i="16"/>
  <c r="E58" i="17"/>
  <c r="D37" i="15"/>
  <c r="D13" i="15" s="1"/>
  <c r="D27" i="11" s="1"/>
  <c r="L27" i="11" s="1"/>
  <c r="M16" i="16"/>
  <c r="I13" i="11"/>
  <c r="M13" i="11" s="1"/>
  <c r="D139" i="17"/>
  <c r="D6" i="5"/>
  <c r="I132" i="17"/>
  <c r="M132" i="17" s="1"/>
  <c r="I32" i="16"/>
  <c r="I36" i="16" s="1"/>
  <c r="I13" i="16" s="1"/>
  <c r="J139" i="17"/>
  <c r="J116" i="16"/>
  <c r="J120" i="16" s="1"/>
  <c r="J20" i="16" s="1"/>
  <c r="H22" i="16"/>
  <c r="H9" i="16" s="1"/>
  <c r="J96" i="17"/>
  <c r="J89" i="4"/>
  <c r="J5" i="4" s="1"/>
  <c r="J181" i="9" s="1"/>
  <c r="D96" i="17"/>
  <c r="D89" i="4"/>
  <c r="H61" i="15"/>
  <c r="H15" i="15" s="1"/>
  <c r="H29" i="11" s="1"/>
  <c r="E227" i="9"/>
  <c r="D114" i="17"/>
  <c r="L114" i="17" s="1"/>
  <c r="E112" i="17"/>
  <c r="C61" i="15"/>
  <c r="C15" i="15" s="1"/>
  <c r="D28" i="11"/>
  <c r="L28" i="11" s="1"/>
  <c r="E76" i="17"/>
  <c r="M76" i="17" s="1"/>
  <c r="F68" i="17"/>
  <c r="F43" i="15"/>
  <c r="F49" i="15" s="1"/>
  <c r="F14" i="15" s="1"/>
  <c r="F222" i="9"/>
  <c r="F227" i="9" s="1"/>
  <c r="F61" i="15"/>
  <c r="F15" i="15" s="1"/>
  <c r="D65" i="16"/>
  <c r="D54" i="17"/>
  <c r="H19" i="11"/>
  <c r="M89" i="7"/>
  <c r="D5" i="7"/>
  <c r="L100" i="3"/>
  <c r="P197" i="9"/>
  <c r="P21" i="17"/>
  <c r="P125" i="15"/>
  <c r="P133" i="15" s="1"/>
  <c r="I21" i="17"/>
  <c r="I22" i="17" s="1"/>
  <c r="I125" i="15"/>
  <c r="S194" i="9"/>
  <c r="S18" i="17"/>
  <c r="T18" i="17" s="1"/>
  <c r="S89" i="15"/>
  <c r="T29" i="9"/>
  <c r="S14" i="17"/>
  <c r="T14" i="17" s="1"/>
  <c r="S41" i="15"/>
  <c r="D109" i="15"/>
  <c r="D19" i="15" s="1"/>
  <c r="P16" i="17"/>
  <c r="P65" i="15"/>
  <c r="P73" i="15" s="1"/>
  <c r="P195" i="9"/>
  <c r="P19" i="17"/>
  <c r="P101" i="15"/>
  <c r="D22" i="17"/>
  <c r="D73" i="15"/>
  <c r="D16" i="15" s="1"/>
  <c r="P13" i="17"/>
  <c r="P29" i="15"/>
  <c r="Q13" i="17"/>
  <c r="Q29" i="15"/>
  <c r="Q16" i="17"/>
  <c r="Q65" i="15"/>
  <c r="Q73" i="15" s="1"/>
  <c r="P15" i="17"/>
  <c r="P53" i="15"/>
  <c r="D133" i="15"/>
  <c r="D21" i="15" s="1"/>
  <c r="D35" i="11" s="1"/>
  <c r="D85" i="15"/>
  <c r="D17" i="15" s="1"/>
  <c r="P13" i="10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M33" i="3"/>
  <c r="E55" i="15"/>
  <c r="E230" i="9"/>
  <c r="E235" i="9" s="1"/>
  <c r="D54" i="15"/>
  <c r="D229" i="9"/>
  <c r="M100" i="5"/>
  <c r="I171" i="9" s="1"/>
  <c r="I197" i="9"/>
  <c r="S81" i="9"/>
  <c r="M99" i="7"/>
  <c r="H7" i="6"/>
  <c r="L6" i="6"/>
  <c r="I7" i="6"/>
  <c r="D6" i="6"/>
  <c r="C7" i="6"/>
  <c r="D5" i="6"/>
  <c r="L102" i="6"/>
  <c r="L5" i="6"/>
  <c r="F5" i="3"/>
  <c r="F180" i="9" s="1"/>
  <c r="M93" i="5"/>
  <c r="D5" i="5"/>
  <c r="D182" i="9" s="1"/>
  <c r="M89" i="5"/>
  <c r="J102" i="5"/>
  <c r="L5" i="5"/>
  <c r="H7" i="5"/>
  <c r="N99" i="5"/>
  <c r="M32" i="4"/>
  <c r="M99" i="4"/>
  <c r="L89" i="4"/>
  <c r="H5" i="4"/>
  <c r="H7" i="4" s="1"/>
  <c r="L6" i="4"/>
  <c r="N32" i="4"/>
  <c r="N100" i="4"/>
  <c r="L90" i="3"/>
  <c r="H5" i="3"/>
  <c r="H180" i="9" s="1"/>
  <c r="N100" i="3"/>
  <c r="F6" i="3"/>
  <c r="L11" i="11"/>
  <c r="I6" i="2"/>
  <c r="M99" i="2"/>
  <c r="M95" i="2"/>
  <c r="M32" i="2"/>
  <c r="E6" i="2"/>
  <c r="E7" i="2" s="1"/>
  <c r="C5" i="2"/>
  <c r="C179" i="9" s="1"/>
  <c r="V120" i="9"/>
  <c r="T120" i="9"/>
  <c r="L42" i="10"/>
  <c r="M72" i="10"/>
  <c r="N99" i="2"/>
  <c r="V29" i="9"/>
  <c r="H5" i="2"/>
  <c r="H179" i="9" s="1"/>
  <c r="L89" i="2"/>
  <c r="S13" i="9"/>
  <c r="M145" i="9"/>
  <c r="I168" i="9"/>
  <c r="I9" i="9" s="1"/>
  <c r="I5" i="4"/>
  <c r="M102" i="6"/>
  <c r="E106" i="9"/>
  <c r="E129" i="9"/>
  <c r="E32" i="9"/>
  <c r="M13" i="10"/>
  <c r="M47" i="10"/>
  <c r="D96" i="10"/>
  <c r="D9" i="10" s="1"/>
  <c r="D168" i="9"/>
  <c r="D5" i="4"/>
  <c r="C6" i="5" l="1"/>
  <c r="C7" i="5" s="1"/>
  <c r="L102" i="5"/>
  <c r="C113" i="16"/>
  <c r="C58" i="17"/>
  <c r="C60" i="17" s="1"/>
  <c r="C62" i="17" s="1"/>
  <c r="C102" i="2"/>
  <c r="C139" i="16"/>
  <c r="C140" i="15"/>
  <c r="C99" i="4"/>
  <c r="J141" i="17"/>
  <c r="J143" i="17" s="1"/>
  <c r="N143" i="17" s="1"/>
  <c r="N139" i="17"/>
  <c r="J103" i="17"/>
  <c r="N96" i="17"/>
  <c r="E28" i="11"/>
  <c r="M28" i="11" s="1"/>
  <c r="D72" i="16"/>
  <c r="D16" i="16" s="1"/>
  <c r="P16" i="16" s="1"/>
  <c r="F76" i="17"/>
  <c r="N68" i="17"/>
  <c r="I197" i="17"/>
  <c r="M197" i="17" s="1"/>
  <c r="M195" i="17"/>
  <c r="D197" i="17"/>
  <c r="L197" i="17" s="1"/>
  <c r="L195" i="17"/>
  <c r="D170" i="17"/>
  <c r="L170" i="17" s="1"/>
  <c r="L168" i="17"/>
  <c r="D141" i="17"/>
  <c r="L139" i="17"/>
  <c r="E114" i="17"/>
  <c r="M112" i="17"/>
  <c r="D103" i="17"/>
  <c r="L103" i="17" s="1"/>
  <c r="L96" i="17"/>
  <c r="D5" i="3"/>
  <c r="D180" i="9" s="1"/>
  <c r="E60" i="17"/>
  <c r="M60" i="17" s="1"/>
  <c r="M58" i="17"/>
  <c r="D60" i="17"/>
  <c r="L60" i="17" s="1"/>
  <c r="L54" i="17"/>
  <c r="D49" i="17"/>
  <c r="L49" i="17" s="1"/>
  <c r="L42" i="17"/>
  <c r="L13" i="15"/>
  <c r="D15" i="11"/>
  <c r="L18" i="16"/>
  <c r="P18" i="16"/>
  <c r="P15" i="11" s="1"/>
  <c r="D12" i="11"/>
  <c r="L12" i="11" s="1"/>
  <c r="L15" i="16"/>
  <c r="P13" i="16"/>
  <c r="P10" i="11" s="1"/>
  <c r="L13" i="16"/>
  <c r="D10" i="11"/>
  <c r="L10" i="11" s="1"/>
  <c r="P24" i="17"/>
  <c r="P28" i="16"/>
  <c r="L24" i="17"/>
  <c r="D33" i="17"/>
  <c r="L33" i="17" s="1"/>
  <c r="I139" i="17"/>
  <c r="I116" i="16"/>
  <c r="I120" i="16" s="1"/>
  <c r="I20" i="16" s="1"/>
  <c r="I10" i="11"/>
  <c r="M10" i="11" s="1"/>
  <c r="M13" i="16"/>
  <c r="N102" i="5"/>
  <c r="J6" i="5"/>
  <c r="N5" i="4"/>
  <c r="I61" i="15"/>
  <c r="I15" i="15" s="1"/>
  <c r="I29" i="11" s="1"/>
  <c r="J61" i="15"/>
  <c r="J15" i="15" s="1"/>
  <c r="D138" i="16"/>
  <c r="D143" i="16" s="1"/>
  <c r="D21" i="16" s="1"/>
  <c r="F28" i="11"/>
  <c r="N28" i="11" s="1"/>
  <c r="N14" i="15"/>
  <c r="F29" i="11"/>
  <c r="F23" i="15"/>
  <c r="F9" i="15" s="1"/>
  <c r="R9" i="15" s="1"/>
  <c r="D61" i="15"/>
  <c r="D15" i="15" s="1"/>
  <c r="D184" i="9"/>
  <c r="M5" i="7"/>
  <c r="D7" i="7"/>
  <c r="D139" i="15"/>
  <c r="D145" i="15" s="1"/>
  <c r="C139" i="15"/>
  <c r="C138" i="16"/>
  <c r="C99" i="3"/>
  <c r="D31" i="11"/>
  <c r="L17" i="15"/>
  <c r="D33" i="11"/>
  <c r="L19" i="15"/>
  <c r="D30" i="11"/>
  <c r="L30" i="11" s="1"/>
  <c r="L16" i="15"/>
  <c r="V81" i="9"/>
  <c r="S16" i="17"/>
  <c r="T16" i="17" s="1"/>
  <c r="S65" i="15"/>
  <c r="S73" i="15" s="1"/>
  <c r="T13" i="9"/>
  <c r="S13" i="17"/>
  <c r="S29" i="15"/>
  <c r="E195" i="9"/>
  <c r="E19" i="17"/>
  <c r="M19" i="17" s="1"/>
  <c r="E101" i="15"/>
  <c r="Q32" i="9"/>
  <c r="E15" i="17"/>
  <c r="M15" i="17" s="1"/>
  <c r="E53" i="15"/>
  <c r="E61" i="15" s="1"/>
  <c r="E15" i="15" s="1"/>
  <c r="E17" i="17"/>
  <c r="M17" i="17" s="1"/>
  <c r="E77" i="15"/>
  <c r="I133" i="15"/>
  <c r="I21" i="15" s="1"/>
  <c r="H7" i="7"/>
  <c r="C29" i="11"/>
  <c r="M5" i="6"/>
  <c r="D183" i="9"/>
  <c r="D7" i="6"/>
  <c r="N89" i="4"/>
  <c r="J198" i="9"/>
  <c r="J200" i="9" s="1"/>
  <c r="J205" i="9"/>
  <c r="M5" i="4"/>
  <c r="I181" i="9"/>
  <c r="I205" i="9" s="1"/>
  <c r="I208" i="9" s="1"/>
  <c r="I209" i="9" s="1"/>
  <c r="L5" i="4"/>
  <c r="H181" i="9"/>
  <c r="H205" i="9" s="1"/>
  <c r="H208" i="9" s="1"/>
  <c r="D7" i="4"/>
  <c r="D181" i="9"/>
  <c r="M89" i="2"/>
  <c r="F205" i="9"/>
  <c r="F198" i="9"/>
  <c r="F200" i="9" s="1"/>
  <c r="D235" i="9"/>
  <c r="M5" i="2"/>
  <c r="D179" i="9"/>
  <c r="T81" i="9"/>
  <c r="M102" i="7"/>
  <c r="I6" i="7"/>
  <c r="M6" i="6"/>
  <c r="F7" i="3"/>
  <c r="M102" i="2"/>
  <c r="M99" i="5"/>
  <c r="I102" i="5"/>
  <c r="D7" i="5"/>
  <c r="M5" i="5"/>
  <c r="I6" i="4"/>
  <c r="M6" i="4" s="1"/>
  <c r="M89" i="4"/>
  <c r="N99" i="4"/>
  <c r="M100" i="3"/>
  <c r="H145" i="9"/>
  <c r="I6" i="3"/>
  <c r="N90" i="3"/>
  <c r="E5" i="3"/>
  <c r="E180" i="9" s="1"/>
  <c r="E205" i="9" s="1"/>
  <c r="E208" i="9" s="1"/>
  <c r="L5" i="3"/>
  <c r="H7" i="3"/>
  <c r="N99" i="3"/>
  <c r="L15" i="11"/>
  <c r="D6" i="2"/>
  <c r="D7" i="2" s="1"/>
  <c r="Q106" i="9"/>
  <c r="N129" i="9"/>
  <c r="Q129" i="9"/>
  <c r="I7" i="2"/>
  <c r="N102" i="2"/>
  <c r="J6" i="2"/>
  <c r="V13" i="9"/>
  <c r="H7" i="2"/>
  <c r="L5" i="2"/>
  <c r="D9" i="9"/>
  <c r="N106" i="9"/>
  <c r="N32" i="9"/>
  <c r="M168" i="9"/>
  <c r="N141" i="17" l="1"/>
  <c r="C6" i="2"/>
  <c r="L102" i="2"/>
  <c r="C115" i="16"/>
  <c r="C112" i="17"/>
  <c r="C114" i="17" s="1"/>
  <c r="C116" i="17" s="1"/>
  <c r="C102" i="4"/>
  <c r="C6" i="4" s="1"/>
  <c r="C7" i="4" s="1"/>
  <c r="J116" i="17"/>
  <c r="N116" i="17" s="1"/>
  <c r="N103" i="17"/>
  <c r="D13" i="11"/>
  <c r="L13" i="11" s="1"/>
  <c r="L16" i="16"/>
  <c r="M5" i="3"/>
  <c r="F89" i="17"/>
  <c r="N89" i="17" s="1"/>
  <c r="N76" i="17"/>
  <c r="E62" i="17"/>
  <c r="M62" i="17" s="1"/>
  <c r="I141" i="17"/>
  <c r="I143" i="17" s="1"/>
  <c r="M143" i="17" s="1"/>
  <c r="M139" i="17"/>
  <c r="D143" i="17"/>
  <c r="L143" i="17" s="1"/>
  <c r="L141" i="17"/>
  <c r="D116" i="17"/>
  <c r="L116" i="17" s="1"/>
  <c r="E116" i="17"/>
  <c r="M116" i="17" s="1"/>
  <c r="M114" i="17"/>
  <c r="E138" i="16"/>
  <c r="E143" i="16" s="1"/>
  <c r="E21" i="16" s="1"/>
  <c r="D99" i="3"/>
  <c r="D85" i="17" s="1"/>
  <c r="C114" i="16"/>
  <c r="C102" i="3"/>
  <c r="L102" i="3" s="1"/>
  <c r="D62" i="17"/>
  <c r="L62" i="17" s="1"/>
  <c r="D35" i="17"/>
  <c r="J18" i="11"/>
  <c r="N18" i="11" s="1"/>
  <c r="N21" i="16"/>
  <c r="J17" i="11"/>
  <c r="J22" i="16"/>
  <c r="F37" i="11"/>
  <c r="F41" i="11" s="1"/>
  <c r="N6" i="5"/>
  <c r="J7" i="5"/>
  <c r="I18" i="11"/>
  <c r="I198" i="9"/>
  <c r="I200" i="9" s="1"/>
  <c r="M102" i="4"/>
  <c r="N15" i="15"/>
  <c r="J29" i="11"/>
  <c r="J37" i="11" s="1"/>
  <c r="J23" i="15"/>
  <c r="N23" i="15" s="1"/>
  <c r="D22" i="15"/>
  <c r="P13" i="11"/>
  <c r="C85" i="17"/>
  <c r="C87" i="17" s="1"/>
  <c r="C89" i="17" s="1"/>
  <c r="L99" i="3"/>
  <c r="I35" i="11"/>
  <c r="I37" i="11" s="1"/>
  <c r="I23" i="15"/>
  <c r="I9" i="15" s="1"/>
  <c r="E29" i="11"/>
  <c r="M29" i="11" s="1"/>
  <c r="M15" i="15"/>
  <c r="Q19" i="17"/>
  <c r="Q101" i="15"/>
  <c r="Q17" i="17"/>
  <c r="Q77" i="15"/>
  <c r="Q85" i="15" s="1"/>
  <c r="H197" i="9"/>
  <c r="H209" i="9" s="1"/>
  <c r="H21" i="17"/>
  <c r="H125" i="15"/>
  <c r="E109" i="15"/>
  <c r="E19" i="15" s="1"/>
  <c r="T13" i="17"/>
  <c r="E85" i="15"/>
  <c r="E17" i="15" s="1"/>
  <c r="S32" i="9"/>
  <c r="Q15" i="17"/>
  <c r="Q53" i="15"/>
  <c r="L15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S129" i="9"/>
  <c r="V129" i="9" s="1"/>
  <c r="Q195" i="9"/>
  <c r="M9" i="9"/>
  <c r="I7" i="7"/>
  <c r="M6" i="7"/>
  <c r="M6" i="2"/>
  <c r="M102" i="5"/>
  <c r="I6" i="5"/>
  <c r="J6" i="4"/>
  <c r="N102" i="4"/>
  <c r="M99" i="3"/>
  <c r="H168" i="9"/>
  <c r="I7" i="3"/>
  <c r="N102" i="3"/>
  <c r="J6" i="3"/>
  <c r="L33" i="11"/>
  <c r="L31" i="11"/>
  <c r="N6" i="2"/>
  <c r="J7" i="2"/>
  <c r="M42" i="10"/>
  <c r="I39" i="10"/>
  <c r="C39" i="10"/>
  <c r="C7" i="2" l="1"/>
  <c r="D8" i="2"/>
  <c r="L6" i="2"/>
  <c r="M141" i="17"/>
  <c r="E99" i="3"/>
  <c r="E102" i="3" s="1"/>
  <c r="C6" i="3"/>
  <c r="C7" i="3" s="1"/>
  <c r="D114" i="16"/>
  <c r="D120" i="16" s="1"/>
  <c r="D20" i="16" s="1"/>
  <c r="D102" i="3"/>
  <c r="D6" i="3" s="1"/>
  <c r="E114" i="16"/>
  <c r="E120" i="16" s="1"/>
  <c r="E20" i="16" s="1"/>
  <c r="D87" i="17"/>
  <c r="L85" i="17"/>
  <c r="D23" i="15"/>
  <c r="D9" i="15" s="1"/>
  <c r="D36" i="11"/>
  <c r="L36" i="11" s="1"/>
  <c r="H22" i="17"/>
  <c r="H35" i="17" s="1"/>
  <c r="L35" i="17" s="1"/>
  <c r="L21" i="17"/>
  <c r="I26" i="17"/>
  <c r="I52" i="16"/>
  <c r="I60" i="16" s="1"/>
  <c r="I15" i="16" s="1"/>
  <c r="C96" i="10"/>
  <c r="C9" i="10" s="1"/>
  <c r="L9" i="10" s="1"/>
  <c r="C52" i="16"/>
  <c r="C60" i="16" s="1"/>
  <c r="C15" i="16" s="1"/>
  <c r="C26" i="17"/>
  <c r="C33" i="17" s="1"/>
  <c r="J9" i="15"/>
  <c r="I17" i="11"/>
  <c r="J9" i="16"/>
  <c r="N22" i="16"/>
  <c r="N17" i="11"/>
  <c r="J19" i="11"/>
  <c r="N19" i="11" s="1"/>
  <c r="H198" i="9"/>
  <c r="N29" i="11"/>
  <c r="N37" i="11"/>
  <c r="E145" i="15"/>
  <c r="H206" i="9"/>
  <c r="E31" i="11"/>
  <c r="M31" i="11" s="1"/>
  <c r="M17" i="15"/>
  <c r="E33" i="11"/>
  <c r="M33" i="11" s="1"/>
  <c r="M19" i="15"/>
  <c r="S195" i="9"/>
  <c r="S19" i="17"/>
  <c r="T19" i="17" s="1"/>
  <c r="S101" i="15"/>
  <c r="T129" i="9"/>
  <c r="T32" i="9"/>
  <c r="S15" i="17"/>
  <c r="S53" i="15"/>
  <c r="V32" i="9"/>
  <c r="H133" i="15"/>
  <c r="H21" i="15" s="1"/>
  <c r="L29" i="11"/>
  <c r="L6" i="3"/>
  <c r="E145" i="9"/>
  <c r="N161" i="9"/>
  <c r="D208" i="9"/>
  <c r="D209" i="9" s="1"/>
  <c r="D206" i="9"/>
  <c r="M6" i="5"/>
  <c r="I7" i="5"/>
  <c r="J7" i="4"/>
  <c r="N6" i="4"/>
  <c r="H9" i="9"/>
  <c r="N6" i="3"/>
  <c r="J7" i="3"/>
  <c r="L39" i="10"/>
  <c r="I96" i="10"/>
  <c r="M39" i="10"/>
  <c r="L22" i="17" l="1"/>
  <c r="E85" i="17"/>
  <c r="M85" i="17" s="1"/>
  <c r="M102" i="3"/>
  <c r="E87" i="17"/>
  <c r="D37" i="11"/>
  <c r="D89" i="17"/>
  <c r="L89" i="17" s="1"/>
  <c r="L87" i="17"/>
  <c r="I12" i="11"/>
  <c r="I19" i="11" s="1"/>
  <c r="M15" i="16"/>
  <c r="I22" i="16"/>
  <c r="I9" i="16" s="1"/>
  <c r="I33" i="17"/>
  <c r="M26" i="17"/>
  <c r="C12" i="11"/>
  <c r="P15" i="16"/>
  <c r="P12" i="11" s="1"/>
  <c r="N41" i="11"/>
  <c r="J41" i="11"/>
  <c r="E22" i="15"/>
  <c r="E36" i="11" s="1"/>
  <c r="M36" i="11" s="1"/>
  <c r="D18" i="11"/>
  <c r="L18" i="11" s="1"/>
  <c r="L21" i="16"/>
  <c r="D17" i="11"/>
  <c r="D22" i="16"/>
  <c r="H35" i="11"/>
  <c r="L21" i="15"/>
  <c r="H23" i="15"/>
  <c r="T15" i="17"/>
  <c r="Q145" i="9"/>
  <c r="S145" i="9" s="1"/>
  <c r="S21" i="17" s="1"/>
  <c r="T21" i="17" s="1"/>
  <c r="E21" i="17"/>
  <c r="M9" i="15"/>
  <c r="E168" i="9"/>
  <c r="E171" i="9" s="1"/>
  <c r="E125" i="15"/>
  <c r="E6" i="3"/>
  <c r="E7" i="3" s="1"/>
  <c r="N145" i="9"/>
  <c r="E197" i="9"/>
  <c r="E206" i="9" s="1"/>
  <c r="H200" i="9"/>
  <c r="D7" i="3"/>
  <c r="M6" i="3"/>
  <c r="M96" i="10"/>
  <c r="F170" i="9" s="1"/>
  <c r="I9" i="10"/>
  <c r="M9" i="10" s="1"/>
  <c r="L96" i="10"/>
  <c r="M12" i="11" l="1"/>
  <c r="E89" i="17"/>
  <c r="M89" i="17" s="1"/>
  <c r="M87" i="17"/>
  <c r="E22" i="17"/>
  <c r="M22" i="17" s="1"/>
  <c r="M21" i="17"/>
  <c r="M33" i="17"/>
  <c r="I35" i="17"/>
  <c r="Q197" i="9"/>
  <c r="D9" i="16"/>
  <c r="M9" i="16" s="1"/>
  <c r="L22" i="16"/>
  <c r="E17" i="11"/>
  <c r="E22" i="16"/>
  <c r="E18" i="11"/>
  <c r="M18" i="11" s="1"/>
  <c r="M21" i="16"/>
  <c r="L17" i="11"/>
  <c r="D19" i="11"/>
  <c r="N168" i="9"/>
  <c r="E9" i="9"/>
  <c r="N9" i="9" s="1"/>
  <c r="Q125" i="15"/>
  <c r="Q133" i="15" s="1"/>
  <c r="Q21" i="17"/>
  <c r="Q22" i="17" s="1"/>
  <c r="H9" i="15"/>
  <c r="L23" i="15"/>
  <c r="E133" i="15"/>
  <c r="E21" i="15" s="1"/>
  <c r="H37" i="11"/>
  <c r="L35" i="11"/>
  <c r="E198" i="9"/>
  <c r="E209" i="9"/>
  <c r="Q168" i="9"/>
  <c r="S197" i="9"/>
  <c r="S125" i="15"/>
  <c r="S133" i="15" s="1"/>
  <c r="E35" i="17" l="1"/>
  <c r="M35" i="17" s="1"/>
  <c r="E200" i="9"/>
  <c r="E19" i="11"/>
  <c r="D41" i="11"/>
  <c r="L19" i="11"/>
  <c r="E9" i="16"/>
  <c r="R9" i="16" s="1"/>
  <c r="M22" i="16"/>
  <c r="Q9" i="9"/>
  <c r="E35" i="11"/>
  <c r="R35" i="11" s="1"/>
  <c r="E23" i="15"/>
  <c r="E9" i="15" s="1"/>
  <c r="M21" i="15"/>
  <c r="H41" i="11"/>
  <c r="L37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33" i="11"/>
  <c r="P28" i="11"/>
  <c r="P29" i="11"/>
  <c r="R8" i="10"/>
  <c r="R10" i="3" s="1"/>
  <c r="R98" i="3" s="1"/>
  <c r="R10" i="5"/>
  <c r="R82" i="5" s="1"/>
  <c r="P34" i="11"/>
  <c r="R8" i="9"/>
  <c r="R10" i="4" s="1"/>
  <c r="P8" i="10"/>
  <c r="P48" i="10" s="1"/>
  <c r="P8" i="9"/>
  <c r="P88" i="9" s="1"/>
  <c r="Q8" i="10"/>
  <c r="Q35" i="11" l="1"/>
  <c r="Q37" i="11" s="1"/>
  <c r="R85" i="3"/>
  <c r="R94" i="3"/>
  <c r="R93" i="3"/>
  <c r="Q10" i="5"/>
  <c r="Q82" i="5" s="1"/>
  <c r="Q8" i="16"/>
  <c r="Q13" i="10"/>
  <c r="R88" i="5"/>
  <c r="R87" i="5"/>
  <c r="R86" i="5"/>
  <c r="Q87" i="5"/>
  <c r="Q88" i="5"/>
  <c r="Q86" i="5"/>
  <c r="Q84" i="5"/>
  <c r="Q85" i="5"/>
  <c r="Q83" i="5"/>
  <c r="R102" i="5"/>
  <c r="R6" i="5" s="1"/>
  <c r="R84" i="5"/>
  <c r="R85" i="5"/>
  <c r="R83" i="5"/>
  <c r="R94" i="4"/>
  <c r="R93" i="4"/>
  <c r="R87" i="4"/>
  <c r="R84" i="4"/>
  <c r="R85" i="4"/>
  <c r="R88" i="4"/>
  <c r="R86" i="4"/>
  <c r="R83" i="4"/>
  <c r="R88" i="3"/>
  <c r="R87" i="3"/>
  <c r="L41" i="11"/>
  <c r="N9" i="16"/>
  <c r="Q9" i="16"/>
  <c r="M23" i="15"/>
  <c r="R10" i="2"/>
  <c r="E37" i="11"/>
  <c r="M35" i="11"/>
  <c r="Q9" i="15"/>
  <c r="N9" i="15"/>
  <c r="Q8" i="9"/>
  <c r="P57" i="10"/>
  <c r="P15" i="10"/>
  <c r="Q41" i="10"/>
  <c r="Q40" i="10" s="1"/>
  <c r="P10" i="6"/>
  <c r="P76" i="6" s="1"/>
  <c r="Q10" i="3"/>
  <c r="R13" i="3"/>
  <c r="R67" i="17" s="1"/>
  <c r="R30" i="3"/>
  <c r="R68" i="17" s="1"/>
  <c r="R33" i="3"/>
  <c r="R69" i="17" s="1"/>
  <c r="R95" i="3"/>
  <c r="R99" i="3"/>
  <c r="R102" i="3"/>
  <c r="R10" i="6"/>
  <c r="R96" i="6" s="1"/>
  <c r="S32" i="11"/>
  <c r="V32" i="11" s="1"/>
  <c r="S28" i="11"/>
  <c r="T28" i="11" s="1"/>
  <c r="S33" i="11"/>
  <c r="T33" i="11" s="1"/>
  <c r="R37" i="11"/>
  <c r="Q68" i="5"/>
  <c r="Q36" i="5"/>
  <c r="Q64" i="5"/>
  <c r="Q70" i="5"/>
  <c r="Q14" i="5"/>
  <c r="Q62" i="5"/>
  <c r="Q21" i="5"/>
  <c r="Q43" i="5"/>
  <c r="Q72" i="5"/>
  <c r="Q71" i="5"/>
  <c r="Q19" i="5"/>
  <c r="Q24" i="5"/>
  <c r="Q98" i="5"/>
  <c r="Q41" i="5"/>
  <c r="Q53" i="5"/>
  <c r="Q94" i="5"/>
  <c r="Q17" i="5"/>
  <c r="Q55" i="5"/>
  <c r="Q93" i="5"/>
  <c r="Q50" i="5"/>
  <c r="Q15" i="5"/>
  <c r="Q66" i="5"/>
  <c r="Q95" i="5"/>
  <c r="Q23" i="5"/>
  <c r="Q38" i="5"/>
  <c r="Q101" i="5"/>
  <c r="Q80" i="5"/>
  <c r="Q18" i="5"/>
  <c r="Q30" i="5"/>
  <c r="Q22" i="5"/>
  <c r="Q75" i="5"/>
  <c r="Q20" i="5"/>
  <c r="Q40" i="5"/>
  <c r="Q77" i="5"/>
  <c r="Q73" i="5"/>
  <c r="Q47" i="5"/>
  <c r="Q57" i="5"/>
  <c r="Q39" i="5"/>
  <c r="Q52" i="5"/>
  <c r="Q49" i="5"/>
  <c r="Q79" i="5"/>
  <c r="Q33" i="5"/>
  <c r="Q42" i="5"/>
  <c r="Q69" i="5"/>
  <c r="Q63" i="5"/>
  <c r="Q96" i="5"/>
  <c r="Q34" i="5"/>
  <c r="Q48" i="5"/>
  <c r="Q78" i="5"/>
  <c r="Q37" i="5"/>
  <c r="Q16" i="5"/>
  <c r="Q65" i="5"/>
  <c r="Q26" i="5"/>
  <c r="Q59" i="5"/>
  <c r="Q51" i="5"/>
  <c r="Q99" i="5"/>
  <c r="Q27" i="5"/>
  <c r="Q45" i="5"/>
  <c r="Q58" i="5"/>
  <c r="Q35" i="5"/>
  <c r="Q60" i="5"/>
  <c r="Q61" i="5"/>
  <c r="Q100" i="5"/>
  <c r="Q25" i="5"/>
  <c r="Q74" i="5"/>
  <c r="Q76" i="5"/>
  <c r="Q54" i="5"/>
  <c r="Q56" i="5"/>
  <c r="Q67" i="5"/>
  <c r="Q44" i="5"/>
  <c r="Q46" i="5"/>
  <c r="Q29" i="5"/>
  <c r="Q122" i="17" s="1"/>
  <c r="Q13" i="5"/>
  <c r="Q121" i="17" s="1"/>
  <c r="Q81" i="5"/>
  <c r="Q102" i="5"/>
  <c r="Q6" i="5" s="1"/>
  <c r="Q89" i="5"/>
  <c r="Q5" i="5" s="1"/>
  <c r="Q182" i="9" s="1"/>
  <c r="Q32" i="5"/>
  <c r="Q123" i="17" s="1"/>
  <c r="R38" i="3"/>
  <c r="R59" i="3"/>
  <c r="R22" i="3"/>
  <c r="R21" i="3"/>
  <c r="R53" i="3"/>
  <c r="R50" i="3"/>
  <c r="R74" i="3"/>
  <c r="R79" i="3"/>
  <c r="R60" i="3"/>
  <c r="R52" i="3"/>
  <c r="R19" i="3"/>
  <c r="R69" i="3"/>
  <c r="R43" i="3"/>
  <c r="R44" i="3"/>
  <c r="R82" i="3"/>
  <c r="R47" i="3"/>
  <c r="R78" i="3"/>
  <c r="R81" i="3"/>
  <c r="R36" i="3"/>
  <c r="R73" i="3"/>
  <c r="R64" i="3"/>
  <c r="R20" i="3"/>
  <c r="R54" i="3"/>
  <c r="R55" i="3"/>
  <c r="R45" i="3"/>
  <c r="R27" i="3"/>
  <c r="R18" i="3"/>
  <c r="R40" i="3"/>
  <c r="R80" i="3"/>
  <c r="R70" i="3"/>
  <c r="R56" i="3"/>
  <c r="R61" i="3"/>
  <c r="R23" i="3"/>
  <c r="R16" i="3"/>
  <c r="R41" i="3"/>
  <c r="R35" i="3"/>
  <c r="R57" i="3"/>
  <c r="R71" i="3"/>
  <c r="R62" i="3"/>
  <c r="R29" i="3"/>
  <c r="R67" i="3"/>
  <c r="R77" i="3"/>
  <c r="R75" i="3"/>
  <c r="R101" i="3"/>
  <c r="R68" i="3"/>
  <c r="R76" i="3"/>
  <c r="R48" i="3"/>
  <c r="R24" i="3"/>
  <c r="R39" i="3"/>
  <c r="R97" i="3"/>
  <c r="R42" i="3"/>
  <c r="R17" i="3"/>
  <c r="R28" i="3"/>
  <c r="R37" i="3"/>
  <c r="R66" i="3"/>
  <c r="R51" i="3"/>
  <c r="R65" i="3"/>
  <c r="R63" i="3"/>
  <c r="R58" i="3"/>
  <c r="R25" i="3"/>
  <c r="R26" i="3"/>
  <c r="R46" i="3"/>
  <c r="R84" i="3"/>
  <c r="R72" i="17" s="1"/>
  <c r="R49" i="3"/>
  <c r="R100" i="3"/>
  <c r="R138" i="16" s="1"/>
  <c r="R72" i="3"/>
  <c r="R96" i="3"/>
  <c r="R15" i="3"/>
  <c r="R31" i="3"/>
  <c r="R34" i="3"/>
  <c r="Q157" i="9"/>
  <c r="Q110" i="9"/>
  <c r="Q139" i="9"/>
  <c r="Q49" i="9"/>
  <c r="Q75" i="9"/>
  <c r="Q151" i="9"/>
  <c r="Q95" i="9"/>
  <c r="Q87" i="9"/>
  <c r="Q58" i="9"/>
  <c r="Q132" i="9"/>
  <c r="Q159" i="9"/>
  <c r="Q61" i="9"/>
  <c r="Q94" i="9"/>
  <c r="Q39" i="9"/>
  <c r="Q137" i="9"/>
  <c r="Q26" i="9"/>
  <c r="Q130" i="9"/>
  <c r="Q124" i="9"/>
  <c r="Q55" i="9"/>
  <c r="Q37" i="9"/>
  <c r="Q20" i="9"/>
  <c r="Q156" i="9"/>
  <c r="Q97" i="9"/>
  <c r="Q141" i="9"/>
  <c r="Q154" i="9"/>
  <c r="Q77" i="9"/>
  <c r="Q111" i="9"/>
  <c r="Q146" i="9"/>
  <c r="Q56" i="9"/>
  <c r="Q147" i="9"/>
  <c r="Q115" i="9"/>
  <c r="Q18" i="9"/>
  <c r="Q153" i="9"/>
  <c r="Q104" i="9"/>
  <c r="Q133" i="9"/>
  <c r="Q41" i="9"/>
  <c r="Q71" i="9"/>
  <c r="Q131" i="9"/>
  <c r="Q76" i="9"/>
  <c r="Q90" i="9"/>
  <c r="Q116" i="9"/>
  <c r="Q68" i="9"/>
  <c r="Q136" i="9"/>
  <c r="Q103" i="9"/>
  <c r="Q85" i="9"/>
  <c r="Q118" i="9"/>
  <c r="Q53" i="9"/>
  <c r="Q33" i="9"/>
  <c r="Q54" i="9"/>
  <c r="Q138" i="9"/>
  <c r="Q40" i="9"/>
  <c r="Q65" i="9"/>
  <c r="Q98" i="9"/>
  <c r="Q45" i="9"/>
  <c r="Q35" i="9"/>
  <c r="Q44" i="9"/>
  <c r="Q23" i="9"/>
  <c r="Q155" i="9"/>
  <c r="Q52" i="9"/>
  <c r="Q78" i="9"/>
  <c r="Q112" i="9"/>
  <c r="Q63" i="9"/>
  <c r="Q38" i="9"/>
  <c r="Q25" i="9"/>
  <c r="Q16" i="9"/>
  <c r="Q160" i="9"/>
  <c r="Q101" i="9"/>
  <c r="Q42" i="9"/>
  <c r="Q19" i="9"/>
  <c r="Q162" i="9"/>
  <c r="Q122" i="9"/>
  <c r="Q86" i="9"/>
  <c r="Q140" i="9"/>
  <c r="Q22" i="9"/>
  <c r="Q127" i="9"/>
  <c r="Q126" i="9"/>
  <c r="Q21" i="9"/>
  <c r="Q48" i="9"/>
  <c r="Q34" i="9"/>
  <c r="Q46" i="9"/>
  <c r="Q123" i="9"/>
  <c r="Q164" i="9"/>
  <c r="Q150" i="9"/>
  <c r="Q59" i="9"/>
  <c r="Q66" i="9"/>
  <c r="Q62" i="9"/>
  <c r="Q152" i="9"/>
  <c r="Q99" i="9"/>
  <c r="Q165" i="9"/>
  <c r="Q50" i="9"/>
  <c r="Q166" i="9"/>
  <c r="Q15" i="9"/>
  <c r="Q79" i="9"/>
  <c r="Q91" i="9"/>
  <c r="Q74" i="9"/>
  <c r="Q17" i="9"/>
  <c r="Q69" i="9"/>
  <c r="Q83" i="9"/>
  <c r="Q109" i="9"/>
  <c r="Q89" i="9"/>
  <c r="Q121" i="9"/>
  <c r="Q114" i="9"/>
  <c r="Q93" i="9"/>
  <c r="Q47" i="9"/>
  <c r="Q107" i="9"/>
  <c r="Q72" i="9"/>
  <c r="Q88" i="9"/>
  <c r="Q143" i="9"/>
  <c r="Q113" i="9"/>
  <c r="Q148" i="9"/>
  <c r="Q57" i="9"/>
  <c r="Q142" i="9"/>
  <c r="Q51" i="9"/>
  <c r="Q100" i="9"/>
  <c r="Q96" i="9"/>
  <c r="Q125" i="9"/>
  <c r="Q163" i="9"/>
  <c r="Q158" i="9"/>
  <c r="Q43" i="9"/>
  <c r="Q64" i="9"/>
  <c r="Q27" i="9"/>
  <c r="Q92" i="9"/>
  <c r="Q73" i="9"/>
  <c r="Q67" i="9"/>
  <c r="Q102" i="9"/>
  <c r="Q36" i="9"/>
  <c r="Q60" i="9"/>
  <c r="Q149" i="9"/>
  <c r="Q108" i="9"/>
  <c r="Q84" i="9"/>
  <c r="Q70" i="9"/>
  <c r="Q30" i="9"/>
  <c r="Q117" i="9"/>
  <c r="Q161" i="9"/>
  <c r="P78" i="6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R95" i="4"/>
  <c r="R41" i="4"/>
  <c r="R39" i="4"/>
  <c r="R96" i="4"/>
  <c r="R74" i="4"/>
  <c r="R37" i="4"/>
  <c r="R28" i="4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146" i="9"/>
  <c r="P38" i="9"/>
  <c r="P10" i="7"/>
  <c r="Q10" i="2"/>
  <c r="P10" i="2"/>
  <c r="P15" i="9"/>
  <c r="P44" i="9"/>
  <c r="P10" i="5"/>
  <c r="P82" i="5" s="1"/>
  <c r="P107" i="9"/>
  <c r="P64" i="9"/>
  <c r="P10" i="3"/>
  <c r="P98" i="3" s="1"/>
  <c r="Q10" i="4"/>
  <c r="S29" i="11"/>
  <c r="P130" i="9"/>
  <c r="P26" i="9"/>
  <c r="R68" i="10"/>
  <c r="P14" i="10"/>
  <c r="R102" i="4"/>
  <c r="R6" i="4" s="1"/>
  <c r="P147" i="9"/>
  <c r="P124" i="9"/>
  <c r="P143" i="9"/>
  <c r="P81" i="10"/>
  <c r="P30" i="9"/>
  <c r="P85" i="9"/>
  <c r="P41" i="9"/>
  <c r="P71" i="10"/>
  <c r="P78" i="10"/>
  <c r="P89" i="9"/>
  <c r="P69" i="10"/>
  <c r="P151" i="9"/>
  <c r="P53" i="9"/>
  <c r="P86" i="9"/>
  <c r="R34" i="6"/>
  <c r="R89" i="6"/>
  <c r="R5" i="6" s="1"/>
  <c r="R183" i="9" s="1"/>
  <c r="P51" i="9"/>
  <c r="P110" i="9"/>
  <c r="P40" i="6"/>
  <c r="P139" i="9"/>
  <c r="R164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166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161" i="9"/>
  <c r="R165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162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163" i="9"/>
  <c r="R9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60" i="9"/>
  <c r="R132" i="9"/>
  <c r="R55" i="9"/>
  <c r="R115" i="9"/>
  <c r="R117" i="9"/>
  <c r="R67" i="9"/>
  <c r="R112" i="9"/>
  <c r="P70" i="9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37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35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P60" i="10"/>
  <c r="R14" i="10"/>
  <c r="P19" i="10"/>
  <c r="P89" i="10"/>
  <c r="P160" i="9"/>
  <c r="P26" i="10"/>
  <c r="P20" i="9"/>
  <c r="R48" i="10"/>
  <c r="R47" i="10" s="1"/>
  <c r="P87" i="10"/>
  <c r="S30" i="11"/>
  <c r="R77" i="10"/>
  <c r="P101" i="9"/>
  <c r="P94" i="9"/>
  <c r="P42" i="9"/>
  <c r="P61" i="9"/>
  <c r="P55" i="9"/>
  <c r="P76" i="9"/>
  <c r="P150" i="9"/>
  <c r="P154" i="9"/>
  <c r="P140" i="9"/>
  <c r="P57" i="9"/>
  <c r="P141" i="9"/>
  <c r="P71" i="9"/>
  <c r="P34" i="9"/>
  <c r="P40" i="9"/>
  <c r="P78" i="9"/>
  <c r="P137" i="9"/>
  <c r="P125" i="9"/>
  <c r="P75" i="9"/>
  <c r="P138" i="9"/>
  <c r="P113" i="9"/>
  <c r="P48" i="9"/>
  <c r="P127" i="9"/>
  <c r="P157" i="9"/>
  <c r="P95" i="9"/>
  <c r="P73" i="9"/>
  <c r="P67" i="9"/>
  <c r="P63" i="9"/>
  <c r="P165" i="9"/>
  <c r="P132" i="9"/>
  <c r="P99" i="9"/>
  <c r="P162" i="9"/>
  <c r="P155" i="9"/>
  <c r="P100" i="9"/>
  <c r="P36" i="9"/>
  <c r="P72" i="9"/>
  <c r="P66" i="9"/>
  <c r="P93" i="9"/>
  <c r="P115" i="9"/>
  <c r="P33" i="9"/>
  <c r="S33" i="9" s="1"/>
  <c r="V33" i="9" s="1"/>
  <c r="P59" i="9"/>
  <c r="P126" i="9"/>
  <c r="P158" i="9"/>
  <c r="P109" i="9"/>
  <c r="P19" i="9"/>
  <c r="P56" i="9"/>
  <c r="P54" i="9"/>
  <c r="P122" i="9"/>
  <c r="P148" i="9"/>
  <c r="S148" i="9" s="1"/>
  <c r="V148" i="9" s="1"/>
  <c r="P87" i="9"/>
  <c r="P142" i="9"/>
  <c r="P163" i="9"/>
  <c r="P131" i="9"/>
  <c r="S131" i="9" s="1"/>
  <c r="V131" i="9" s="1"/>
  <c r="P45" i="9"/>
  <c r="P152" i="9"/>
  <c r="P49" i="9"/>
  <c r="P92" i="9"/>
  <c r="P47" i="9"/>
  <c r="P39" i="9"/>
  <c r="P90" i="9"/>
  <c r="P121" i="9"/>
  <c r="P111" i="9"/>
  <c r="P21" i="9"/>
  <c r="P27" i="9"/>
  <c r="P16" i="9"/>
  <c r="P65" i="9"/>
  <c r="P37" i="9"/>
  <c r="P149" i="9"/>
  <c r="P77" i="9"/>
  <c r="S77" i="9" s="1"/>
  <c r="V77" i="9" s="1"/>
  <c r="P91" i="9"/>
  <c r="P23" i="9"/>
  <c r="P164" i="9"/>
  <c r="P102" i="9"/>
  <c r="P68" i="9"/>
  <c r="P156" i="9"/>
  <c r="P103" i="9"/>
  <c r="P62" i="9"/>
  <c r="P52" i="9"/>
  <c r="P46" i="9"/>
  <c r="P136" i="9"/>
  <c r="P97" i="9"/>
  <c r="P133" i="9"/>
  <c r="P74" i="9"/>
  <c r="P79" i="9"/>
  <c r="P108" i="9"/>
  <c r="P159" i="9"/>
  <c r="P25" i="9"/>
  <c r="Q26" i="3"/>
  <c r="R47" i="5"/>
  <c r="R46" i="5"/>
  <c r="R18" i="5"/>
  <c r="R65" i="5"/>
  <c r="R57" i="5"/>
  <c r="R42" i="5"/>
  <c r="R40" i="5"/>
  <c r="R21" i="5"/>
  <c r="R100" i="5"/>
  <c r="R69" i="5"/>
  <c r="R99" i="5"/>
  <c r="R33" i="5"/>
  <c r="R37" i="5"/>
  <c r="R43" i="5"/>
  <c r="R71" i="5"/>
  <c r="R23" i="5"/>
  <c r="R22" i="5"/>
  <c r="R55" i="5"/>
  <c r="R94" i="5"/>
  <c r="R25" i="5"/>
  <c r="R26" i="5"/>
  <c r="R19" i="5"/>
  <c r="R101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P166" i="9"/>
  <c r="P116" i="9"/>
  <c r="P96" i="9"/>
  <c r="P22" i="9"/>
  <c r="Q23" i="10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Q81" i="10"/>
  <c r="Q85" i="10"/>
  <c r="Q91" i="10"/>
  <c r="Q69" i="10"/>
  <c r="Q45" i="10"/>
  <c r="Q22" i="10"/>
  <c r="Q95" i="10"/>
  <c r="Q74" i="10"/>
  <c r="Q15" i="10"/>
  <c r="Q28" i="10"/>
  <c r="Q34" i="10"/>
  <c r="Q24" i="10"/>
  <c r="Q38" i="10"/>
  <c r="Q70" i="10"/>
  <c r="Q49" i="10"/>
  <c r="Q60" i="10"/>
  <c r="Q19" i="10"/>
  <c r="Q61" i="10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P21" i="10"/>
  <c r="P91" i="10"/>
  <c r="P86" i="10"/>
  <c r="P61" i="10"/>
  <c r="S61" i="10" s="1"/>
  <c r="V61" i="10" s="1"/>
  <c r="P92" i="10"/>
  <c r="P63" i="10"/>
  <c r="P74" i="10"/>
  <c r="P59" i="10"/>
  <c r="P64" i="10"/>
  <c r="P32" i="10"/>
  <c r="P58" i="10"/>
  <c r="P66" i="10"/>
  <c r="P20" i="10"/>
  <c r="P54" i="10"/>
  <c r="P65" i="10"/>
  <c r="P29" i="10"/>
  <c r="P94" i="10"/>
  <c r="S94" i="10" s="1"/>
  <c r="V94" i="10" s="1"/>
  <c r="P84" i="10"/>
  <c r="P55" i="10"/>
  <c r="P23" i="10"/>
  <c r="P24" i="10"/>
  <c r="P16" i="10"/>
  <c r="P77" i="10"/>
  <c r="P88" i="10"/>
  <c r="P37" i="10"/>
  <c r="P36" i="10"/>
  <c r="P82" i="10"/>
  <c r="P93" i="10"/>
  <c r="P79" i="10"/>
  <c r="P85" i="10"/>
  <c r="P95" i="10"/>
  <c r="S95" i="10" s="1"/>
  <c r="V95" i="10" s="1"/>
  <c r="P90" i="10"/>
  <c r="P43" i="10"/>
  <c r="P83" i="10"/>
  <c r="P45" i="10"/>
  <c r="P27" i="10"/>
  <c r="P31" i="10"/>
  <c r="P53" i="10"/>
  <c r="P56" i="10"/>
  <c r="P62" i="10"/>
  <c r="P49" i="10"/>
  <c r="P35" i="10"/>
  <c r="P52" i="10"/>
  <c r="P34" i="10"/>
  <c r="P28" i="10"/>
  <c r="P75" i="10"/>
  <c r="P18" i="10"/>
  <c r="P22" i="10"/>
  <c r="S22" i="10" s="1"/>
  <c r="V22" i="10" s="1"/>
  <c r="P17" i="10"/>
  <c r="P68" i="10"/>
  <c r="P41" i="10"/>
  <c r="P73" i="10"/>
  <c r="P33" i="10"/>
  <c r="P38" i="10"/>
  <c r="Q10" i="6"/>
  <c r="P83" i="9"/>
  <c r="P98" i="9"/>
  <c r="Q14" i="10"/>
  <c r="P84" i="9"/>
  <c r="P104" i="9"/>
  <c r="P123" i="9"/>
  <c r="S123" i="9" s="1"/>
  <c r="V123" i="9" s="1"/>
  <c r="P46" i="10"/>
  <c r="P58" i="9"/>
  <c r="P114" i="9"/>
  <c r="P153" i="9"/>
  <c r="P70" i="10"/>
  <c r="P60" i="9"/>
  <c r="P112" i="9"/>
  <c r="P69" i="9"/>
  <c r="P18" i="9"/>
  <c r="P17" i="9"/>
  <c r="P20" i="15"/>
  <c r="P16" i="15"/>
  <c r="P18" i="15"/>
  <c r="P15" i="15"/>
  <c r="P19" i="15"/>
  <c r="R15" i="15"/>
  <c r="R16" i="15"/>
  <c r="R20" i="15"/>
  <c r="R17" i="15"/>
  <c r="R18" i="15"/>
  <c r="R21" i="15"/>
  <c r="R14" i="15"/>
  <c r="R19" i="15"/>
  <c r="R13" i="15"/>
  <c r="Q52" i="3" l="1"/>
  <c r="Q98" i="3"/>
  <c r="S98" i="3" s="1"/>
  <c r="V98" i="3" s="1"/>
  <c r="S82" i="5"/>
  <c r="V82" i="5" s="1"/>
  <c r="R100" i="17"/>
  <c r="R104" i="15"/>
  <c r="R105" i="17"/>
  <c r="R31" i="16"/>
  <c r="R92" i="15"/>
  <c r="R99" i="17"/>
  <c r="R78" i="17"/>
  <c r="R30" i="16"/>
  <c r="P85" i="3"/>
  <c r="P94" i="3"/>
  <c r="P93" i="3"/>
  <c r="R103" i="15"/>
  <c r="R73" i="17"/>
  <c r="R76" i="17" s="1"/>
  <c r="R124" i="16"/>
  <c r="R32" i="17"/>
  <c r="Q67" i="10"/>
  <c r="Q76" i="16" s="1"/>
  <c r="Q84" i="16" s="1"/>
  <c r="S28" i="10"/>
  <c r="V28" i="10" s="1"/>
  <c r="S29" i="10"/>
  <c r="P124" i="16"/>
  <c r="P32" i="17"/>
  <c r="Q24" i="3"/>
  <c r="S164" i="9"/>
  <c r="V164" i="9" s="1"/>
  <c r="S72" i="9"/>
  <c r="Q50" i="3"/>
  <c r="Q124" i="16"/>
  <c r="Q32" i="17"/>
  <c r="Q85" i="3"/>
  <c r="Q94" i="3"/>
  <c r="Q93" i="3"/>
  <c r="Q24" i="17"/>
  <c r="Q28" i="16"/>
  <c r="S13" i="10"/>
  <c r="Q15" i="16"/>
  <c r="Q19" i="16"/>
  <c r="Q17" i="16"/>
  <c r="Q14" i="16"/>
  <c r="Q18" i="16"/>
  <c r="Q13" i="16"/>
  <c r="Q16" i="16"/>
  <c r="R127" i="17"/>
  <c r="R105" i="15"/>
  <c r="Q105" i="15"/>
  <c r="Q127" i="17"/>
  <c r="Q87" i="7"/>
  <c r="Q88" i="7"/>
  <c r="Q86" i="7"/>
  <c r="P88" i="7"/>
  <c r="P87" i="7"/>
  <c r="P86" i="7"/>
  <c r="R87" i="7"/>
  <c r="R88" i="7"/>
  <c r="R86" i="7"/>
  <c r="Q84" i="7"/>
  <c r="Q85" i="7"/>
  <c r="Q83" i="7"/>
  <c r="Q94" i="7"/>
  <c r="Q93" i="7"/>
  <c r="P84" i="7"/>
  <c r="P94" i="7"/>
  <c r="P85" i="7"/>
  <c r="P83" i="7"/>
  <c r="P93" i="7"/>
  <c r="R94" i="7"/>
  <c r="R85" i="7"/>
  <c r="R84" i="7"/>
  <c r="R83" i="7"/>
  <c r="R93" i="7"/>
  <c r="R25" i="6"/>
  <c r="R16" i="6"/>
  <c r="R33" i="6"/>
  <c r="P53" i="6"/>
  <c r="P30" i="6"/>
  <c r="R46" i="6"/>
  <c r="R17" i="6"/>
  <c r="P73" i="6"/>
  <c r="R54" i="6"/>
  <c r="R76" i="6"/>
  <c r="P34" i="6"/>
  <c r="R42" i="6"/>
  <c r="P96" i="6"/>
  <c r="P65" i="6"/>
  <c r="P52" i="6"/>
  <c r="P27" i="6"/>
  <c r="P72" i="6"/>
  <c r="P101" i="6"/>
  <c r="P167" i="17" s="1"/>
  <c r="R48" i="6"/>
  <c r="R65" i="6"/>
  <c r="R70" i="6"/>
  <c r="R55" i="6"/>
  <c r="P41" i="6"/>
  <c r="P80" i="6"/>
  <c r="R102" i="6"/>
  <c r="R6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R29" i="6"/>
  <c r="R149" i="17" s="1"/>
  <c r="P74" i="6"/>
  <c r="R13" i="6"/>
  <c r="R148" i="17" s="1"/>
  <c r="R23" i="6"/>
  <c r="R18" i="6"/>
  <c r="R100" i="6"/>
  <c r="R141" i="16" s="1"/>
  <c r="R45" i="6"/>
  <c r="P13" i="6"/>
  <c r="P148" i="17" s="1"/>
  <c r="P66" i="6"/>
  <c r="P42" i="6"/>
  <c r="P35" i="6"/>
  <c r="Q88" i="6"/>
  <c r="Q87" i="6"/>
  <c r="Q84" i="6"/>
  <c r="Q82" i="6"/>
  <c r="Q85" i="6"/>
  <c r="Q83" i="6"/>
  <c r="Q86" i="6"/>
  <c r="P67" i="6"/>
  <c r="P37" i="6"/>
  <c r="P71" i="6"/>
  <c r="P20" i="6"/>
  <c r="P26" i="6"/>
  <c r="P44" i="6"/>
  <c r="R59" i="6"/>
  <c r="R95" i="6"/>
  <c r="R31" i="6"/>
  <c r="R66" i="6"/>
  <c r="R19" i="6"/>
  <c r="R37" i="6"/>
  <c r="R20" i="6"/>
  <c r="R99" i="6"/>
  <c r="R51" i="6"/>
  <c r="R38" i="6"/>
  <c r="R69" i="6"/>
  <c r="R97" i="6"/>
  <c r="R64" i="6"/>
  <c r="R43" i="6"/>
  <c r="R74" i="6"/>
  <c r="R77" i="6"/>
  <c r="R21" i="6"/>
  <c r="R44" i="6"/>
  <c r="R57" i="6"/>
  <c r="P97" i="6"/>
  <c r="P39" i="6"/>
  <c r="P99" i="6"/>
  <c r="P23" i="6"/>
  <c r="P36" i="6"/>
  <c r="P16" i="6"/>
  <c r="P89" i="6"/>
  <c r="P5" i="6" s="1"/>
  <c r="P183" i="9" s="1"/>
  <c r="P19" i="6"/>
  <c r="P100" i="6"/>
  <c r="P57" i="6"/>
  <c r="P14" i="6"/>
  <c r="P29" i="6"/>
  <c r="P149" i="17" s="1"/>
  <c r="P50" i="6"/>
  <c r="P61" i="6"/>
  <c r="P25" i="6"/>
  <c r="P54" i="6"/>
  <c r="P24" i="6"/>
  <c r="P60" i="6"/>
  <c r="P94" i="6"/>
  <c r="R32" i="6"/>
  <c r="R150" i="17" s="1"/>
  <c r="R78" i="6"/>
  <c r="R71" i="6"/>
  <c r="R27" i="6"/>
  <c r="R75" i="6"/>
  <c r="R40" i="6"/>
  <c r="R24" i="6"/>
  <c r="R50" i="6"/>
  <c r="R41" i="6"/>
  <c r="R22" i="6"/>
  <c r="R94" i="6"/>
  <c r="R35" i="6"/>
  <c r="R98" i="6"/>
  <c r="R30" i="6"/>
  <c r="R61" i="6"/>
  <c r="R47" i="6"/>
  <c r="R81" i="6"/>
  <c r="R93" i="6"/>
  <c r="R67" i="6"/>
  <c r="P102" i="6"/>
  <c r="P6" i="6" s="1"/>
  <c r="P22" i="6"/>
  <c r="P21" i="6"/>
  <c r="P69" i="6"/>
  <c r="P45" i="6"/>
  <c r="P95" i="6"/>
  <c r="P32" i="6"/>
  <c r="P150" i="17" s="1"/>
  <c r="P58" i="6"/>
  <c r="P17" i="6"/>
  <c r="P49" i="6"/>
  <c r="P28" i="6"/>
  <c r="P98" i="6"/>
  <c r="P51" i="6"/>
  <c r="P38" i="6"/>
  <c r="P64" i="6"/>
  <c r="P47" i="6"/>
  <c r="P79" i="6"/>
  <c r="P43" i="6"/>
  <c r="R72" i="6"/>
  <c r="R53" i="6"/>
  <c r="R60" i="6"/>
  <c r="R101" i="6"/>
  <c r="R28" i="6"/>
  <c r="R73" i="6"/>
  <c r="R63" i="6"/>
  <c r="R80" i="6"/>
  <c r="R62" i="6"/>
  <c r="R49" i="6"/>
  <c r="R79" i="6"/>
  <c r="R14" i="6"/>
  <c r="R58" i="6"/>
  <c r="R52" i="6"/>
  <c r="R36" i="6"/>
  <c r="R26" i="6"/>
  <c r="R39" i="6"/>
  <c r="R56" i="6"/>
  <c r="P33" i="6"/>
  <c r="P63" i="6"/>
  <c r="P59" i="6"/>
  <c r="P56" i="6"/>
  <c r="P77" i="6"/>
  <c r="P62" i="6"/>
  <c r="P55" i="6"/>
  <c r="P81" i="6"/>
  <c r="P18" i="6"/>
  <c r="P93" i="6"/>
  <c r="P48" i="6"/>
  <c r="P46" i="6"/>
  <c r="P70" i="6"/>
  <c r="P31" i="6"/>
  <c r="R93" i="15"/>
  <c r="R126" i="17"/>
  <c r="Q93" i="15"/>
  <c r="Q126" i="17"/>
  <c r="P88" i="5"/>
  <c r="S88" i="5" s="1"/>
  <c r="V88" i="5" s="1"/>
  <c r="P87" i="5"/>
  <c r="S87" i="5" s="1"/>
  <c r="V87" i="5" s="1"/>
  <c r="P86" i="5"/>
  <c r="P85" i="5"/>
  <c r="S85" i="5" s="1"/>
  <c r="V85" i="5" s="1"/>
  <c r="P84" i="5"/>
  <c r="S84" i="5" s="1"/>
  <c r="P83" i="5"/>
  <c r="R32" i="16"/>
  <c r="R132" i="17"/>
  <c r="R140" i="17"/>
  <c r="R139" i="17" s="1"/>
  <c r="R128" i="16"/>
  <c r="R116" i="16" s="1"/>
  <c r="Q140" i="17"/>
  <c r="Q139" i="17" s="1"/>
  <c r="Q128" i="16"/>
  <c r="Q116" i="16" s="1"/>
  <c r="R141" i="15"/>
  <c r="R140" i="16"/>
  <c r="R135" i="17"/>
  <c r="R68" i="16"/>
  <c r="Q141" i="15"/>
  <c r="Q140" i="16"/>
  <c r="Q135" i="17"/>
  <c r="Q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P85" i="4"/>
  <c r="P86" i="4"/>
  <c r="P88" i="4"/>
  <c r="P83" i="4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R85" i="17" s="1"/>
  <c r="Q94" i="2"/>
  <c r="Q93" i="2"/>
  <c r="R48" i="2"/>
  <c r="R94" i="2"/>
  <c r="R93" i="2"/>
  <c r="P94" i="2"/>
  <c r="P93" i="2"/>
  <c r="R32" i="2"/>
  <c r="R42" i="17" s="1"/>
  <c r="R29" i="2"/>
  <c r="R41" i="17" s="1"/>
  <c r="R35" i="2"/>
  <c r="R36" i="2"/>
  <c r="R19" i="2"/>
  <c r="R27" i="2"/>
  <c r="R52" i="2"/>
  <c r="R72" i="2"/>
  <c r="R56" i="2"/>
  <c r="R62" i="2"/>
  <c r="R18" i="2"/>
  <c r="R76" i="2"/>
  <c r="R37" i="2"/>
  <c r="R70" i="2"/>
  <c r="R25" i="2"/>
  <c r="R39" i="2"/>
  <c r="R54" i="2"/>
  <c r="R63" i="2"/>
  <c r="R74" i="2"/>
  <c r="R15" i="2"/>
  <c r="R102" i="2"/>
  <c r="R6" i="2" s="1"/>
  <c r="R26" i="2"/>
  <c r="R20" i="2"/>
  <c r="R66" i="2"/>
  <c r="R97" i="2"/>
  <c r="R67" i="2"/>
  <c r="R38" i="2"/>
  <c r="R99" i="2"/>
  <c r="Q13" i="2"/>
  <c r="Q40" i="17" s="1"/>
  <c r="Q87" i="2"/>
  <c r="Q84" i="2"/>
  <c r="Q86" i="2"/>
  <c r="Q83" i="2"/>
  <c r="R13" i="2"/>
  <c r="R40" i="17" s="1"/>
  <c r="R87" i="2"/>
  <c r="R84" i="2"/>
  <c r="R83" i="2"/>
  <c r="R86" i="2"/>
  <c r="P13" i="2"/>
  <c r="P84" i="2"/>
  <c r="P87" i="2"/>
  <c r="P86" i="2"/>
  <c r="P102" i="15" s="1"/>
  <c r="P83" i="2"/>
  <c r="R73" i="2"/>
  <c r="R96" i="2"/>
  <c r="R75" i="2"/>
  <c r="R80" i="2"/>
  <c r="R49" i="2"/>
  <c r="R21" i="2"/>
  <c r="R34" i="2"/>
  <c r="R100" i="2"/>
  <c r="R137" i="16" s="1"/>
  <c r="R17" i="2"/>
  <c r="R40" i="2"/>
  <c r="R60" i="2"/>
  <c r="R69" i="2"/>
  <c r="R33" i="2"/>
  <c r="R79" i="2"/>
  <c r="R47" i="2"/>
  <c r="R78" i="2"/>
  <c r="R65" i="2"/>
  <c r="R43" i="2"/>
  <c r="R89" i="2"/>
  <c r="R5" i="2" s="1"/>
  <c r="R179" i="9" s="1"/>
  <c r="R71" i="2"/>
  <c r="R101" i="2"/>
  <c r="R59" i="17" s="1"/>
  <c r="R55" i="2"/>
  <c r="R16" i="2"/>
  <c r="R58" i="2"/>
  <c r="R68" i="2"/>
  <c r="R77" i="2"/>
  <c r="R44" i="2"/>
  <c r="R59" i="2"/>
  <c r="R95" i="2"/>
  <c r="R65" i="16" s="1"/>
  <c r="R64" i="2"/>
  <c r="R51" i="2"/>
  <c r="R46" i="2"/>
  <c r="R22" i="2"/>
  <c r="R61" i="2"/>
  <c r="R81" i="2"/>
  <c r="R50" i="2"/>
  <c r="S109" i="9"/>
  <c r="V109" i="9" s="1"/>
  <c r="S63" i="9"/>
  <c r="V63" i="9" s="1"/>
  <c r="S122" i="9"/>
  <c r="T122" i="9" s="1"/>
  <c r="S39" i="9"/>
  <c r="V39" i="9" s="1"/>
  <c r="S59" i="9"/>
  <c r="V59" i="9" s="1"/>
  <c r="S125" i="9"/>
  <c r="T125" i="9" s="1"/>
  <c r="S156" i="9"/>
  <c r="V156" i="9" s="1"/>
  <c r="S158" i="9"/>
  <c r="V158" i="9" s="1"/>
  <c r="S99" i="9"/>
  <c r="V99" i="9" s="1"/>
  <c r="S78" i="9"/>
  <c r="T78" i="9" s="1"/>
  <c r="S47" i="9"/>
  <c r="V47" i="9" s="1"/>
  <c r="S56" i="9"/>
  <c r="V56" i="9" s="1"/>
  <c r="S126" i="9"/>
  <c r="V126" i="9" s="1"/>
  <c r="R67" i="16"/>
  <c r="R108" i="17"/>
  <c r="R103" i="17"/>
  <c r="R113" i="17"/>
  <c r="R112" i="17" s="1"/>
  <c r="R127" i="16"/>
  <c r="R115" i="16" s="1"/>
  <c r="E41" i="11"/>
  <c r="M37" i="11"/>
  <c r="R140" i="15"/>
  <c r="R139" i="16"/>
  <c r="T32" i="11"/>
  <c r="S15" i="10"/>
  <c r="T15" i="10" s="1"/>
  <c r="S17" i="10"/>
  <c r="V17" i="10" s="1"/>
  <c r="S79" i="10"/>
  <c r="V79" i="10" s="1"/>
  <c r="S24" i="10"/>
  <c r="V24" i="10" s="1"/>
  <c r="S64" i="10"/>
  <c r="V64" i="10" s="1"/>
  <c r="S21" i="10"/>
  <c r="V21" i="10" s="1"/>
  <c r="Q72" i="10"/>
  <c r="S74" i="10"/>
  <c r="V74" i="10" s="1"/>
  <c r="S69" i="9"/>
  <c r="V69" i="9" s="1"/>
  <c r="S18" i="9"/>
  <c r="S112" i="9"/>
  <c r="V112" i="9" s="1"/>
  <c r="S84" i="9"/>
  <c r="V84" i="9" s="1"/>
  <c r="S34" i="10"/>
  <c r="V34" i="10" s="1"/>
  <c r="S62" i="10"/>
  <c r="V62" i="10" s="1"/>
  <c r="S27" i="10"/>
  <c r="S23" i="10"/>
  <c r="V23" i="10" s="1"/>
  <c r="S59" i="10"/>
  <c r="S44" i="10"/>
  <c r="Q96" i="3"/>
  <c r="Q84" i="3"/>
  <c r="Q72" i="17" s="1"/>
  <c r="Q66" i="3"/>
  <c r="Q42" i="3"/>
  <c r="Q48" i="3"/>
  <c r="Q18" i="3"/>
  <c r="Q36" i="3"/>
  <c r="Q49" i="3"/>
  <c r="Q64" i="3"/>
  <c r="Q39" i="3"/>
  <c r="Q41" i="3"/>
  <c r="Q27" i="3"/>
  <c r="Q76" i="3"/>
  <c r="Q61" i="3"/>
  <c r="Q28" i="3"/>
  <c r="Q47" i="3"/>
  <c r="Q57" i="3"/>
  <c r="S25" i="9"/>
  <c r="S23" i="9"/>
  <c r="S37" i="9"/>
  <c r="V37" i="9" s="1"/>
  <c r="S21" i="9"/>
  <c r="V21" i="9" s="1"/>
  <c r="S142" i="9"/>
  <c r="V142" i="9" s="1"/>
  <c r="S54" i="9"/>
  <c r="S36" i="9"/>
  <c r="V36" i="9" s="1"/>
  <c r="Q100" i="3"/>
  <c r="S70" i="10"/>
  <c r="V70" i="10" s="1"/>
  <c r="S104" i="9"/>
  <c r="V104" i="9" s="1"/>
  <c r="S54" i="10"/>
  <c r="V54" i="10" s="1"/>
  <c r="S32" i="10"/>
  <c r="V32" i="10" s="1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S108" i="9"/>
  <c r="V108" i="9" s="1"/>
  <c r="S62" i="9"/>
  <c r="V62" i="9" s="1"/>
  <c r="S16" i="9"/>
  <c r="T16" i="9" s="1"/>
  <c r="S121" i="9"/>
  <c r="V121" i="9" s="1"/>
  <c r="S92" i="9"/>
  <c r="S19" i="9"/>
  <c r="T19" i="9" s="1"/>
  <c r="S66" i="9"/>
  <c r="V66" i="9" s="1"/>
  <c r="S155" i="9"/>
  <c r="V155" i="9" s="1"/>
  <c r="S165" i="9"/>
  <c r="V165" i="9" s="1"/>
  <c r="S140" i="9"/>
  <c r="V140" i="9" s="1"/>
  <c r="Q31" i="3"/>
  <c r="S153" i="9"/>
  <c r="V153" i="9" s="1"/>
  <c r="S98" i="9"/>
  <c r="V98" i="9" s="1"/>
  <c r="S33" i="10"/>
  <c r="V33" i="10" s="1"/>
  <c r="S49" i="10"/>
  <c r="V49" i="10" s="1"/>
  <c r="S37" i="10"/>
  <c r="V37" i="10" s="1"/>
  <c r="S20" i="10"/>
  <c r="V20" i="10" s="1"/>
  <c r="S92" i="10"/>
  <c r="V92" i="10" s="1"/>
  <c r="Q25" i="10"/>
  <c r="Q50" i="10"/>
  <c r="S116" i="9"/>
  <c r="V116" i="9" s="1"/>
  <c r="Q75" i="3"/>
  <c r="Q63" i="3"/>
  <c r="Q67" i="3"/>
  <c r="Q70" i="3"/>
  <c r="Q29" i="3"/>
  <c r="Q65" i="3"/>
  <c r="Q35" i="3"/>
  <c r="Q74" i="3"/>
  <c r="Q40" i="3"/>
  <c r="Q101" i="3"/>
  <c r="Q79" i="3"/>
  <c r="Q46" i="3"/>
  <c r="Q21" i="3"/>
  <c r="Q22" i="3"/>
  <c r="Q38" i="3"/>
  <c r="Q43" i="3"/>
  <c r="S79" i="9"/>
  <c r="V79" i="9" s="1"/>
  <c r="S136" i="9"/>
  <c r="V136" i="9" s="1"/>
  <c r="S27" i="9"/>
  <c r="T27" i="9" s="1"/>
  <c r="S157" i="9"/>
  <c r="V157" i="9" s="1"/>
  <c r="S137" i="9"/>
  <c r="V137" i="9" s="1"/>
  <c r="S71" i="9"/>
  <c r="V71" i="9" s="1"/>
  <c r="S154" i="9"/>
  <c r="V154" i="9" s="1"/>
  <c r="S88" i="9"/>
  <c r="V88" i="9" s="1"/>
  <c r="S85" i="10"/>
  <c r="V85" i="10" s="1"/>
  <c r="S96" i="9"/>
  <c r="V96" i="9" s="1"/>
  <c r="S97" i="9"/>
  <c r="V97" i="9" s="1"/>
  <c r="S102" i="9"/>
  <c r="V102" i="9" s="1"/>
  <c r="S95" i="9"/>
  <c r="V95" i="9" s="1"/>
  <c r="S113" i="9"/>
  <c r="V113" i="9" s="1"/>
  <c r="S34" i="9"/>
  <c r="T34" i="9" s="1"/>
  <c r="S55" i="9"/>
  <c r="V55" i="9" s="1"/>
  <c r="S101" i="9"/>
  <c r="V101" i="9" s="1"/>
  <c r="S89" i="10"/>
  <c r="V89" i="10" s="1"/>
  <c r="S35" i="9"/>
  <c r="V35" i="9" s="1"/>
  <c r="R50" i="10"/>
  <c r="S51" i="9"/>
  <c r="V51" i="9" s="1"/>
  <c r="S53" i="9"/>
  <c r="V53" i="9" s="1"/>
  <c r="S26" i="9"/>
  <c r="S146" i="9"/>
  <c r="V146" i="9" s="1"/>
  <c r="P30" i="3"/>
  <c r="P68" i="17" s="1"/>
  <c r="P33" i="3"/>
  <c r="P69" i="17" s="1"/>
  <c r="P95" i="3"/>
  <c r="P13" i="3"/>
  <c r="P67" i="17" s="1"/>
  <c r="P99" i="3"/>
  <c r="P102" i="3"/>
  <c r="S114" i="9"/>
  <c r="V114" i="9" s="1"/>
  <c r="S93" i="10"/>
  <c r="V93" i="10" s="1"/>
  <c r="S88" i="10"/>
  <c r="S66" i="10"/>
  <c r="Q42" i="10"/>
  <c r="Q39" i="10" s="1"/>
  <c r="S57" i="10"/>
  <c r="V57" i="10" s="1"/>
  <c r="S166" i="9"/>
  <c r="V166" i="9" s="1"/>
  <c r="S74" i="9"/>
  <c r="V74" i="9" s="1"/>
  <c r="S46" i="9"/>
  <c r="V46" i="9" s="1"/>
  <c r="S152" i="9"/>
  <c r="V152" i="9" s="1"/>
  <c r="S115" i="9"/>
  <c r="V115" i="9" s="1"/>
  <c r="S67" i="9"/>
  <c r="T67" i="9" s="1"/>
  <c r="S127" i="9"/>
  <c r="V127" i="9" s="1"/>
  <c r="S141" i="9"/>
  <c r="V141" i="9" s="1"/>
  <c r="S150" i="9"/>
  <c r="V150" i="9" s="1"/>
  <c r="S42" i="9"/>
  <c r="V42" i="9" s="1"/>
  <c r="S143" i="9"/>
  <c r="V143" i="9" s="1"/>
  <c r="S46" i="10"/>
  <c r="V46" i="10" s="1"/>
  <c r="S83" i="9"/>
  <c r="V83" i="9" s="1"/>
  <c r="S17" i="9"/>
  <c r="V17" i="9" s="1"/>
  <c r="S60" i="9"/>
  <c r="V60" i="9" s="1"/>
  <c r="S58" i="9"/>
  <c r="S56" i="10"/>
  <c r="V56" i="10" s="1"/>
  <c r="S82" i="10"/>
  <c r="V82" i="10" s="1"/>
  <c r="S65" i="10"/>
  <c r="S58" i="10"/>
  <c r="V58" i="10" s="1"/>
  <c r="S86" i="10"/>
  <c r="V86" i="10" s="1"/>
  <c r="S22" i="9"/>
  <c r="S133" i="9"/>
  <c r="V133" i="9" s="1"/>
  <c r="S52" i="9"/>
  <c r="V52" i="9" s="1"/>
  <c r="S65" i="9"/>
  <c r="V65" i="9" s="1"/>
  <c r="S111" i="9"/>
  <c r="V111" i="9" s="1"/>
  <c r="S93" i="9"/>
  <c r="S132" i="9"/>
  <c r="S48" i="9"/>
  <c r="V48" i="9" s="1"/>
  <c r="S40" i="9"/>
  <c r="V40" i="9" s="1"/>
  <c r="S57" i="9"/>
  <c r="V57" i="9" s="1"/>
  <c r="S76" i="9"/>
  <c r="V76" i="9" s="1"/>
  <c r="S20" i="9"/>
  <c r="V20" i="9" s="1"/>
  <c r="R187" i="9"/>
  <c r="R91" i="15"/>
  <c r="Q15" i="3"/>
  <c r="Q33" i="3"/>
  <c r="Q69" i="17" s="1"/>
  <c r="Q95" i="3"/>
  <c r="Q13" i="3"/>
  <c r="Q30" i="3"/>
  <c r="Q68" i="17" s="1"/>
  <c r="Q99" i="3"/>
  <c r="Q102" i="3"/>
  <c r="V33" i="11"/>
  <c r="V28" i="11"/>
  <c r="R139" i="15"/>
  <c r="V34" i="11"/>
  <c r="T34" i="11"/>
  <c r="R189" i="9"/>
  <c r="T46" i="10"/>
  <c r="P72" i="10"/>
  <c r="S73" i="10"/>
  <c r="Q46" i="6"/>
  <c r="Q76" i="6"/>
  <c r="S76" i="6" s="1"/>
  <c r="V76" i="6" s="1"/>
  <c r="Q41" i="6"/>
  <c r="Q78" i="6"/>
  <c r="S78" i="6" s="1"/>
  <c r="V78" i="6" s="1"/>
  <c r="Q99" i="6"/>
  <c r="Q74" i="6"/>
  <c r="Q37" i="6"/>
  <c r="Q22" i="6"/>
  <c r="S22" i="6" s="1"/>
  <c r="V22" i="6" s="1"/>
  <c r="Q100" i="6"/>
  <c r="Q39" i="6"/>
  <c r="S39" i="6" s="1"/>
  <c r="V39" i="6" s="1"/>
  <c r="Q20" i="6"/>
  <c r="Q50" i="6"/>
  <c r="S50" i="6" s="1"/>
  <c r="V50" i="6" s="1"/>
  <c r="Q51" i="6"/>
  <c r="S51" i="6" s="1"/>
  <c r="V51" i="6" s="1"/>
  <c r="Q31" i="6"/>
  <c r="Q49" i="6"/>
  <c r="Q62" i="6"/>
  <c r="Q72" i="6"/>
  <c r="Q27" i="6"/>
  <c r="S27" i="6" s="1"/>
  <c r="V27" i="6" s="1"/>
  <c r="Q66" i="6"/>
  <c r="Q24" i="6"/>
  <c r="Q70" i="6"/>
  <c r="Q38" i="6"/>
  <c r="Q94" i="6"/>
  <c r="S94" i="6" s="1"/>
  <c r="V94" i="6" s="1"/>
  <c r="Q55" i="6"/>
  <c r="Q97" i="6"/>
  <c r="Q36" i="6"/>
  <c r="Q64" i="6"/>
  <c r="Q65" i="6"/>
  <c r="Q79" i="6"/>
  <c r="Q71" i="6"/>
  <c r="S71" i="6" s="1"/>
  <c r="Q95" i="6"/>
  <c r="Q18" i="6"/>
  <c r="Q43" i="6"/>
  <c r="Q30" i="6"/>
  <c r="Q19" i="6"/>
  <c r="Q56" i="6"/>
  <c r="Q98" i="6"/>
  <c r="Q57" i="6"/>
  <c r="Q35" i="6"/>
  <c r="Q63" i="6"/>
  <c r="S63" i="6" s="1"/>
  <c r="V63" i="6" s="1"/>
  <c r="Q25" i="6"/>
  <c r="S25" i="6" s="1"/>
  <c r="V25" i="6" s="1"/>
  <c r="Q23" i="6"/>
  <c r="Q28" i="6"/>
  <c r="Q58" i="6"/>
  <c r="Q101" i="6"/>
  <c r="Q17" i="6"/>
  <c r="Q96" i="6"/>
  <c r="S96" i="6" s="1"/>
  <c r="Q42" i="6"/>
  <c r="Q44" i="6"/>
  <c r="S44" i="6" s="1"/>
  <c r="V44" i="6" s="1"/>
  <c r="Q45" i="6"/>
  <c r="Q54" i="6"/>
  <c r="Q80" i="6"/>
  <c r="S80" i="6" s="1"/>
  <c r="Q93" i="6"/>
  <c r="S93" i="6" s="1"/>
  <c r="Q34" i="6"/>
  <c r="Q40" i="6"/>
  <c r="S40" i="6" s="1"/>
  <c r="V40" i="6" s="1"/>
  <c r="Q69" i="6"/>
  <c r="S69" i="6" s="1"/>
  <c r="Q73" i="6"/>
  <c r="S73" i="6" s="1"/>
  <c r="V73" i="6" s="1"/>
  <c r="Q77" i="6"/>
  <c r="S77" i="6" s="1"/>
  <c r="V77" i="6" s="1"/>
  <c r="Q59" i="6"/>
  <c r="Q21" i="6"/>
  <c r="Q75" i="6"/>
  <c r="Q16" i="6"/>
  <c r="S16" i="6" s="1"/>
  <c r="V16" i="6" s="1"/>
  <c r="Q26" i="6"/>
  <c r="Q53" i="6"/>
  <c r="S53" i="6" s="1"/>
  <c r="V53" i="6" s="1"/>
  <c r="Q81" i="6"/>
  <c r="Q61" i="6"/>
  <c r="S61" i="6" s="1"/>
  <c r="V61" i="6" s="1"/>
  <c r="Q47" i="6"/>
  <c r="Q48" i="6"/>
  <c r="Q33" i="6"/>
  <c r="Q14" i="6"/>
  <c r="Q52" i="6"/>
  <c r="Q60" i="6"/>
  <c r="Q89" i="6"/>
  <c r="Q5" i="6" s="1"/>
  <c r="Q183" i="9" s="1"/>
  <c r="Q67" i="6"/>
  <c r="Q29" i="6"/>
  <c r="Q149" i="17" s="1"/>
  <c r="Q13" i="6"/>
  <c r="Q148" i="17" s="1"/>
  <c r="Q32" i="6"/>
  <c r="Q102" i="6"/>
  <c r="Q6" i="6" s="1"/>
  <c r="S18" i="10"/>
  <c r="S45" i="10"/>
  <c r="S38" i="10"/>
  <c r="V38" i="10" s="1"/>
  <c r="P67" i="10"/>
  <c r="S68" i="10"/>
  <c r="S75" i="10"/>
  <c r="S35" i="10"/>
  <c r="S53" i="10"/>
  <c r="S83" i="10"/>
  <c r="V83" i="10" s="1"/>
  <c r="S36" i="10"/>
  <c r="V36" i="10" s="1"/>
  <c r="S16" i="10"/>
  <c r="S84" i="10"/>
  <c r="V84" i="10" s="1"/>
  <c r="S63" i="10"/>
  <c r="S91" i="10"/>
  <c r="V91" i="10" s="1"/>
  <c r="Q73" i="7"/>
  <c r="Q78" i="7"/>
  <c r="Q35" i="7"/>
  <c r="Q95" i="7"/>
  <c r="Q67" i="7"/>
  <c r="Q65" i="7"/>
  <c r="Q43" i="7"/>
  <c r="Q69" i="7"/>
  <c r="Q36" i="7"/>
  <c r="Q98" i="7"/>
  <c r="Q44" i="7"/>
  <c r="Q82" i="7"/>
  <c r="Q19" i="7"/>
  <c r="Q33" i="7"/>
  <c r="Q76" i="7"/>
  <c r="Q52" i="7"/>
  <c r="Q49" i="7"/>
  <c r="Q48" i="7"/>
  <c r="Q97" i="7"/>
  <c r="Q80" i="7"/>
  <c r="Q77" i="7"/>
  <c r="Q66" i="7"/>
  <c r="Q72" i="7"/>
  <c r="Q81" i="7"/>
  <c r="Q63" i="7"/>
  <c r="Q100" i="7"/>
  <c r="Q62" i="7"/>
  <c r="Q17" i="7"/>
  <c r="Q31" i="7"/>
  <c r="Q75" i="7"/>
  <c r="Q60" i="7"/>
  <c r="Q28" i="7"/>
  <c r="Q64" i="7"/>
  <c r="Q22" i="7"/>
  <c r="Q46" i="7"/>
  <c r="Q34" i="7"/>
  <c r="Q58" i="7"/>
  <c r="Q53" i="7"/>
  <c r="Q79" i="7"/>
  <c r="Q96" i="7"/>
  <c r="Q56" i="7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Q51" i="7"/>
  <c r="Q59" i="7"/>
  <c r="Q26" i="7"/>
  <c r="Q99" i="7"/>
  <c r="Q57" i="7"/>
  <c r="Q41" i="7"/>
  <c r="Q54" i="7"/>
  <c r="Q38" i="7"/>
  <c r="Q71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S43" i="9"/>
  <c r="V43" i="9" s="1"/>
  <c r="R33" i="15"/>
  <c r="R216" i="9"/>
  <c r="S159" i="9"/>
  <c r="V159" i="9" s="1"/>
  <c r="S68" i="9"/>
  <c r="V68" i="9" s="1"/>
  <c r="S91" i="9"/>
  <c r="V91" i="9" s="1"/>
  <c r="S45" i="9"/>
  <c r="V45" i="9" s="1"/>
  <c r="S87" i="9"/>
  <c r="V87" i="9" s="1"/>
  <c r="T126" i="9"/>
  <c r="S100" i="9"/>
  <c r="V100" i="9" s="1"/>
  <c r="V132" i="9"/>
  <c r="T132" i="9"/>
  <c r="S73" i="9"/>
  <c r="V73" i="9" s="1"/>
  <c r="S94" i="9"/>
  <c r="V94" i="9" s="1"/>
  <c r="T30" i="11"/>
  <c r="V30" i="11"/>
  <c r="S160" i="9"/>
  <c r="V160" i="9" s="1"/>
  <c r="S60" i="10"/>
  <c r="V60" i="10" s="1"/>
  <c r="R80" i="10"/>
  <c r="R72" i="10"/>
  <c r="R30" i="10"/>
  <c r="S70" i="9"/>
  <c r="S110" i="9"/>
  <c r="V110" i="9" s="1"/>
  <c r="S86" i="9"/>
  <c r="V86" i="9" s="1"/>
  <c r="S69" i="10"/>
  <c r="S78" i="10"/>
  <c r="V78" i="10" s="1"/>
  <c r="S30" i="9"/>
  <c r="S124" i="9"/>
  <c r="R67" i="10"/>
  <c r="V29" i="11"/>
  <c r="T29" i="11"/>
  <c r="S64" i="9"/>
  <c r="V64" i="9" s="1"/>
  <c r="S15" i="9"/>
  <c r="P81" i="2"/>
  <c r="P45" i="2"/>
  <c r="P52" i="2"/>
  <c r="P50" i="2"/>
  <c r="P69" i="2"/>
  <c r="P56" i="2"/>
  <c r="P22" i="2"/>
  <c r="P44" i="2"/>
  <c r="P17" i="2"/>
  <c r="P61" i="2"/>
  <c r="P59" i="2"/>
  <c r="P30" i="2"/>
  <c r="P71" i="2"/>
  <c r="P99" i="2"/>
  <c r="P55" i="2"/>
  <c r="P18" i="2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P25" i="2"/>
  <c r="P57" i="2"/>
  <c r="P41" i="2"/>
  <c r="P80" i="2"/>
  <c r="P66" i="2"/>
  <c r="P96" i="2"/>
  <c r="P67" i="2"/>
  <c r="P68" i="2"/>
  <c r="P89" i="2"/>
  <c r="P75" i="2"/>
  <c r="P26" i="2"/>
  <c r="P29" i="2"/>
  <c r="P41" i="17" s="1"/>
  <c r="P54" i="2"/>
  <c r="P70" i="2"/>
  <c r="P58" i="2"/>
  <c r="P101" i="2"/>
  <c r="P20" i="2"/>
  <c r="P23" i="2"/>
  <c r="P98" i="2"/>
  <c r="P72" i="2"/>
  <c r="P53" i="2"/>
  <c r="P36" i="2"/>
  <c r="P102" i="2"/>
  <c r="P63" i="2"/>
  <c r="P15" i="2"/>
  <c r="P73" i="2"/>
  <c r="P32" i="2"/>
  <c r="P42" i="17" s="1"/>
  <c r="P78" i="2"/>
  <c r="P46" i="2"/>
  <c r="P35" i="2"/>
  <c r="S117" i="9"/>
  <c r="S50" i="9"/>
  <c r="V50" i="9" s="1"/>
  <c r="P233" i="9"/>
  <c r="R6" i="3"/>
  <c r="Q232" i="9"/>
  <c r="Q57" i="15"/>
  <c r="Q216" i="9"/>
  <c r="Q33" i="15"/>
  <c r="T114" i="9"/>
  <c r="Q80" i="10"/>
  <c r="P25" i="10"/>
  <c r="S26" i="10"/>
  <c r="T26" i="10" s="1"/>
  <c r="S139" i="9"/>
  <c r="V139" i="9" s="1"/>
  <c r="S71" i="10"/>
  <c r="V71" i="10" s="1"/>
  <c r="P80" i="10"/>
  <c r="S81" i="10"/>
  <c r="S147" i="9"/>
  <c r="V147" i="9" s="1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S107" i="9"/>
  <c r="V107" i="9" s="1"/>
  <c r="Q70" i="2"/>
  <c r="Q76" i="2"/>
  <c r="Q58" i="2"/>
  <c r="Q19" i="2"/>
  <c r="Q44" i="2"/>
  <c r="Q33" i="2"/>
  <c r="Q97" i="2"/>
  <c r="Q73" i="2"/>
  <c r="Q74" i="2"/>
  <c r="Q101" i="2"/>
  <c r="Q46" i="2"/>
  <c r="Q95" i="2"/>
  <c r="Q40" i="2"/>
  <c r="Q99" i="2"/>
  <c r="Q18" i="2"/>
  <c r="Q81" i="2"/>
  <c r="Q100" i="2"/>
  <c r="Q52" i="2"/>
  <c r="Q67" i="2"/>
  <c r="Q62" i="2"/>
  <c r="Q50" i="2"/>
  <c r="Q56" i="2"/>
  <c r="Q71" i="2"/>
  <c r="Q22" i="2"/>
  <c r="Q49" i="2"/>
  <c r="Q17" i="2"/>
  <c r="Q39" i="2"/>
  <c r="Q60" i="2"/>
  <c r="Q37" i="2"/>
  <c r="Q25" i="2"/>
  <c r="Q26" i="2"/>
  <c r="Q54" i="2"/>
  <c r="Q51" i="2"/>
  <c r="Q27" i="2"/>
  <c r="Q36" i="2"/>
  <c r="Q79" i="2"/>
  <c r="Q55" i="2"/>
  <c r="Q16" i="2"/>
  <c r="Q72" i="2"/>
  <c r="Q42" i="2"/>
  <c r="Q38" i="2"/>
  <c r="Q61" i="2"/>
  <c r="Q96" i="2"/>
  <c r="Q20" i="2"/>
  <c r="Q66" i="2"/>
  <c r="Q57" i="2"/>
  <c r="Q41" i="2"/>
  <c r="Q69" i="2"/>
  <c r="Q53" i="2"/>
  <c r="Q48" i="2"/>
  <c r="Q43" i="2"/>
  <c r="Q77" i="2"/>
  <c r="Q59" i="2"/>
  <c r="Q98" i="2"/>
  <c r="Q68" i="2"/>
  <c r="Q78" i="2"/>
  <c r="Q65" i="2"/>
  <c r="Q23" i="2"/>
  <c r="Q21" i="2"/>
  <c r="Q45" i="2"/>
  <c r="Q102" i="2"/>
  <c r="Q6" i="2" s="1"/>
  <c r="Q80" i="2"/>
  <c r="Q75" i="2"/>
  <c r="Q64" i="2"/>
  <c r="Q34" i="2"/>
  <c r="Q30" i="2"/>
  <c r="Q63" i="2"/>
  <c r="Q35" i="2"/>
  <c r="Q47" i="2"/>
  <c r="Q15" i="2"/>
  <c r="Q29" i="2"/>
  <c r="Q41" i="17" s="1"/>
  <c r="Q32" i="2"/>
  <c r="Q42" i="17" s="1"/>
  <c r="Q89" i="2"/>
  <c r="Q5" i="2" s="1"/>
  <c r="Q179" i="9" s="1"/>
  <c r="R44" i="15"/>
  <c r="R223" i="9"/>
  <c r="S70" i="6"/>
  <c r="V70" i="6" s="1"/>
  <c r="R55" i="15"/>
  <c r="R230" i="9"/>
  <c r="Q189" i="9"/>
  <c r="S90" i="10"/>
  <c r="V90" i="10" s="1"/>
  <c r="Q16" i="15"/>
  <c r="S16" i="15" s="1"/>
  <c r="Q15" i="15"/>
  <c r="S15" i="15" s="1"/>
  <c r="Q18" i="15"/>
  <c r="S18" i="15" s="1"/>
  <c r="Q17" i="15"/>
  <c r="Q20" i="15"/>
  <c r="S20" i="15" s="1"/>
  <c r="Q19" i="15"/>
  <c r="S19" i="15" s="1"/>
  <c r="Q21" i="15"/>
  <c r="Q14" i="15"/>
  <c r="S14" i="15" s="1"/>
  <c r="Q13" i="15"/>
  <c r="R224" i="9"/>
  <c r="R45" i="15"/>
  <c r="S103" i="9"/>
  <c r="V103" i="9" s="1"/>
  <c r="S149" i="9"/>
  <c r="V149" i="9" s="1"/>
  <c r="S90" i="9"/>
  <c r="V90" i="9" s="1"/>
  <c r="S49" i="9"/>
  <c r="V49" i="9" s="1"/>
  <c r="S163" i="9"/>
  <c r="V163" i="9" s="1"/>
  <c r="S162" i="9"/>
  <c r="V162" i="9" s="1"/>
  <c r="S138" i="9"/>
  <c r="V138" i="9" s="1"/>
  <c r="S61" i="9"/>
  <c r="V61" i="9" s="1"/>
  <c r="S87" i="10"/>
  <c r="S19" i="10"/>
  <c r="V19" i="10" s="1"/>
  <c r="R25" i="10"/>
  <c r="S151" i="9"/>
  <c r="V151" i="9" s="1"/>
  <c r="S89" i="9"/>
  <c r="V89" i="9" s="1"/>
  <c r="S41" i="9"/>
  <c r="V41" i="9" s="1"/>
  <c r="S130" i="9"/>
  <c r="P58" i="3"/>
  <c r="P45" i="3"/>
  <c r="P46" i="3"/>
  <c r="P68" i="3"/>
  <c r="P60" i="3"/>
  <c r="P29" i="3"/>
  <c r="S29" i="3" s="1"/>
  <c r="V29" i="3" s="1"/>
  <c r="P56" i="3"/>
  <c r="S56" i="3" s="1"/>
  <c r="V56" i="3" s="1"/>
  <c r="P57" i="3"/>
  <c r="P76" i="3"/>
  <c r="P55" i="3"/>
  <c r="S55" i="3" s="1"/>
  <c r="V55" i="3" s="1"/>
  <c r="P36" i="3"/>
  <c r="P64" i="3"/>
  <c r="P80" i="3"/>
  <c r="P21" i="3"/>
  <c r="S21" i="3" s="1"/>
  <c r="P53" i="3"/>
  <c r="P40" i="3"/>
  <c r="S40" i="3" s="1"/>
  <c r="V40" i="3" s="1"/>
  <c r="P38" i="3"/>
  <c r="P37" i="3"/>
  <c r="S37" i="3" s="1"/>
  <c r="P63" i="3"/>
  <c r="P50" i="3"/>
  <c r="P59" i="3"/>
  <c r="P62" i="3"/>
  <c r="P26" i="3"/>
  <c r="S26" i="3" s="1"/>
  <c r="V26" i="3" s="1"/>
  <c r="P52" i="3"/>
  <c r="S52" i="3" s="1"/>
  <c r="V52" i="3" s="1"/>
  <c r="P51" i="3"/>
  <c r="P20" i="3"/>
  <c r="P84" i="3"/>
  <c r="P23" i="3"/>
  <c r="P28" i="3"/>
  <c r="P65" i="3"/>
  <c r="P18" i="3"/>
  <c r="P71" i="3"/>
  <c r="P54" i="3"/>
  <c r="S54" i="3" s="1"/>
  <c r="V54" i="3" s="1"/>
  <c r="P82" i="3"/>
  <c r="S82" i="3" s="1"/>
  <c r="V82" i="3" s="1"/>
  <c r="P17" i="3"/>
  <c r="S17" i="3" s="1"/>
  <c r="P25" i="3"/>
  <c r="P70" i="3"/>
  <c r="P77" i="3"/>
  <c r="P16" i="3"/>
  <c r="P24" i="3"/>
  <c r="P75" i="3"/>
  <c r="S75" i="3" s="1"/>
  <c r="V75" i="3" s="1"/>
  <c r="P27" i="3"/>
  <c r="P101" i="3"/>
  <c r="P69" i="3"/>
  <c r="P66" i="3"/>
  <c r="P67" i="3"/>
  <c r="P74" i="3"/>
  <c r="P35" i="3"/>
  <c r="P78" i="3"/>
  <c r="P22" i="3"/>
  <c r="P72" i="3"/>
  <c r="P39" i="3"/>
  <c r="P31" i="3"/>
  <c r="P49" i="3"/>
  <c r="P34" i="3"/>
  <c r="P41" i="3"/>
  <c r="P97" i="3"/>
  <c r="P96" i="3"/>
  <c r="P44" i="3"/>
  <c r="P81" i="3"/>
  <c r="S81" i="3" s="1"/>
  <c r="P47" i="3"/>
  <c r="P19" i="3"/>
  <c r="P100" i="3"/>
  <c r="P43" i="3"/>
  <c r="P42" i="3"/>
  <c r="P79" i="3"/>
  <c r="P73" i="3"/>
  <c r="P61" i="3"/>
  <c r="P15" i="3"/>
  <c r="P48" i="3"/>
  <c r="P98" i="5"/>
  <c r="S98" i="5" s="1"/>
  <c r="V98" i="5" s="1"/>
  <c r="P40" i="5"/>
  <c r="S40" i="5" s="1"/>
  <c r="V40" i="5" s="1"/>
  <c r="P96" i="5"/>
  <c r="S96" i="5" s="1"/>
  <c r="V96" i="5" s="1"/>
  <c r="P76" i="5"/>
  <c r="S76" i="5" s="1"/>
  <c r="V76" i="5" s="1"/>
  <c r="P54" i="5"/>
  <c r="S54" i="5" s="1"/>
  <c r="V54" i="5" s="1"/>
  <c r="P50" i="5"/>
  <c r="S50" i="5" s="1"/>
  <c r="V50" i="5" s="1"/>
  <c r="P61" i="5"/>
  <c r="S61" i="5" s="1"/>
  <c r="V61" i="5" s="1"/>
  <c r="P71" i="5"/>
  <c r="S71" i="5" s="1"/>
  <c r="P56" i="5"/>
  <c r="S56" i="5" s="1"/>
  <c r="P32" i="5"/>
  <c r="P123" i="17" s="1"/>
  <c r="P63" i="5"/>
  <c r="S63" i="5" s="1"/>
  <c r="V63" i="5" s="1"/>
  <c r="P33" i="5"/>
  <c r="S33" i="5" s="1"/>
  <c r="P99" i="5"/>
  <c r="P65" i="5"/>
  <c r="S65" i="5" s="1"/>
  <c r="V65" i="5" s="1"/>
  <c r="P20" i="5"/>
  <c r="S20" i="5" s="1"/>
  <c r="P57" i="5"/>
  <c r="S57" i="5" s="1"/>
  <c r="V57" i="5" s="1"/>
  <c r="P44" i="5"/>
  <c r="S44" i="5" s="1"/>
  <c r="V44" i="5" s="1"/>
  <c r="P79" i="5"/>
  <c r="S79" i="5" s="1"/>
  <c r="V79" i="5" s="1"/>
  <c r="P17" i="5"/>
  <c r="S17" i="5" s="1"/>
  <c r="P37" i="5"/>
  <c r="S37" i="5" s="1"/>
  <c r="V37" i="5" s="1"/>
  <c r="P60" i="5"/>
  <c r="S60" i="5" s="1"/>
  <c r="V60" i="5" s="1"/>
  <c r="P95" i="5"/>
  <c r="P29" i="5"/>
  <c r="P122" i="17" s="1"/>
  <c r="P35" i="5"/>
  <c r="S35" i="5" s="1"/>
  <c r="V35" i="5" s="1"/>
  <c r="P14" i="5"/>
  <c r="S14" i="5" s="1"/>
  <c r="P48" i="5"/>
  <c r="S48" i="5" s="1"/>
  <c r="P69" i="5"/>
  <c r="S69" i="5" s="1"/>
  <c r="V69" i="5" s="1"/>
  <c r="P42" i="5"/>
  <c r="S42" i="5" s="1"/>
  <c r="P34" i="5"/>
  <c r="S34" i="5" s="1"/>
  <c r="P21" i="5"/>
  <c r="S21" i="5" s="1"/>
  <c r="P89" i="5"/>
  <c r="P23" i="5"/>
  <c r="S23" i="5" s="1"/>
  <c r="P55" i="5"/>
  <c r="S55" i="5" s="1"/>
  <c r="V55" i="5" s="1"/>
  <c r="P38" i="5"/>
  <c r="S38" i="5" s="1"/>
  <c r="V38" i="5" s="1"/>
  <c r="P13" i="5"/>
  <c r="P121" i="17" s="1"/>
  <c r="P78" i="5"/>
  <c r="S78" i="5" s="1"/>
  <c r="V78" i="5" s="1"/>
  <c r="P67" i="5"/>
  <c r="S67" i="5" s="1"/>
  <c r="P47" i="5"/>
  <c r="S47" i="5" s="1"/>
  <c r="V47" i="5" s="1"/>
  <c r="P51" i="5"/>
  <c r="S51" i="5" s="1"/>
  <c r="V51" i="5" s="1"/>
  <c r="P49" i="5"/>
  <c r="S49" i="5" s="1"/>
  <c r="P58" i="5"/>
  <c r="S58" i="5" s="1"/>
  <c r="P80" i="5"/>
  <c r="S80" i="5" s="1"/>
  <c r="P27" i="5"/>
  <c r="S27" i="5" s="1"/>
  <c r="P70" i="5"/>
  <c r="S70" i="5" s="1"/>
  <c r="V70" i="5" s="1"/>
  <c r="P68" i="5"/>
  <c r="S68" i="5" s="1"/>
  <c r="V68" i="5" s="1"/>
  <c r="P26" i="5"/>
  <c r="S26" i="5" s="1"/>
  <c r="V26" i="5" s="1"/>
  <c r="P19" i="5"/>
  <c r="S19" i="5" s="1"/>
  <c r="P77" i="5"/>
  <c r="S77" i="5" s="1"/>
  <c r="V77" i="5" s="1"/>
  <c r="P62" i="5"/>
  <c r="S62" i="5" s="1"/>
  <c r="P22" i="5"/>
  <c r="S22" i="5" s="1"/>
  <c r="P102" i="5"/>
  <c r="P75" i="5"/>
  <c r="S75" i="5" s="1"/>
  <c r="V75" i="5" s="1"/>
  <c r="P36" i="5"/>
  <c r="S36" i="5" s="1"/>
  <c r="P74" i="5"/>
  <c r="S74" i="5" s="1"/>
  <c r="P45" i="5"/>
  <c r="S45" i="5" s="1"/>
  <c r="V45" i="5" s="1"/>
  <c r="P25" i="5"/>
  <c r="S25" i="5" s="1"/>
  <c r="P52" i="5"/>
  <c r="S52" i="5" s="1"/>
  <c r="V52" i="5" s="1"/>
  <c r="P30" i="5"/>
  <c r="S30" i="5" s="1"/>
  <c r="P64" i="5"/>
  <c r="S64" i="5" s="1"/>
  <c r="P94" i="5"/>
  <c r="S94" i="5" s="1"/>
  <c r="V94" i="5" s="1"/>
  <c r="P59" i="5"/>
  <c r="S59" i="5" s="1"/>
  <c r="V59" i="5" s="1"/>
  <c r="P39" i="5"/>
  <c r="S39" i="5" s="1"/>
  <c r="V39" i="5" s="1"/>
  <c r="P53" i="5"/>
  <c r="S53" i="5" s="1"/>
  <c r="P16" i="5"/>
  <c r="S16" i="5" s="1"/>
  <c r="V16" i="5" s="1"/>
  <c r="P18" i="5"/>
  <c r="S18" i="5" s="1"/>
  <c r="P93" i="5"/>
  <c r="P24" i="5"/>
  <c r="S24" i="5" s="1"/>
  <c r="V24" i="5" s="1"/>
  <c r="P46" i="5"/>
  <c r="S46" i="5" s="1"/>
  <c r="P43" i="5"/>
  <c r="S43" i="5" s="1"/>
  <c r="V43" i="5" s="1"/>
  <c r="P66" i="5"/>
  <c r="S66" i="5" s="1"/>
  <c r="P41" i="5"/>
  <c r="S41" i="5" s="1"/>
  <c r="P72" i="5"/>
  <c r="S72" i="5" s="1"/>
  <c r="P101" i="5"/>
  <c r="P15" i="5"/>
  <c r="S15" i="5" s="1"/>
  <c r="P73" i="5"/>
  <c r="S73" i="5" s="1"/>
  <c r="V73" i="5" s="1"/>
  <c r="P100" i="5"/>
  <c r="P140" i="16" s="1"/>
  <c r="P81" i="5"/>
  <c r="S81" i="5" s="1"/>
  <c r="V81" i="5" s="1"/>
  <c r="P55" i="7"/>
  <c r="P81" i="7"/>
  <c r="P17" i="7"/>
  <c r="P52" i="7"/>
  <c r="P68" i="7"/>
  <c r="P65" i="7"/>
  <c r="P33" i="7"/>
  <c r="P38" i="7"/>
  <c r="P79" i="7"/>
  <c r="P74" i="7"/>
  <c r="P32" i="7"/>
  <c r="P177" i="17" s="1"/>
  <c r="P77" i="7"/>
  <c r="P28" i="7"/>
  <c r="P82" i="7"/>
  <c r="P25" i="7"/>
  <c r="P35" i="7"/>
  <c r="P36" i="7"/>
  <c r="P51" i="7"/>
  <c r="P29" i="7"/>
  <c r="P176" i="17" s="1"/>
  <c r="P49" i="7"/>
  <c r="P31" i="7"/>
  <c r="P73" i="7"/>
  <c r="P63" i="7"/>
  <c r="P75" i="7"/>
  <c r="P18" i="7"/>
  <c r="P69" i="7"/>
  <c r="P67" i="7"/>
  <c r="P27" i="7"/>
  <c r="P53" i="7"/>
  <c r="P101" i="7"/>
  <c r="P50" i="7"/>
  <c r="P78" i="7"/>
  <c r="P46" i="7"/>
  <c r="P48" i="7"/>
  <c r="P54" i="7"/>
  <c r="P56" i="7"/>
  <c r="P58" i="7"/>
  <c r="P62" i="7"/>
  <c r="P71" i="7"/>
  <c r="P22" i="7"/>
  <c r="P40" i="7"/>
  <c r="P76" i="7"/>
  <c r="P95" i="7"/>
  <c r="P96" i="7"/>
  <c r="P26" i="7"/>
  <c r="P24" i="7"/>
  <c r="P41" i="7"/>
  <c r="P19" i="7"/>
  <c r="P59" i="7"/>
  <c r="P43" i="7"/>
  <c r="P16" i="7"/>
  <c r="P97" i="7"/>
  <c r="P44" i="7"/>
  <c r="P47" i="7"/>
  <c r="P60" i="7"/>
  <c r="P14" i="7"/>
  <c r="P80" i="7"/>
  <c r="P98" i="7"/>
  <c r="P23" i="7"/>
  <c r="P37" i="7"/>
  <c r="P42" i="7"/>
  <c r="P39" i="7"/>
  <c r="P66" i="7"/>
  <c r="P20" i="7"/>
  <c r="P45" i="7"/>
  <c r="P61" i="7"/>
  <c r="P70" i="7"/>
  <c r="P57" i="7"/>
  <c r="P72" i="7"/>
  <c r="P30" i="7"/>
  <c r="P34" i="7"/>
  <c r="P64" i="7"/>
  <c r="P21" i="7"/>
  <c r="P70" i="4"/>
  <c r="P16" i="4"/>
  <c r="P28" i="4"/>
  <c r="P68" i="4"/>
  <c r="P20" i="4"/>
  <c r="P45" i="4"/>
  <c r="P25" i="4"/>
  <c r="P46" i="4"/>
  <c r="P29" i="4"/>
  <c r="P95" i="17" s="1"/>
  <c r="P22" i="4"/>
  <c r="P62" i="4"/>
  <c r="P52" i="4"/>
  <c r="P57" i="4"/>
  <c r="P26" i="4"/>
  <c r="P76" i="4"/>
  <c r="P69" i="4"/>
  <c r="P78" i="4"/>
  <c r="P80" i="4"/>
  <c r="P63" i="4"/>
  <c r="P18" i="4"/>
  <c r="P64" i="4"/>
  <c r="P19" i="4"/>
  <c r="P51" i="4"/>
  <c r="P67" i="4"/>
  <c r="P75" i="4"/>
  <c r="P43" i="4"/>
  <c r="P27" i="4"/>
  <c r="P14" i="4"/>
  <c r="P97" i="4"/>
  <c r="P38" i="4"/>
  <c r="P37" i="4"/>
  <c r="P21" i="4"/>
  <c r="P32" i="4"/>
  <c r="P96" i="17" s="1"/>
  <c r="P74" i="4"/>
  <c r="P100" i="4"/>
  <c r="P139" i="16" s="1"/>
  <c r="P13" i="4"/>
  <c r="P94" i="17" s="1"/>
  <c r="P98" i="4"/>
  <c r="P101" i="4"/>
  <c r="P33" i="4"/>
  <c r="P95" i="4"/>
  <c r="P39" i="4"/>
  <c r="P54" i="4"/>
  <c r="P58" i="4"/>
  <c r="P65" i="4"/>
  <c r="P30" i="4"/>
  <c r="P81" i="4"/>
  <c r="P41" i="4"/>
  <c r="P50" i="4"/>
  <c r="P61" i="4"/>
  <c r="P34" i="4"/>
  <c r="P71" i="4"/>
  <c r="P56" i="4"/>
  <c r="P66" i="4"/>
  <c r="P17" i="4"/>
  <c r="P48" i="4"/>
  <c r="P23" i="4"/>
  <c r="P102" i="4"/>
  <c r="P79" i="4"/>
  <c r="P44" i="4"/>
  <c r="P96" i="4"/>
  <c r="P55" i="4"/>
  <c r="P35" i="4"/>
  <c r="P73" i="4"/>
  <c r="P99" i="4"/>
  <c r="P72" i="4"/>
  <c r="P77" i="4"/>
  <c r="P15" i="4"/>
  <c r="P42" i="4"/>
  <c r="P40" i="4"/>
  <c r="P59" i="4"/>
  <c r="P89" i="4"/>
  <c r="P36" i="4"/>
  <c r="P47" i="4"/>
  <c r="P49" i="4"/>
  <c r="P60" i="4"/>
  <c r="P24" i="4"/>
  <c r="P53" i="4"/>
  <c r="S48" i="10"/>
  <c r="R222" i="9"/>
  <c r="R43" i="15"/>
  <c r="Q7" i="5"/>
  <c r="Q224" i="9"/>
  <c r="Q45" i="15"/>
  <c r="R7" i="6"/>
  <c r="P30" i="10"/>
  <c r="S31" i="10"/>
  <c r="P42" i="10"/>
  <c r="S43" i="10"/>
  <c r="R232" i="9"/>
  <c r="R57" i="15"/>
  <c r="V58" i="9"/>
  <c r="T58" i="9"/>
  <c r="R225" i="9"/>
  <c r="R46" i="15"/>
  <c r="S41" i="10"/>
  <c r="P40" i="10"/>
  <c r="P50" i="10"/>
  <c r="S52" i="10"/>
  <c r="P76" i="10"/>
  <c r="S77" i="10"/>
  <c r="T77" i="10" s="1"/>
  <c r="S55" i="10"/>
  <c r="Q76" i="10"/>
  <c r="Q30" i="10"/>
  <c r="S75" i="9"/>
  <c r="V75" i="9" s="1"/>
  <c r="R76" i="10"/>
  <c r="R36" i="7"/>
  <c r="R28" i="7"/>
  <c r="R37" i="7"/>
  <c r="R76" i="7"/>
  <c r="R54" i="7"/>
  <c r="R67" i="7"/>
  <c r="R49" i="7"/>
  <c r="R57" i="7"/>
  <c r="R58" i="7"/>
  <c r="R66" i="7"/>
  <c r="R100" i="7"/>
  <c r="R50" i="7"/>
  <c r="R17" i="7"/>
  <c r="R51" i="7"/>
  <c r="R22" i="7"/>
  <c r="R25" i="7"/>
  <c r="R71" i="7"/>
  <c r="R14" i="7"/>
  <c r="R55" i="7"/>
  <c r="R65" i="7"/>
  <c r="R33" i="7"/>
  <c r="R64" i="7"/>
  <c r="R43" i="7"/>
  <c r="R53" i="7"/>
  <c r="R82" i="7"/>
  <c r="R31" i="7"/>
  <c r="R27" i="7"/>
  <c r="R59" i="7"/>
  <c r="R79" i="7"/>
  <c r="R61" i="7"/>
  <c r="R60" i="7"/>
  <c r="R26" i="7"/>
  <c r="R40" i="7"/>
  <c r="R35" i="7"/>
  <c r="R97" i="7"/>
  <c r="R45" i="7"/>
  <c r="R44" i="7"/>
  <c r="R95" i="7"/>
  <c r="R34" i="7"/>
  <c r="R62" i="7"/>
  <c r="R15" i="7"/>
  <c r="R39" i="7"/>
  <c r="R81" i="7"/>
  <c r="R72" i="7"/>
  <c r="R24" i="7"/>
  <c r="R21" i="7"/>
  <c r="R73" i="7"/>
  <c r="R68" i="7"/>
  <c r="R69" i="7"/>
  <c r="R38" i="7"/>
  <c r="R74" i="7"/>
  <c r="R20" i="7"/>
  <c r="R42" i="7"/>
  <c r="R48" i="7"/>
  <c r="R16" i="7"/>
  <c r="R19" i="7"/>
  <c r="R80" i="7"/>
  <c r="R23" i="7"/>
  <c r="R98" i="7"/>
  <c r="R56" i="7"/>
  <c r="R47" i="7"/>
  <c r="R18" i="7"/>
  <c r="R30" i="7"/>
  <c r="R52" i="7"/>
  <c r="R78" i="7"/>
  <c r="R32" i="7"/>
  <c r="R177" i="17" s="1"/>
  <c r="R89" i="7"/>
  <c r="R5" i="7" s="1"/>
  <c r="R184" i="9" s="1"/>
  <c r="R70" i="7"/>
  <c r="R41" i="7"/>
  <c r="R75" i="7"/>
  <c r="R63" i="7"/>
  <c r="R77" i="7"/>
  <c r="R13" i="7"/>
  <c r="R175" i="17" s="1"/>
  <c r="R96" i="7"/>
  <c r="R102" i="7"/>
  <c r="R6" i="7" s="1"/>
  <c r="R99" i="7"/>
  <c r="R46" i="7"/>
  <c r="R29" i="7"/>
  <c r="R176" i="17" s="1"/>
  <c r="R101" i="7"/>
  <c r="R42" i="10"/>
  <c r="R39" i="10" s="1"/>
  <c r="S85" i="9"/>
  <c r="V85" i="9" s="1"/>
  <c r="S14" i="10"/>
  <c r="S44" i="9"/>
  <c r="S38" i="9"/>
  <c r="V38" i="9" s="1"/>
  <c r="R56" i="15"/>
  <c r="R231" i="9"/>
  <c r="R215" i="9"/>
  <c r="R32" i="15"/>
  <c r="R221" i="9"/>
  <c r="R42" i="15"/>
  <c r="P34" i="15"/>
  <c r="P47" i="10"/>
  <c r="R7" i="5"/>
  <c r="T36" i="9" l="1"/>
  <c r="S66" i="6"/>
  <c r="S34" i="6"/>
  <c r="T34" i="6" s="1"/>
  <c r="V14" i="5"/>
  <c r="T14" i="5"/>
  <c r="S27" i="3"/>
  <c r="S18" i="6"/>
  <c r="V23" i="5"/>
  <c r="T23" i="5"/>
  <c r="V18" i="9"/>
  <c r="T18" i="9"/>
  <c r="V23" i="9"/>
  <c r="T23" i="9"/>
  <c r="V59" i="10"/>
  <c r="T59" i="10"/>
  <c r="V63" i="10"/>
  <c r="T63" i="10"/>
  <c r="V93" i="9"/>
  <c r="T93" i="9"/>
  <c r="V72" i="9"/>
  <c r="T72" i="9"/>
  <c r="V54" i="9"/>
  <c r="T54" i="9"/>
  <c r="T47" i="9"/>
  <c r="V29" i="10"/>
  <c r="T29" i="10"/>
  <c r="V27" i="10"/>
  <c r="T27" i="10"/>
  <c r="V117" i="9"/>
  <c r="T117" i="9"/>
  <c r="V44" i="10"/>
  <c r="T44" i="10"/>
  <c r="V26" i="9"/>
  <c r="T26" i="9"/>
  <c r="V88" i="10"/>
  <c r="T88" i="10"/>
  <c r="V84" i="5"/>
  <c r="T84" i="5"/>
  <c r="V74" i="5"/>
  <c r="T74" i="5"/>
  <c r="V56" i="5"/>
  <c r="T56" i="5"/>
  <c r="R46" i="17"/>
  <c r="R102" i="15"/>
  <c r="R107" i="15"/>
  <c r="R181" i="17"/>
  <c r="P107" i="15"/>
  <c r="P181" i="17"/>
  <c r="R186" i="17"/>
  <c r="R34" i="16"/>
  <c r="P34" i="16"/>
  <c r="P186" i="17"/>
  <c r="S94" i="3"/>
  <c r="V94" i="3" s="1"/>
  <c r="R130" i="17"/>
  <c r="Q130" i="17"/>
  <c r="S44" i="4"/>
  <c r="V44" i="4" s="1"/>
  <c r="P92" i="15"/>
  <c r="P99" i="17"/>
  <c r="S86" i="4"/>
  <c r="V86" i="4" s="1"/>
  <c r="P104" i="15"/>
  <c r="P100" i="17"/>
  <c r="P31" i="16"/>
  <c r="P105" i="17"/>
  <c r="V21" i="3"/>
  <c r="T21" i="3"/>
  <c r="S67" i="6"/>
  <c r="S30" i="6"/>
  <c r="T30" i="6" s="1"/>
  <c r="R30" i="15"/>
  <c r="V15" i="10"/>
  <c r="R112" i="16"/>
  <c r="S85" i="3"/>
  <c r="V27" i="3"/>
  <c r="T27" i="3"/>
  <c r="S49" i="3"/>
  <c r="V49" i="3" s="1"/>
  <c r="S42" i="3"/>
  <c r="V42" i="3" s="1"/>
  <c r="S47" i="3"/>
  <c r="T47" i="3" s="1"/>
  <c r="T17" i="10"/>
  <c r="R95" i="15"/>
  <c r="R180" i="17"/>
  <c r="R184" i="17" s="1"/>
  <c r="S97" i="6"/>
  <c r="S48" i="6"/>
  <c r="T48" i="6" s="1"/>
  <c r="S73" i="3"/>
  <c r="T73" i="3" s="1"/>
  <c r="S16" i="3"/>
  <c r="V16" i="3" s="1"/>
  <c r="S18" i="3"/>
  <c r="V18" i="3" s="1"/>
  <c r="Q91" i="15"/>
  <c r="P73" i="17"/>
  <c r="P103" i="15"/>
  <c r="P30" i="16"/>
  <c r="P78" i="17"/>
  <c r="P95" i="15"/>
  <c r="P180" i="17"/>
  <c r="R7" i="7"/>
  <c r="S56" i="6"/>
  <c r="V56" i="6" s="1"/>
  <c r="P217" i="9"/>
  <c r="V20" i="5"/>
  <c r="T20" i="5"/>
  <c r="V18" i="5"/>
  <c r="T18" i="5"/>
  <c r="S24" i="3"/>
  <c r="V24" i="3" s="1"/>
  <c r="Q55" i="15"/>
  <c r="S19" i="3"/>
  <c r="V19" i="3" s="1"/>
  <c r="R54" i="17"/>
  <c r="R54" i="15"/>
  <c r="R229" i="9"/>
  <c r="V122" i="9"/>
  <c r="V67" i="9"/>
  <c r="T56" i="9"/>
  <c r="V92" i="9"/>
  <c r="T92" i="9"/>
  <c r="V27" i="9"/>
  <c r="V25" i="9"/>
  <c r="T25" i="9"/>
  <c r="V22" i="9"/>
  <c r="T22" i="9"/>
  <c r="Q112" i="16"/>
  <c r="R31" i="17"/>
  <c r="R100" i="16"/>
  <c r="R108" i="16" s="1"/>
  <c r="R30" i="17"/>
  <c r="R29" i="17"/>
  <c r="R88" i="16"/>
  <c r="R96" i="16" s="1"/>
  <c r="Q28" i="17"/>
  <c r="R76" i="16"/>
  <c r="R84" i="16" s="1"/>
  <c r="R28" i="17"/>
  <c r="R64" i="16"/>
  <c r="R27" i="17"/>
  <c r="R25" i="17"/>
  <c r="R40" i="16"/>
  <c r="R48" i="16" s="1"/>
  <c r="P30" i="17"/>
  <c r="P100" i="16"/>
  <c r="P108" i="16" s="1"/>
  <c r="P31" i="17"/>
  <c r="P112" i="16"/>
  <c r="P88" i="16"/>
  <c r="P96" i="16" s="1"/>
  <c r="P29" i="17"/>
  <c r="P76" i="16"/>
  <c r="P84" i="16" s="1"/>
  <c r="P28" i="17"/>
  <c r="V69" i="10"/>
  <c r="T69" i="10"/>
  <c r="V65" i="10"/>
  <c r="T65" i="10"/>
  <c r="V66" i="10"/>
  <c r="T66" i="10"/>
  <c r="V55" i="10"/>
  <c r="T55" i="10"/>
  <c r="P64" i="16"/>
  <c r="P27" i="17"/>
  <c r="P25" i="17"/>
  <c r="P40" i="16"/>
  <c r="P48" i="16" s="1"/>
  <c r="T21" i="9"/>
  <c r="R26" i="17"/>
  <c r="R52" i="16"/>
  <c r="R60" i="16" s="1"/>
  <c r="S50" i="3"/>
  <c r="T50" i="3" s="1"/>
  <c r="T60" i="9"/>
  <c r="S75" i="6"/>
  <c r="V75" i="6" s="1"/>
  <c r="S57" i="6"/>
  <c r="V57" i="6" s="1"/>
  <c r="S31" i="6"/>
  <c r="V31" i="6" s="1"/>
  <c r="V125" i="9"/>
  <c r="V78" i="9"/>
  <c r="Q230" i="9"/>
  <c r="Q88" i="16"/>
  <c r="Q96" i="16" s="1"/>
  <c r="Q29" i="17"/>
  <c r="Q12" i="11"/>
  <c r="S15" i="16"/>
  <c r="S66" i="3"/>
  <c r="V66" i="3" s="1"/>
  <c r="S70" i="3"/>
  <c r="V70" i="3" s="1"/>
  <c r="S28" i="3"/>
  <c r="V28" i="3" s="1"/>
  <c r="S51" i="3"/>
  <c r="V51" i="3" s="1"/>
  <c r="Q26" i="17"/>
  <c r="Q52" i="16"/>
  <c r="Q60" i="16" s="1"/>
  <c r="Q27" i="17"/>
  <c r="Q64" i="16"/>
  <c r="Q92" i="15"/>
  <c r="Q99" i="17"/>
  <c r="S93" i="4"/>
  <c r="Q95" i="15"/>
  <c r="Q180" i="17"/>
  <c r="Q11" i="11"/>
  <c r="S14" i="16"/>
  <c r="S24" i="17"/>
  <c r="S28" i="16"/>
  <c r="V13" i="10"/>
  <c r="T13" i="10"/>
  <c r="Q100" i="16"/>
  <c r="Q108" i="16" s="1"/>
  <c r="Q30" i="17"/>
  <c r="Q100" i="17"/>
  <c r="Q103" i="17" s="1"/>
  <c r="Q104" i="15"/>
  <c r="S54" i="6"/>
  <c r="V54" i="6" s="1"/>
  <c r="Q15" i="11"/>
  <c r="S18" i="16"/>
  <c r="S93" i="3"/>
  <c r="Q30" i="16"/>
  <c r="Q78" i="17"/>
  <c r="S71" i="4"/>
  <c r="V71" i="4" s="1"/>
  <c r="T116" i="9"/>
  <c r="Q46" i="17"/>
  <c r="Q102" i="15"/>
  <c r="Q103" i="15"/>
  <c r="Q73" i="17"/>
  <c r="S88" i="3"/>
  <c r="V88" i="3" s="1"/>
  <c r="Q31" i="16"/>
  <c r="Q105" i="17"/>
  <c r="S94" i="4"/>
  <c r="V94" i="4" s="1"/>
  <c r="S46" i="6"/>
  <c r="Q13" i="11"/>
  <c r="S16" i="16"/>
  <c r="Q14" i="11"/>
  <c r="S17" i="16"/>
  <c r="T17" i="16" s="1"/>
  <c r="S35" i="6"/>
  <c r="V35" i="6" s="1"/>
  <c r="Q31" i="17"/>
  <c r="Q25" i="17"/>
  <c r="Q40" i="16"/>
  <c r="Q48" i="16" s="1"/>
  <c r="S124" i="16"/>
  <c r="S32" i="17"/>
  <c r="Q34" i="16"/>
  <c r="Q186" i="17"/>
  <c r="S86" i="7"/>
  <c r="T86" i="7" s="1"/>
  <c r="Q107" i="15"/>
  <c r="Q181" i="17"/>
  <c r="Q10" i="11"/>
  <c r="S13" i="16"/>
  <c r="Q16" i="11"/>
  <c r="S19" i="16"/>
  <c r="S86" i="5"/>
  <c r="P127" i="17"/>
  <c r="P105" i="15"/>
  <c r="S88" i="7"/>
  <c r="V88" i="7" s="1"/>
  <c r="S87" i="7"/>
  <c r="V87" i="7" s="1"/>
  <c r="S83" i="7"/>
  <c r="S84" i="7"/>
  <c r="V84" i="7" s="1"/>
  <c r="S85" i="7"/>
  <c r="V85" i="7" s="1"/>
  <c r="S93" i="7"/>
  <c r="S94" i="7"/>
  <c r="V94" i="7" s="1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143" i="16" s="1"/>
  <c r="R21" i="16" s="1"/>
  <c r="R18" i="11" s="1"/>
  <c r="R217" i="9"/>
  <c r="S85" i="6"/>
  <c r="V85" i="6" s="1"/>
  <c r="P106" i="15"/>
  <c r="P154" i="17"/>
  <c r="R154" i="17"/>
  <c r="R106" i="15"/>
  <c r="R109" i="15" s="1"/>
  <c r="P94" i="15"/>
  <c r="P153" i="17"/>
  <c r="P157" i="17" s="1"/>
  <c r="R153" i="17"/>
  <c r="R157" i="17" s="1"/>
  <c r="R94" i="15"/>
  <c r="S13" i="6"/>
  <c r="S148" i="17" s="1"/>
  <c r="T148" i="17" s="1"/>
  <c r="R233" i="9"/>
  <c r="P46" i="15"/>
  <c r="S52" i="6"/>
  <c r="V52" i="6" s="1"/>
  <c r="S47" i="6"/>
  <c r="V47" i="6" s="1"/>
  <c r="S26" i="6"/>
  <c r="V26" i="6" s="1"/>
  <c r="S19" i="6"/>
  <c r="V19" i="6" s="1"/>
  <c r="S41" i="6"/>
  <c r="S99" i="6"/>
  <c r="V99" i="6" s="1"/>
  <c r="S20" i="6"/>
  <c r="V20" i="6" s="1"/>
  <c r="Q106" i="15"/>
  <c r="Q154" i="17"/>
  <c r="S74" i="6"/>
  <c r="V74" i="6" s="1"/>
  <c r="S87" i="6"/>
  <c r="V87" i="6" s="1"/>
  <c r="S88" i="6"/>
  <c r="V88" i="6" s="1"/>
  <c r="R58" i="15"/>
  <c r="P225" i="9"/>
  <c r="R34" i="15"/>
  <c r="S45" i="6"/>
  <c r="V45" i="6" s="1"/>
  <c r="S17" i="6"/>
  <c r="V17" i="6" s="1"/>
  <c r="S23" i="6"/>
  <c r="S72" i="6"/>
  <c r="T72" i="6" s="1"/>
  <c r="S60" i="6"/>
  <c r="V60" i="6" s="1"/>
  <c r="Q153" i="17"/>
  <c r="Q94" i="15"/>
  <c r="S59" i="6"/>
  <c r="V59" i="6" s="1"/>
  <c r="S28" i="6"/>
  <c r="V28" i="6" s="1"/>
  <c r="S64" i="6"/>
  <c r="T64" i="6" s="1"/>
  <c r="R142" i="15"/>
  <c r="S83" i="6"/>
  <c r="T83" i="6" s="1"/>
  <c r="P129" i="16"/>
  <c r="P117" i="16" s="1"/>
  <c r="S100" i="6"/>
  <c r="V100" i="6" s="1"/>
  <c r="P58" i="15"/>
  <c r="S43" i="6"/>
  <c r="V43" i="6" s="1"/>
  <c r="S38" i="6"/>
  <c r="V38" i="6" s="1"/>
  <c r="S49" i="6"/>
  <c r="V49" i="6" s="1"/>
  <c r="S98" i="6"/>
  <c r="V98" i="6" s="1"/>
  <c r="S82" i="6"/>
  <c r="V82" i="6" s="1"/>
  <c r="S21" i="6"/>
  <c r="T21" i="6" s="1"/>
  <c r="S42" i="6"/>
  <c r="S58" i="6"/>
  <c r="V58" i="6" s="1"/>
  <c r="S65" i="6"/>
  <c r="V65" i="6" s="1"/>
  <c r="S55" i="6"/>
  <c r="V55" i="6" s="1"/>
  <c r="S24" i="6"/>
  <c r="V24" i="6" s="1"/>
  <c r="S62" i="6"/>
  <c r="V62" i="6" s="1"/>
  <c r="S81" i="6"/>
  <c r="V81" i="6" s="1"/>
  <c r="S33" i="6"/>
  <c r="V33" i="6" s="1"/>
  <c r="S36" i="6"/>
  <c r="T36" i="6" s="1"/>
  <c r="S79" i="6"/>
  <c r="V79" i="6" s="1"/>
  <c r="S86" i="6"/>
  <c r="S84" i="6"/>
  <c r="P162" i="17"/>
  <c r="P69" i="16"/>
  <c r="R69" i="16"/>
  <c r="R162" i="17"/>
  <c r="S89" i="6"/>
  <c r="T89" i="6" s="1"/>
  <c r="Q159" i="17"/>
  <c r="Q33" i="16"/>
  <c r="S101" i="6"/>
  <c r="T101" i="6" s="1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S32" i="6"/>
  <c r="S150" i="17" s="1"/>
  <c r="T150" i="17" s="1"/>
  <c r="Q150" i="17"/>
  <c r="S14" i="6"/>
  <c r="V14" i="6" s="1"/>
  <c r="Q162" i="17"/>
  <c r="Q69" i="16"/>
  <c r="S37" i="6"/>
  <c r="V37" i="6" s="1"/>
  <c r="P166" i="17"/>
  <c r="V93" i="6"/>
  <c r="S159" i="17"/>
  <c r="S33" i="16"/>
  <c r="S95" i="6"/>
  <c r="T95" i="6" s="1"/>
  <c r="P33" i="16"/>
  <c r="P159" i="17"/>
  <c r="P142" i="15"/>
  <c r="P141" i="16"/>
  <c r="S83" i="5"/>
  <c r="T83" i="5" s="1"/>
  <c r="P126" i="17"/>
  <c r="P93" i="15"/>
  <c r="S99" i="5"/>
  <c r="T99" i="5" s="1"/>
  <c r="S93" i="5"/>
  <c r="P32" i="16"/>
  <c r="P132" i="17"/>
  <c r="S95" i="5"/>
  <c r="P68" i="16"/>
  <c r="P135" i="17"/>
  <c r="R141" i="17"/>
  <c r="R143" i="17" s="1"/>
  <c r="S101" i="5"/>
  <c r="T101" i="5" s="1"/>
  <c r="P140" i="17"/>
  <c r="P139" i="17" s="1"/>
  <c r="P128" i="16"/>
  <c r="P116" i="16" s="1"/>
  <c r="Q141" i="17"/>
  <c r="S83" i="4"/>
  <c r="V83" i="4" s="1"/>
  <c r="S84" i="4"/>
  <c r="V84" i="4" s="1"/>
  <c r="S87" i="4"/>
  <c r="V87" i="4" s="1"/>
  <c r="S59" i="4"/>
  <c r="V59" i="4" s="1"/>
  <c r="S81" i="4"/>
  <c r="V81" i="4" s="1"/>
  <c r="S80" i="4"/>
  <c r="S88" i="4"/>
  <c r="V88" i="4" s="1"/>
  <c r="S47" i="4"/>
  <c r="V47" i="4" s="1"/>
  <c r="S40" i="4"/>
  <c r="V40" i="4" s="1"/>
  <c r="S55" i="4"/>
  <c r="V55" i="4" s="1"/>
  <c r="S98" i="4"/>
  <c r="V98" i="4" s="1"/>
  <c r="S97" i="4"/>
  <c r="T97" i="4" s="1"/>
  <c r="S75" i="4"/>
  <c r="V75" i="4" s="1"/>
  <c r="S34" i="4"/>
  <c r="V34" i="4" s="1"/>
  <c r="S26" i="4"/>
  <c r="S24" i="4"/>
  <c r="V24" i="4" s="1"/>
  <c r="S96" i="4"/>
  <c r="T96" i="4" s="1"/>
  <c r="S56" i="4"/>
  <c r="V56" i="4" s="1"/>
  <c r="S18" i="4"/>
  <c r="V18" i="4" s="1"/>
  <c r="T84" i="4"/>
  <c r="T88" i="4"/>
  <c r="T86" i="4"/>
  <c r="T87" i="4"/>
  <c r="S36" i="4"/>
  <c r="V36" i="4" s="1"/>
  <c r="S23" i="4"/>
  <c r="V23" i="4" s="1"/>
  <c r="S50" i="4"/>
  <c r="V50" i="4" s="1"/>
  <c r="S21" i="4"/>
  <c r="T21" i="4" s="1"/>
  <c r="S69" i="4"/>
  <c r="V69" i="4" s="1"/>
  <c r="S52" i="4"/>
  <c r="V52" i="4" s="1"/>
  <c r="S68" i="4"/>
  <c r="V68" i="4" s="1"/>
  <c r="S85" i="4"/>
  <c r="P103" i="17"/>
  <c r="R138" i="15"/>
  <c r="S87" i="3"/>
  <c r="V87" i="3" s="1"/>
  <c r="S69" i="3"/>
  <c r="V69" i="3" s="1"/>
  <c r="S77" i="3"/>
  <c r="V77" i="3" s="1"/>
  <c r="S59" i="3"/>
  <c r="V59" i="3" s="1"/>
  <c r="S60" i="3"/>
  <c r="V60" i="3" s="1"/>
  <c r="S20" i="3"/>
  <c r="T20" i="3" s="1"/>
  <c r="S62" i="3"/>
  <c r="V62" i="3" s="1"/>
  <c r="S45" i="3"/>
  <c r="V45" i="3" s="1"/>
  <c r="S43" i="3"/>
  <c r="V43" i="3" s="1"/>
  <c r="S41" i="3"/>
  <c r="V41" i="3" s="1"/>
  <c r="S25" i="3"/>
  <c r="V25" i="3" s="1"/>
  <c r="S68" i="3"/>
  <c r="T87" i="3"/>
  <c r="S44" i="3"/>
  <c r="V44" i="3" s="1"/>
  <c r="S74" i="3"/>
  <c r="S36" i="3"/>
  <c r="V36" i="3" s="1"/>
  <c r="S46" i="3"/>
  <c r="V46" i="3" s="1"/>
  <c r="S61" i="3"/>
  <c r="V61" i="3" s="1"/>
  <c r="S39" i="3"/>
  <c r="V39" i="3" s="1"/>
  <c r="S35" i="3"/>
  <c r="V35" i="3" s="1"/>
  <c r="S71" i="3"/>
  <c r="V71" i="3" s="1"/>
  <c r="S79" i="3"/>
  <c r="V79" i="3" s="1"/>
  <c r="S67" i="3"/>
  <c r="V67" i="3" s="1"/>
  <c r="Q187" i="9"/>
  <c r="S38" i="3"/>
  <c r="V38" i="3" s="1"/>
  <c r="S58" i="3"/>
  <c r="V58" i="3" s="1"/>
  <c r="P81" i="17"/>
  <c r="P66" i="16"/>
  <c r="S23" i="3"/>
  <c r="V23" i="3" s="1"/>
  <c r="Q81" i="17"/>
  <c r="Q66" i="16"/>
  <c r="Q86" i="17"/>
  <c r="Q85" i="17" s="1"/>
  <c r="Q126" i="16"/>
  <c r="Q114" i="16" s="1"/>
  <c r="S72" i="3"/>
  <c r="T72" i="3" s="1"/>
  <c r="S101" i="3"/>
  <c r="V101" i="3" s="1"/>
  <c r="P86" i="17"/>
  <c r="P85" i="17" s="1"/>
  <c r="P126" i="16"/>
  <c r="P114" i="16" s="1"/>
  <c r="P91" i="15"/>
  <c r="P72" i="17"/>
  <c r="S63" i="3"/>
  <c r="T63" i="3" s="1"/>
  <c r="S53" i="3"/>
  <c r="V53" i="3" s="1"/>
  <c r="Q43" i="15"/>
  <c r="R87" i="17"/>
  <c r="R89" i="17" s="1"/>
  <c r="R51" i="17"/>
  <c r="R29" i="16"/>
  <c r="Q29" i="16"/>
  <c r="Q51" i="17"/>
  <c r="P51" i="17"/>
  <c r="P29" i="16"/>
  <c r="S93" i="2"/>
  <c r="S94" i="2"/>
  <c r="V94" i="2" s="1"/>
  <c r="S13" i="2"/>
  <c r="S40" i="17" s="1"/>
  <c r="T40" i="17" s="1"/>
  <c r="S83" i="2"/>
  <c r="V83" i="2" s="1"/>
  <c r="P90" i="15"/>
  <c r="P45" i="17"/>
  <c r="P40" i="17"/>
  <c r="S86" i="2"/>
  <c r="P46" i="17"/>
  <c r="R213" i="9"/>
  <c r="R58" i="17"/>
  <c r="R90" i="15"/>
  <c r="R45" i="17"/>
  <c r="R49" i="17" s="1"/>
  <c r="Q45" i="17"/>
  <c r="Q49" i="17" s="1"/>
  <c r="Q90" i="15"/>
  <c r="R7" i="2"/>
  <c r="S84" i="2"/>
  <c r="T83" i="2"/>
  <c r="T86" i="2"/>
  <c r="S87" i="2"/>
  <c r="R125" i="16"/>
  <c r="Q90" i="3"/>
  <c r="Q5" i="3" s="1"/>
  <c r="Q180" i="9" s="1"/>
  <c r="Q214" i="9"/>
  <c r="Q67" i="17"/>
  <c r="Q76" i="17" s="1"/>
  <c r="P139" i="15"/>
  <c r="P138" i="16"/>
  <c r="Q139" i="15"/>
  <c r="Q138" i="16"/>
  <c r="S66" i="4"/>
  <c r="S42" i="4"/>
  <c r="V42" i="4" s="1"/>
  <c r="S14" i="4"/>
  <c r="V14" i="4" s="1"/>
  <c r="S67" i="4"/>
  <c r="S46" i="4"/>
  <c r="T46" i="4" s="1"/>
  <c r="S35" i="4"/>
  <c r="V35" i="4" s="1"/>
  <c r="S17" i="4"/>
  <c r="V17" i="4" s="1"/>
  <c r="S19" i="4"/>
  <c r="V19" i="4" s="1"/>
  <c r="S45" i="4"/>
  <c r="V45" i="4" s="1"/>
  <c r="T62" i="9"/>
  <c r="T51" i="9"/>
  <c r="V19" i="9"/>
  <c r="S63" i="4"/>
  <c r="V63" i="4" s="1"/>
  <c r="S25" i="4"/>
  <c r="V25" i="4" s="1"/>
  <c r="S49" i="4"/>
  <c r="T49" i="4" s="1"/>
  <c r="S77" i="4"/>
  <c r="V77" i="4" s="1"/>
  <c r="S54" i="4"/>
  <c r="V54" i="4" s="1"/>
  <c r="S74" i="4"/>
  <c r="S38" i="4"/>
  <c r="V38" i="4" s="1"/>
  <c r="S22" i="4"/>
  <c r="V22" i="4" s="1"/>
  <c r="S16" i="4"/>
  <c r="S61" i="4"/>
  <c r="V61" i="4" s="1"/>
  <c r="S39" i="4"/>
  <c r="V39" i="4" s="1"/>
  <c r="S78" i="4"/>
  <c r="V78" i="4" s="1"/>
  <c r="S20" i="4"/>
  <c r="V20" i="4" s="1"/>
  <c r="P127" i="16"/>
  <c r="P115" i="16" s="1"/>
  <c r="P113" i="17"/>
  <c r="P112" i="17" s="1"/>
  <c r="Q54" i="17"/>
  <c r="Q65" i="16"/>
  <c r="Q113" i="17"/>
  <c r="Q112" i="17" s="1"/>
  <c r="Q127" i="16"/>
  <c r="Q115" i="16" s="1"/>
  <c r="Q140" i="15"/>
  <c r="Q139" i="16"/>
  <c r="P138" i="15"/>
  <c r="P137" i="16"/>
  <c r="S99" i="4"/>
  <c r="V99" i="4" s="1"/>
  <c r="S95" i="4"/>
  <c r="V95" i="4" s="1"/>
  <c r="P108" i="17"/>
  <c r="P67" i="16"/>
  <c r="Q125" i="16"/>
  <c r="Q59" i="17"/>
  <c r="Q58" i="17" s="1"/>
  <c r="P59" i="17"/>
  <c r="P58" i="17" s="1"/>
  <c r="P125" i="16"/>
  <c r="R114" i="17"/>
  <c r="R116" i="17" s="1"/>
  <c r="Q138" i="15"/>
  <c r="Q137" i="16"/>
  <c r="Q67" i="16"/>
  <c r="Q108" i="17"/>
  <c r="P54" i="17"/>
  <c r="P65" i="16"/>
  <c r="S102" i="3"/>
  <c r="T102" i="3" s="1"/>
  <c r="S33" i="3"/>
  <c r="S69" i="17" s="1"/>
  <c r="T69" i="17" s="1"/>
  <c r="T49" i="10"/>
  <c r="S48" i="3"/>
  <c r="V48" i="3" s="1"/>
  <c r="S22" i="3"/>
  <c r="S65" i="3"/>
  <c r="V65" i="3" s="1"/>
  <c r="T112" i="9"/>
  <c r="V16" i="9"/>
  <c r="S61" i="7"/>
  <c r="V61" i="7" s="1"/>
  <c r="S46" i="7"/>
  <c r="S69" i="7"/>
  <c r="T69" i="7" s="1"/>
  <c r="S97" i="3"/>
  <c r="V97" i="3" s="1"/>
  <c r="S78" i="3"/>
  <c r="V78" i="3" s="1"/>
  <c r="S80" i="3"/>
  <c r="V80" i="3" s="1"/>
  <c r="S76" i="3"/>
  <c r="V76" i="3" s="1"/>
  <c r="S64" i="3"/>
  <c r="V64" i="3" s="1"/>
  <c r="S57" i="3"/>
  <c r="V57" i="3" s="1"/>
  <c r="Q31" i="15"/>
  <c r="S34" i="7"/>
  <c r="V34" i="7" s="1"/>
  <c r="S37" i="7"/>
  <c r="V37" i="7" s="1"/>
  <c r="S97" i="7"/>
  <c r="V97" i="7" s="1"/>
  <c r="S67" i="7"/>
  <c r="T67" i="7" s="1"/>
  <c r="S49" i="7"/>
  <c r="V49" i="7" s="1"/>
  <c r="S35" i="7"/>
  <c r="V35" i="7" s="1"/>
  <c r="Q222" i="9"/>
  <c r="V34" i="9"/>
  <c r="S27" i="2"/>
  <c r="V27" i="2" s="1"/>
  <c r="S19" i="2"/>
  <c r="T19" i="2" s="1"/>
  <c r="S61" i="2"/>
  <c r="V61" i="2" s="1"/>
  <c r="S56" i="2"/>
  <c r="V56" i="2" s="1"/>
  <c r="S45" i="2"/>
  <c r="V45" i="2" s="1"/>
  <c r="S95" i="3"/>
  <c r="S20" i="2"/>
  <c r="V20" i="2" s="1"/>
  <c r="S54" i="2"/>
  <c r="V54" i="2" s="1"/>
  <c r="S25" i="2"/>
  <c r="V25" i="2" s="1"/>
  <c r="S16" i="2"/>
  <c r="S51" i="2"/>
  <c r="V51" i="2" s="1"/>
  <c r="S37" i="2"/>
  <c r="V37" i="2" s="1"/>
  <c r="S62" i="2"/>
  <c r="V62" i="2" s="1"/>
  <c r="S30" i="2"/>
  <c r="V30" i="2" s="1"/>
  <c r="S44" i="2"/>
  <c r="V44" i="2" s="1"/>
  <c r="S50" i="2"/>
  <c r="V50" i="2" s="1"/>
  <c r="T40" i="9"/>
  <c r="S99" i="3"/>
  <c r="S30" i="3"/>
  <c r="S68" i="17" s="1"/>
  <c r="T68" i="17" s="1"/>
  <c r="Q96" i="10"/>
  <c r="Q9" i="10" s="1"/>
  <c r="S60" i="4"/>
  <c r="V60" i="4" s="1"/>
  <c r="S15" i="4"/>
  <c r="V15" i="4" s="1"/>
  <c r="S73" i="4"/>
  <c r="V73" i="4" s="1"/>
  <c r="S33" i="4"/>
  <c r="V33" i="4" s="1"/>
  <c r="S100" i="4"/>
  <c r="V100" i="4" s="1"/>
  <c r="P140" i="15"/>
  <c r="S37" i="4"/>
  <c r="V37" i="4" s="1"/>
  <c r="S27" i="4"/>
  <c r="T27" i="4" s="1"/>
  <c r="S51" i="4"/>
  <c r="V51" i="4" s="1"/>
  <c r="S76" i="4"/>
  <c r="V76" i="4" s="1"/>
  <c r="S28" i="4"/>
  <c r="S64" i="7"/>
  <c r="T64" i="7" s="1"/>
  <c r="S57" i="7"/>
  <c r="V57" i="7" s="1"/>
  <c r="S42" i="7"/>
  <c r="S80" i="7"/>
  <c r="V80" i="7" s="1"/>
  <c r="S59" i="7"/>
  <c r="V59" i="7" s="1"/>
  <c r="S24" i="7"/>
  <c r="V24" i="7" s="1"/>
  <c r="S76" i="7"/>
  <c r="V76" i="7" s="1"/>
  <c r="S62" i="7"/>
  <c r="V62" i="7" s="1"/>
  <c r="S54" i="7"/>
  <c r="V54" i="7" s="1"/>
  <c r="S50" i="7"/>
  <c r="V50" i="7" s="1"/>
  <c r="S75" i="7"/>
  <c r="V75" i="7" s="1"/>
  <c r="S28" i="7"/>
  <c r="V28" i="7" s="1"/>
  <c r="S65" i="7"/>
  <c r="V65" i="7" s="1"/>
  <c r="S81" i="7"/>
  <c r="V81" i="7" s="1"/>
  <c r="S100" i="5"/>
  <c r="V100" i="5" s="1"/>
  <c r="P141" i="15"/>
  <c r="S13" i="3"/>
  <c r="S67" i="17" s="1"/>
  <c r="S53" i="4"/>
  <c r="V53" i="4" s="1"/>
  <c r="S57" i="4"/>
  <c r="V57" i="4" s="1"/>
  <c r="S58" i="4"/>
  <c r="T58" i="4" s="1"/>
  <c r="S62" i="4"/>
  <c r="S53" i="2"/>
  <c r="V53" i="2" s="1"/>
  <c r="S34" i="2"/>
  <c r="V34" i="2" s="1"/>
  <c r="V66" i="6"/>
  <c r="T66" i="6"/>
  <c r="Q7" i="6"/>
  <c r="V71" i="6"/>
  <c r="T71" i="6"/>
  <c r="V33" i="5"/>
  <c r="T33" i="5"/>
  <c r="V71" i="5"/>
  <c r="T71" i="5"/>
  <c r="V66" i="5"/>
  <c r="T66" i="5"/>
  <c r="V48" i="5"/>
  <c r="T48" i="5"/>
  <c r="V41" i="5"/>
  <c r="T41" i="5"/>
  <c r="S48" i="4"/>
  <c r="V48" i="4" s="1"/>
  <c r="S41" i="4"/>
  <c r="T41" i="4" s="1"/>
  <c r="S100" i="2"/>
  <c r="T100" i="2" s="1"/>
  <c r="S95" i="2"/>
  <c r="V95" i="2" s="1"/>
  <c r="S99" i="2"/>
  <c r="S66" i="2"/>
  <c r="V66" i="2" s="1"/>
  <c r="Q6" i="3"/>
  <c r="V20" i="15"/>
  <c r="T20" i="15"/>
  <c r="T16" i="15"/>
  <c r="V16" i="15"/>
  <c r="V69" i="6"/>
  <c r="T69" i="6"/>
  <c r="V19" i="15"/>
  <c r="T19" i="15"/>
  <c r="V80" i="6"/>
  <c r="T80" i="6"/>
  <c r="V44" i="9"/>
  <c r="T44" i="9"/>
  <c r="T28" i="3"/>
  <c r="Q215" i="9"/>
  <c r="Q32" i="15"/>
  <c r="T62" i="2"/>
  <c r="V53" i="10"/>
  <c r="T53" i="10"/>
  <c r="S26" i="7"/>
  <c r="V26" i="7" s="1"/>
  <c r="S101" i="7"/>
  <c r="S77" i="7"/>
  <c r="V77" i="7" s="1"/>
  <c r="T36" i="5"/>
  <c r="V36" i="5"/>
  <c r="V58" i="5"/>
  <c r="T58" i="5"/>
  <c r="V34" i="5"/>
  <c r="T34" i="5"/>
  <c r="V81" i="3"/>
  <c r="T81" i="3"/>
  <c r="V130" i="9"/>
  <c r="T130" i="9"/>
  <c r="M17" i="11"/>
  <c r="S78" i="2"/>
  <c r="V78" i="2" s="1"/>
  <c r="S63" i="2"/>
  <c r="V63" i="2" s="1"/>
  <c r="S72" i="2"/>
  <c r="S101" i="2"/>
  <c r="P221" i="9"/>
  <c r="P42" i="15"/>
  <c r="S29" i="2"/>
  <c r="S41" i="17" s="1"/>
  <c r="T41" i="17" s="1"/>
  <c r="S68" i="2"/>
  <c r="V68" i="2" s="1"/>
  <c r="S80" i="2"/>
  <c r="S79" i="2"/>
  <c r="V79" i="2" s="1"/>
  <c r="S64" i="2"/>
  <c r="S39" i="2"/>
  <c r="V39" i="2" s="1"/>
  <c r="S49" i="2"/>
  <c r="S38" i="2"/>
  <c r="V38" i="2" s="1"/>
  <c r="S47" i="2"/>
  <c r="V47" i="2" s="1"/>
  <c r="S40" i="2"/>
  <c r="S55" i="2"/>
  <c r="V55" i="2" s="1"/>
  <c r="S59" i="2"/>
  <c r="V59" i="2" s="1"/>
  <c r="S22" i="2"/>
  <c r="S52" i="2"/>
  <c r="V52" i="2" s="1"/>
  <c r="T124" i="9"/>
  <c r="V124" i="9"/>
  <c r="Q47" i="15"/>
  <c r="Q226" i="9"/>
  <c r="Q7" i="7"/>
  <c r="V16" i="10"/>
  <c r="T16" i="10"/>
  <c r="V35" i="10"/>
  <c r="T35" i="10"/>
  <c r="Q233" i="9"/>
  <c r="Q58" i="15"/>
  <c r="V73" i="10"/>
  <c r="S72" i="10"/>
  <c r="V15" i="15"/>
  <c r="T15" i="15"/>
  <c r="P5" i="4"/>
  <c r="P181" i="9" s="1"/>
  <c r="S89" i="4"/>
  <c r="S44" i="7"/>
  <c r="V44" i="7" s="1"/>
  <c r="S36" i="7"/>
  <c r="V47" i="3"/>
  <c r="V81" i="10"/>
  <c r="S80" i="10"/>
  <c r="S112" i="16" s="1"/>
  <c r="V26" i="10"/>
  <c r="S25" i="10"/>
  <c r="V18" i="15"/>
  <c r="T18" i="15"/>
  <c r="V67" i="6"/>
  <c r="T67" i="6"/>
  <c r="V34" i="6"/>
  <c r="S79" i="4"/>
  <c r="V79" i="4" s="1"/>
  <c r="S101" i="4"/>
  <c r="S48" i="7"/>
  <c r="S63" i="7"/>
  <c r="V63" i="7" s="1"/>
  <c r="S68" i="7"/>
  <c r="V68" i="7" s="1"/>
  <c r="P232" i="9"/>
  <c r="S32" i="5"/>
  <c r="S123" i="17" s="1"/>
  <c r="T123" i="17" s="1"/>
  <c r="P57" i="15"/>
  <c r="S102" i="6"/>
  <c r="V77" i="10"/>
  <c r="S76" i="10"/>
  <c r="T76" i="10" s="1"/>
  <c r="S72" i="4"/>
  <c r="S102" i="4"/>
  <c r="P6" i="4"/>
  <c r="S64" i="4"/>
  <c r="S60" i="7"/>
  <c r="V60" i="7" s="1"/>
  <c r="S96" i="7"/>
  <c r="V96" i="7" s="1"/>
  <c r="P226" i="9"/>
  <c r="P47" i="15"/>
  <c r="S29" i="7"/>
  <c r="S176" i="17" s="1"/>
  <c r="T176" i="17" s="1"/>
  <c r="S25" i="7"/>
  <c r="V25" i="7" s="1"/>
  <c r="P234" i="9"/>
  <c r="P59" i="15"/>
  <c r="S32" i="7"/>
  <c r="S177" i="17" s="1"/>
  <c r="T177" i="17" s="1"/>
  <c r="S38" i="7"/>
  <c r="V38" i="7" s="1"/>
  <c r="S52" i="7"/>
  <c r="V52" i="7" s="1"/>
  <c r="V72" i="5"/>
  <c r="T72" i="5"/>
  <c r="V46" i="5"/>
  <c r="T46" i="5"/>
  <c r="T25" i="5"/>
  <c r="V25" i="5"/>
  <c r="V49" i="5"/>
  <c r="T49" i="5"/>
  <c r="V42" i="5"/>
  <c r="T42" i="5"/>
  <c r="P189" i="9"/>
  <c r="S100" i="3"/>
  <c r="S34" i="3"/>
  <c r="T101" i="3"/>
  <c r="T17" i="3"/>
  <c r="V17" i="3"/>
  <c r="S84" i="3"/>
  <c r="P187" i="9"/>
  <c r="V87" i="10"/>
  <c r="T87" i="10"/>
  <c r="V14" i="15"/>
  <c r="T14" i="15"/>
  <c r="Q7" i="2"/>
  <c r="Q44" i="15"/>
  <c r="Q223" i="9"/>
  <c r="P229" i="9"/>
  <c r="P54" i="15"/>
  <c r="S32" i="2"/>
  <c r="S42" i="17" s="1"/>
  <c r="T42" i="17" s="1"/>
  <c r="S102" i="2"/>
  <c r="P6" i="2"/>
  <c r="S98" i="2"/>
  <c r="V98" i="2" s="1"/>
  <c r="S58" i="2"/>
  <c r="S26" i="2"/>
  <c r="V26" i="2" s="1"/>
  <c r="S67" i="2"/>
  <c r="S41" i="2"/>
  <c r="S48" i="2"/>
  <c r="S43" i="2"/>
  <c r="V43" i="2" s="1"/>
  <c r="S21" i="2"/>
  <c r="S97" i="2"/>
  <c r="T30" i="9"/>
  <c r="V30" i="9"/>
  <c r="Q218" i="9"/>
  <c r="Q35" i="15"/>
  <c r="T75" i="10"/>
  <c r="V75" i="10"/>
  <c r="T45" i="10"/>
  <c r="V45" i="10"/>
  <c r="Q217" i="9"/>
  <c r="Q34" i="15"/>
  <c r="V14" i="10"/>
  <c r="T14" i="10"/>
  <c r="S50" i="10"/>
  <c r="V52" i="10"/>
  <c r="T52" i="10"/>
  <c r="V43" i="10"/>
  <c r="S42" i="10"/>
  <c r="T43" i="10"/>
  <c r="S20" i="7"/>
  <c r="V20" i="7" s="1"/>
  <c r="V15" i="5"/>
  <c r="T15" i="5"/>
  <c r="V30" i="5"/>
  <c r="T30" i="5"/>
  <c r="V22" i="5"/>
  <c r="T22" i="5"/>
  <c r="T80" i="5"/>
  <c r="V80" i="5"/>
  <c r="T21" i="5"/>
  <c r="V21" i="5"/>
  <c r="S15" i="3"/>
  <c r="S31" i="3"/>
  <c r="Q42" i="15"/>
  <c r="Q221" i="9"/>
  <c r="S46" i="2"/>
  <c r="S15" i="2"/>
  <c r="S89" i="2"/>
  <c r="P5" i="2"/>
  <c r="P179" i="9" s="1"/>
  <c r="T34" i="2"/>
  <c r="S18" i="2"/>
  <c r="T30" i="2"/>
  <c r="T15" i="9"/>
  <c r="V15" i="9"/>
  <c r="Q46" i="15"/>
  <c r="Q225" i="9"/>
  <c r="S43" i="4"/>
  <c r="V43" i="4" s="1"/>
  <c r="S70" i="7"/>
  <c r="V70" i="7" s="1"/>
  <c r="S14" i="7"/>
  <c r="V14" i="7" s="1"/>
  <c r="S40" i="7"/>
  <c r="V40" i="7" s="1"/>
  <c r="S58" i="7"/>
  <c r="V67" i="7"/>
  <c r="S79" i="7"/>
  <c r="V79" i="7" s="1"/>
  <c r="V62" i="5"/>
  <c r="T62" i="5"/>
  <c r="V67" i="5"/>
  <c r="T67" i="5"/>
  <c r="T96" i="6"/>
  <c r="V96" i="6"/>
  <c r="R47" i="15"/>
  <c r="R49" i="15" s="1"/>
  <c r="R226" i="9"/>
  <c r="R227" i="9" s="1"/>
  <c r="R234" i="9"/>
  <c r="R59" i="15"/>
  <c r="R96" i="10"/>
  <c r="R9" i="10" s="1"/>
  <c r="U9" i="10" s="1"/>
  <c r="P39" i="10"/>
  <c r="V31" i="10"/>
  <c r="T31" i="10"/>
  <c r="S30" i="10"/>
  <c r="S30" i="4"/>
  <c r="P231" i="9"/>
  <c r="P56" i="15"/>
  <c r="S32" i="4"/>
  <c r="S96" i="17" s="1"/>
  <c r="T96" i="17" s="1"/>
  <c r="P44" i="15"/>
  <c r="P223" i="9"/>
  <c r="S29" i="4"/>
  <c r="S95" i="17" s="1"/>
  <c r="T95" i="17" s="1"/>
  <c r="S70" i="4"/>
  <c r="V70" i="4" s="1"/>
  <c r="S30" i="7"/>
  <c r="S66" i="7"/>
  <c r="S23" i="7"/>
  <c r="S16" i="7"/>
  <c r="V16" i="7" s="1"/>
  <c r="S19" i="7"/>
  <c r="S22" i="7"/>
  <c r="V22" i="7" s="1"/>
  <c r="S56" i="7"/>
  <c r="S53" i="7"/>
  <c r="V53" i="7" s="1"/>
  <c r="S73" i="7"/>
  <c r="V73" i="7" s="1"/>
  <c r="S55" i="7"/>
  <c r="V55" i="7" s="1"/>
  <c r="R31" i="15"/>
  <c r="R214" i="9"/>
  <c r="R90" i="3"/>
  <c r="R5" i="3" s="1"/>
  <c r="R180" i="9" s="1"/>
  <c r="P7" i="6"/>
  <c r="R218" i="9"/>
  <c r="R35" i="15"/>
  <c r="T41" i="10"/>
  <c r="V41" i="10"/>
  <c r="S40" i="10"/>
  <c r="V48" i="10"/>
  <c r="S47" i="10"/>
  <c r="T48" i="10"/>
  <c r="S29" i="6"/>
  <c r="S149" i="17" s="1"/>
  <c r="T149" i="17" s="1"/>
  <c r="V36" i="6"/>
  <c r="T42" i="4"/>
  <c r="S65" i="4"/>
  <c r="V65" i="4" s="1"/>
  <c r="P215" i="9"/>
  <c r="P32" i="15"/>
  <c r="S13" i="4"/>
  <c r="S94" i="17" s="1"/>
  <c r="V46" i="4"/>
  <c r="S21" i="7"/>
  <c r="S72" i="7"/>
  <c r="S45" i="7"/>
  <c r="V45" i="7" s="1"/>
  <c r="S39" i="7"/>
  <c r="V39" i="7" s="1"/>
  <c r="S98" i="7"/>
  <c r="S47" i="7"/>
  <c r="V47" i="7" s="1"/>
  <c r="S43" i="7"/>
  <c r="V43" i="7" s="1"/>
  <c r="S41" i="7"/>
  <c r="S95" i="7"/>
  <c r="S71" i="7"/>
  <c r="S78" i="7"/>
  <c r="V78" i="7" s="1"/>
  <c r="S27" i="7"/>
  <c r="V27" i="7" s="1"/>
  <c r="S18" i="7"/>
  <c r="S31" i="7"/>
  <c r="V31" i="7" s="1"/>
  <c r="S51" i="7"/>
  <c r="V51" i="7" s="1"/>
  <c r="S82" i="7"/>
  <c r="V82" i="7" s="1"/>
  <c r="S74" i="7"/>
  <c r="V74" i="7" s="1"/>
  <c r="S33" i="7"/>
  <c r="S17" i="7"/>
  <c r="V17" i="7" s="1"/>
  <c r="T53" i="5"/>
  <c r="V53" i="5"/>
  <c r="T64" i="5"/>
  <c r="V64" i="5"/>
  <c r="P6" i="5"/>
  <c r="S102" i="5"/>
  <c r="V19" i="5"/>
  <c r="T19" i="5"/>
  <c r="T27" i="5"/>
  <c r="V27" i="5"/>
  <c r="P216" i="9"/>
  <c r="S13" i="5"/>
  <c r="S121" i="17" s="1"/>
  <c r="P33" i="15"/>
  <c r="P5" i="5"/>
  <c r="P182" i="9" s="1"/>
  <c r="S89" i="5"/>
  <c r="P45" i="15"/>
  <c r="S29" i="5"/>
  <c r="S122" i="17" s="1"/>
  <c r="T122" i="17" s="1"/>
  <c r="P224" i="9"/>
  <c r="V17" i="5"/>
  <c r="T17" i="5"/>
  <c r="P6" i="3"/>
  <c r="S96" i="3"/>
  <c r="V20" i="3"/>
  <c r="T37" i="3"/>
  <c r="V37" i="3"/>
  <c r="Q229" i="9"/>
  <c r="Q54" i="15"/>
  <c r="Q7" i="4"/>
  <c r="Q231" i="9"/>
  <c r="Q56" i="15"/>
  <c r="S35" i="2"/>
  <c r="V35" i="2" s="1"/>
  <c r="S73" i="2"/>
  <c r="V73" i="2" s="1"/>
  <c r="S36" i="2"/>
  <c r="S23" i="2"/>
  <c r="S70" i="2"/>
  <c r="V70" i="2" s="1"/>
  <c r="S75" i="2"/>
  <c r="V75" i="2" s="1"/>
  <c r="S96" i="2"/>
  <c r="S57" i="2"/>
  <c r="V57" i="2" s="1"/>
  <c r="S42" i="2"/>
  <c r="S76" i="2"/>
  <c r="V76" i="2" s="1"/>
  <c r="S60" i="2"/>
  <c r="V60" i="2" s="1"/>
  <c r="S74" i="2"/>
  <c r="S77" i="2"/>
  <c r="V77" i="2" s="1"/>
  <c r="S33" i="2"/>
  <c r="S65" i="2"/>
  <c r="V65" i="2" s="1"/>
  <c r="S71" i="2"/>
  <c r="S17" i="2"/>
  <c r="V17" i="2" s="1"/>
  <c r="S69" i="2"/>
  <c r="V69" i="2" s="1"/>
  <c r="S81" i="2"/>
  <c r="V81" i="2" s="1"/>
  <c r="T70" i="9"/>
  <c r="V70" i="9"/>
  <c r="Q234" i="9"/>
  <c r="Q59" i="15"/>
  <c r="V68" i="10"/>
  <c r="S67" i="10"/>
  <c r="T67" i="10" s="1"/>
  <c r="T18" i="10"/>
  <c r="V18" i="10"/>
  <c r="P130" i="17" l="1"/>
  <c r="Q143" i="17"/>
  <c r="V18" i="7"/>
  <c r="T18" i="7"/>
  <c r="V23" i="7"/>
  <c r="T23" i="7"/>
  <c r="P76" i="17"/>
  <c r="T88" i="3"/>
  <c r="T49" i="3"/>
  <c r="V73" i="3"/>
  <c r="V74" i="3"/>
  <c r="T74" i="3"/>
  <c r="V18" i="6"/>
  <c r="T18" i="6"/>
  <c r="V30" i="6"/>
  <c r="T100" i="6"/>
  <c r="V23" i="2"/>
  <c r="T23" i="2"/>
  <c r="V74" i="2"/>
  <c r="T74" i="2"/>
  <c r="V16" i="2"/>
  <c r="T16" i="2"/>
  <c r="T83" i="4"/>
  <c r="V96" i="4"/>
  <c r="V74" i="4"/>
  <c r="T74" i="4"/>
  <c r="V66" i="4"/>
  <c r="T66" i="4"/>
  <c r="V67" i="4"/>
  <c r="T67" i="4"/>
  <c r="V62" i="4"/>
  <c r="T62" i="4"/>
  <c r="T34" i="4"/>
  <c r="V64" i="7"/>
  <c r="V84" i="6"/>
  <c r="T84" i="6"/>
  <c r="R60" i="17"/>
  <c r="V42" i="7"/>
  <c r="T42" i="7"/>
  <c r="V46" i="7"/>
  <c r="T46" i="7"/>
  <c r="V41" i="7"/>
  <c r="T41" i="7"/>
  <c r="P109" i="15"/>
  <c r="T43" i="3"/>
  <c r="T67" i="3"/>
  <c r="T24" i="3"/>
  <c r="S104" i="15"/>
  <c r="S100" i="17"/>
  <c r="T100" i="17" s="1"/>
  <c r="S142" i="15"/>
  <c r="V97" i="6"/>
  <c r="T97" i="6"/>
  <c r="T56" i="6"/>
  <c r="V48" i="6"/>
  <c r="T62" i="6"/>
  <c r="V46" i="6"/>
  <c r="T46" i="6"/>
  <c r="V42" i="6"/>
  <c r="T42" i="6"/>
  <c r="V41" i="6"/>
  <c r="T41" i="6"/>
  <c r="V23" i="6"/>
  <c r="T23" i="6"/>
  <c r="V26" i="4"/>
  <c r="T26" i="4"/>
  <c r="T42" i="3"/>
  <c r="R145" i="15"/>
  <c r="R22" i="15" s="1"/>
  <c r="R23" i="15" s="1"/>
  <c r="V85" i="3"/>
  <c r="T85" i="3"/>
  <c r="Q7" i="3"/>
  <c r="T19" i="3"/>
  <c r="R72" i="16"/>
  <c r="R33" i="17"/>
  <c r="R35" i="17" s="1"/>
  <c r="T19" i="6"/>
  <c r="V41" i="4"/>
  <c r="P87" i="17"/>
  <c r="P89" i="17" s="1"/>
  <c r="Q87" i="17"/>
  <c r="V50" i="3"/>
  <c r="R235" i="9"/>
  <c r="V13" i="6"/>
  <c r="V72" i="6"/>
  <c r="T58" i="6"/>
  <c r="T32" i="6"/>
  <c r="S233" i="9"/>
  <c r="S58" i="15"/>
  <c r="V32" i="6"/>
  <c r="T100" i="5"/>
  <c r="T48" i="4"/>
  <c r="V21" i="4"/>
  <c r="V80" i="4"/>
  <c r="T80" i="4"/>
  <c r="V16" i="4"/>
  <c r="T16" i="4"/>
  <c r="V72" i="3"/>
  <c r="V68" i="3"/>
  <c r="T68" i="3"/>
  <c r="T65" i="3"/>
  <c r="V22" i="3"/>
  <c r="T22" i="3"/>
  <c r="P60" i="17"/>
  <c r="V22" i="2"/>
  <c r="T22" i="2"/>
  <c r="V21" i="2"/>
  <c r="T21" i="2"/>
  <c r="V18" i="2"/>
  <c r="T18" i="2"/>
  <c r="V25" i="10"/>
  <c r="T25" i="10"/>
  <c r="P96" i="10"/>
  <c r="P9" i="10" s="1"/>
  <c r="P26" i="17"/>
  <c r="P33" i="17" s="1"/>
  <c r="P52" i="16"/>
  <c r="P60" i="16" s="1"/>
  <c r="T49" i="6"/>
  <c r="S34" i="15"/>
  <c r="Q205" i="9"/>
  <c r="Q206" i="9" s="1"/>
  <c r="T99" i="6"/>
  <c r="T13" i="6"/>
  <c r="S217" i="9"/>
  <c r="T59" i="3"/>
  <c r="Q33" i="17"/>
  <c r="Q35" i="17" s="1"/>
  <c r="S46" i="17"/>
  <c r="T46" i="17" s="1"/>
  <c r="S102" i="15"/>
  <c r="S99" i="17"/>
  <c r="T99" i="17" s="1"/>
  <c r="S92" i="15"/>
  <c r="S27" i="17"/>
  <c r="T27" i="17" s="1"/>
  <c r="S64" i="16"/>
  <c r="Q97" i="15"/>
  <c r="Q157" i="17"/>
  <c r="Q109" i="15"/>
  <c r="V13" i="16"/>
  <c r="S10" i="11"/>
  <c r="T13" i="16"/>
  <c r="V86" i="7"/>
  <c r="S181" i="17"/>
  <c r="T181" i="17" s="1"/>
  <c r="S107" i="15"/>
  <c r="V93" i="4"/>
  <c r="S105" i="17"/>
  <c r="T105" i="17" s="1"/>
  <c r="S31" i="16"/>
  <c r="V67" i="10"/>
  <c r="S76" i="16"/>
  <c r="S84" i="16" s="1"/>
  <c r="S28" i="17"/>
  <c r="T28" i="17" s="1"/>
  <c r="V76" i="10"/>
  <c r="S100" i="16"/>
  <c r="S108" i="16" s="1"/>
  <c r="S30" i="17"/>
  <c r="T30" i="17" s="1"/>
  <c r="V86" i="2"/>
  <c r="S31" i="17"/>
  <c r="T31" i="17" s="1"/>
  <c r="T32" i="17"/>
  <c r="V18" i="16"/>
  <c r="S15" i="11"/>
  <c r="T18" i="16"/>
  <c r="T15" i="16"/>
  <c r="S12" i="11"/>
  <c r="V15" i="16"/>
  <c r="V95" i="6"/>
  <c r="S25" i="17"/>
  <c r="T25" i="17" s="1"/>
  <c r="S40" i="16"/>
  <c r="S48" i="16" s="1"/>
  <c r="V27" i="4"/>
  <c r="V69" i="7"/>
  <c r="V97" i="4"/>
  <c r="S103" i="15"/>
  <c r="S73" i="17"/>
  <c r="T73" i="17" s="1"/>
  <c r="S180" i="17"/>
  <c r="S95" i="15"/>
  <c r="T19" i="16"/>
  <c r="S16" i="11"/>
  <c r="V19" i="16"/>
  <c r="S14" i="11"/>
  <c r="V17" i="16"/>
  <c r="T24" i="17"/>
  <c r="S88" i="16"/>
  <c r="S96" i="16" s="1"/>
  <c r="S29" i="17"/>
  <c r="T29" i="17" s="1"/>
  <c r="T16" i="16"/>
  <c r="V16" i="16"/>
  <c r="S13" i="11"/>
  <c r="V101" i="6"/>
  <c r="T95" i="4"/>
  <c r="T33" i="4"/>
  <c r="V93" i="7"/>
  <c r="S34" i="16"/>
  <c r="S186" i="17"/>
  <c r="T186" i="17" s="1"/>
  <c r="S30" i="16"/>
  <c r="S78" i="17"/>
  <c r="T78" i="17" s="1"/>
  <c r="V93" i="3"/>
  <c r="V14" i="16"/>
  <c r="S11" i="11"/>
  <c r="T14" i="16"/>
  <c r="Q184" i="17"/>
  <c r="V99" i="5"/>
  <c r="V86" i="5"/>
  <c r="S127" i="17"/>
  <c r="T127" i="17" s="1"/>
  <c r="S105" i="15"/>
  <c r="T97" i="7"/>
  <c r="T62" i="7"/>
  <c r="Q195" i="17"/>
  <c r="T83" i="7"/>
  <c r="V83" i="7"/>
  <c r="R195" i="17"/>
  <c r="R197" i="17" s="1"/>
  <c r="R61" i="15"/>
  <c r="V95" i="7"/>
  <c r="S189" i="17"/>
  <c r="S70" i="16"/>
  <c r="S130" i="16"/>
  <c r="S194" i="17"/>
  <c r="V21" i="6"/>
  <c r="V86" i="6"/>
  <c r="S154" i="17"/>
  <c r="T154" i="17" s="1"/>
  <c r="S106" i="15"/>
  <c r="R36" i="16"/>
  <c r="T33" i="6"/>
  <c r="R97" i="15"/>
  <c r="V83" i="6"/>
  <c r="S153" i="17"/>
  <c r="T153" i="17" s="1"/>
  <c r="S94" i="15"/>
  <c r="Q36" i="16"/>
  <c r="V64" i="6"/>
  <c r="V89" i="6"/>
  <c r="S141" i="16"/>
  <c r="P168" i="17"/>
  <c r="P170" i="17" s="1"/>
  <c r="Q168" i="17"/>
  <c r="T159" i="17"/>
  <c r="S5" i="6"/>
  <c r="S183" i="9" s="1"/>
  <c r="S167" i="17"/>
  <c r="S129" i="16"/>
  <c r="S117" i="16" s="1"/>
  <c r="P36" i="16"/>
  <c r="S162" i="17"/>
  <c r="T162" i="17" s="1"/>
  <c r="S69" i="16"/>
  <c r="R168" i="17"/>
  <c r="R170" i="17" s="1"/>
  <c r="V83" i="5"/>
  <c r="S126" i="17"/>
  <c r="T126" i="17" s="1"/>
  <c r="S93" i="15"/>
  <c r="P141" i="17"/>
  <c r="P143" i="17" s="1"/>
  <c r="V93" i="5"/>
  <c r="S32" i="16"/>
  <c r="S132" i="17"/>
  <c r="S141" i="15"/>
  <c r="S140" i="16"/>
  <c r="V101" i="5"/>
  <c r="S140" i="17"/>
  <c r="S128" i="16"/>
  <c r="S116" i="16" s="1"/>
  <c r="V95" i="5"/>
  <c r="S68" i="16"/>
  <c r="S135" i="17"/>
  <c r="T135" i="17" s="1"/>
  <c r="P97" i="15"/>
  <c r="T23" i="4"/>
  <c r="T19" i="4"/>
  <c r="T15" i="4"/>
  <c r="T36" i="4"/>
  <c r="T85" i="4"/>
  <c r="V85" i="4"/>
  <c r="Q114" i="17"/>
  <c r="Q116" i="17" s="1"/>
  <c r="P114" i="17"/>
  <c r="P116" i="17" s="1"/>
  <c r="V102" i="3"/>
  <c r="V33" i="3"/>
  <c r="T33" i="3"/>
  <c r="Q198" i="9"/>
  <c r="Q200" i="9" s="1"/>
  <c r="T35" i="3"/>
  <c r="V63" i="3"/>
  <c r="V95" i="3"/>
  <c r="S66" i="16"/>
  <c r="S81" i="17"/>
  <c r="T81" i="17" s="1"/>
  <c r="S91" i="15"/>
  <c r="S72" i="17"/>
  <c r="T72" i="17" s="1"/>
  <c r="S126" i="16"/>
  <c r="S114" i="16" s="1"/>
  <c r="S86" i="17"/>
  <c r="T86" i="17" s="1"/>
  <c r="R62" i="17"/>
  <c r="T13" i="2"/>
  <c r="S29" i="16"/>
  <c r="S51" i="17"/>
  <c r="T51" i="17" s="1"/>
  <c r="V93" i="2"/>
  <c r="V13" i="2"/>
  <c r="P49" i="17"/>
  <c r="S90" i="15"/>
  <c r="S45" i="17"/>
  <c r="T45" i="17" s="1"/>
  <c r="V84" i="2"/>
  <c r="T84" i="2"/>
  <c r="V87" i="2"/>
  <c r="T87" i="2"/>
  <c r="T95" i="2"/>
  <c r="T53" i="2"/>
  <c r="R113" i="16"/>
  <c r="R120" i="16" s="1"/>
  <c r="R20" i="16" s="1"/>
  <c r="R132" i="16"/>
  <c r="R37" i="15"/>
  <c r="T121" i="17"/>
  <c r="R7" i="3"/>
  <c r="Q89" i="17"/>
  <c r="S139" i="15"/>
  <c r="S138" i="16"/>
  <c r="T67" i="17"/>
  <c r="S76" i="17"/>
  <c r="T76" i="17" s="1"/>
  <c r="S85" i="17"/>
  <c r="Q143" i="16"/>
  <c r="Q21" i="16" s="1"/>
  <c r="Q18" i="11" s="1"/>
  <c r="T99" i="4"/>
  <c r="T100" i="4"/>
  <c r="Q49" i="15"/>
  <c r="V49" i="4"/>
  <c r="P72" i="16"/>
  <c r="P132" i="16"/>
  <c r="P113" i="16"/>
  <c r="Q145" i="15"/>
  <c r="Q22" i="15" s="1"/>
  <c r="Q23" i="15" s="1"/>
  <c r="P7" i="4"/>
  <c r="Q61" i="15"/>
  <c r="S59" i="17"/>
  <c r="S125" i="16"/>
  <c r="S113" i="16" s="1"/>
  <c r="S54" i="17"/>
  <c r="S65" i="16"/>
  <c r="Q72" i="16"/>
  <c r="S138" i="15"/>
  <c r="S137" i="16"/>
  <c r="Q60" i="17"/>
  <c r="Q62" i="17" s="1"/>
  <c r="S113" i="17"/>
  <c r="S127" i="16"/>
  <c r="S115" i="16" s="1"/>
  <c r="S140" i="15"/>
  <c r="S139" i="16"/>
  <c r="Q113" i="16"/>
  <c r="Q120" i="16" s="1"/>
  <c r="Q20" i="16" s="1"/>
  <c r="Q132" i="16"/>
  <c r="S108" i="17"/>
  <c r="S67" i="16"/>
  <c r="T94" i="17"/>
  <c r="T66" i="2"/>
  <c r="V99" i="2"/>
  <c r="M19" i="11"/>
  <c r="M41" i="11" s="1"/>
  <c r="I41" i="11"/>
  <c r="T49" i="7"/>
  <c r="T34" i="7"/>
  <c r="V58" i="4"/>
  <c r="V66" i="7"/>
  <c r="T66" i="7"/>
  <c r="V48" i="7"/>
  <c r="T48" i="7"/>
  <c r="V99" i="3"/>
  <c r="T99" i="3"/>
  <c r="T80" i="7"/>
  <c r="V19" i="2"/>
  <c r="V71" i="7"/>
  <c r="T71" i="7"/>
  <c r="V13" i="3"/>
  <c r="T13" i="3"/>
  <c r="W13" i="3" s="1"/>
  <c r="V30" i="3"/>
  <c r="T30" i="3"/>
  <c r="V33" i="7"/>
  <c r="T33" i="7"/>
  <c r="R219" i="9"/>
  <c r="V100" i="2"/>
  <c r="P7" i="5"/>
  <c r="Q235" i="9"/>
  <c r="T99" i="2"/>
  <c r="T33" i="2"/>
  <c r="V33" i="2"/>
  <c r="V96" i="3"/>
  <c r="S216" i="9"/>
  <c r="T13" i="5"/>
  <c r="V13" i="5"/>
  <c r="S33" i="15"/>
  <c r="V13" i="4"/>
  <c r="T13" i="4"/>
  <c r="S32" i="15"/>
  <c r="S215" i="9"/>
  <c r="T29" i="6"/>
  <c r="V29" i="6"/>
  <c r="S225" i="9"/>
  <c r="S46" i="15"/>
  <c r="T40" i="10"/>
  <c r="V40" i="10"/>
  <c r="S39" i="10"/>
  <c r="R198" i="9"/>
  <c r="R200" i="9" s="1"/>
  <c r="R205" i="9"/>
  <c r="V19" i="7"/>
  <c r="T19" i="7"/>
  <c r="T30" i="7"/>
  <c r="V30" i="7"/>
  <c r="T30" i="4"/>
  <c r="V30" i="4"/>
  <c r="V15" i="2"/>
  <c r="T15" i="2"/>
  <c r="P214" i="9"/>
  <c r="P31" i="15"/>
  <c r="P90" i="3"/>
  <c r="P5" i="3" s="1"/>
  <c r="P180" i="9" s="1"/>
  <c r="V48" i="2"/>
  <c r="T48" i="2"/>
  <c r="V58" i="2"/>
  <c r="T58" i="2"/>
  <c r="S229" i="9"/>
  <c r="T32" i="2"/>
  <c r="V32" i="2"/>
  <c r="S54" i="15"/>
  <c r="V84" i="3"/>
  <c r="T84" i="3"/>
  <c r="S187" i="9"/>
  <c r="P230" i="9"/>
  <c r="P235" i="9" s="1"/>
  <c r="P55" i="15"/>
  <c r="P61" i="15" s="1"/>
  <c r="S59" i="15"/>
  <c r="V32" i="7"/>
  <c r="T32" i="7"/>
  <c r="S234" i="9"/>
  <c r="V29" i="7"/>
  <c r="T29" i="7"/>
  <c r="S47" i="15"/>
  <c r="S226" i="9"/>
  <c r="V72" i="4"/>
  <c r="T72" i="4"/>
  <c r="V101" i="4"/>
  <c r="T101" i="4"/>
  <c r="T36" i="7"/>
  <c r="V36" i="7"/>
  <c r="T101" i="7"/>
  <c r="V101" i="7"/>
  <c r="S231" i="9"/>
  <c r="T32" i="4"/>
  <c r="S56" i="15"/>
  <c r="V32" i="4"/>
  <c r="T30" i="10"/>
  <c r="V30" i="10"/>
  <c r="P30" i="15"/>
  <c r="P213" i="9"/>
  <c r="V31" i="3"/>
  <c r="T31" i="3"/>
  <c r="T42" i="10"/>
  <c r="V42" i="10"/>
  <c r="V50" i="10"/>
  <c r="T50" i="10"/>
  <c r="T97" i="2"/>
  <c r="V97" i="2"/>
  <c r="V41" i="2"/>
  <c r="T41" i="2"/>
  <c r="T102" i="6"/>
  <c r="V102" i="6"/>
  <c r="S6" i="6"/>
  <c r="V80" i="10"/>
  <c r="T80" i="10"/>
  <c r="V89" i="4"/>
  <c r="S5" i="4"/>
  <c r="T89" i="4"/>
  <c r="V72" i="10"/>
  <c r="T72" i="10"/>
  <c r="V49" i="2"/>
  <c r="T49" i="2"/>
  <c r="T80" i="2"/>
  <c r="V80" i="2"/>
  <c r="T89" i="5"/>
  <c r="S5" i="5"/>
  <c r="V89" i="5"/>
  <c r="V71" i="2"/>
  <c r="T71" i="2"/>
  <c r="T102" i="5"/>
  <c r="V102" i="5"/>
  <c r="S6" i="5"/>
  <c r="V72" i="7"/>
  <c r="T72" i="7"/>
  <c r="T47" i="10"/>
  <c r="V47" i="10"/>
  <c r="V56" i="7"/>
  <c r="T56" i="7"/>
  <c r="T29" i="4"/>
  <c r="S44" i="15"/>
  <c r="S223" i="9"/>
  <c r="V29" i="4"/>
  <c r="T58" i="7"/>
  <c r="V58" i="7"/>
  <c r="T46" i="2"/>
  <c r="V46" i="2"/>
  <c r="P43" i="15"/>
  <c r="P49" i="15" s="1"/>
  <c r="P222" i="9"/>
  <c r="P227" i="9" s="1"/>
  <c r="T67" i="2"/>
  <c r="V67" i="2"/>
  <c r="P7" i="2"/>
  <c r="T100" i="3"/>
  <c r="V100" i="3"/>
  <c r="T40" i="2"/>
  <c r="V40" i="2"/>
  <c r="V101" i="2"/>
  <c r="T101" i="2"/>
  <c r="V42" i="2"/>
  <c r="T42" i="2"/>
  <c r="T96" i="2"/>
  <c r="V96" i="2"/>
  <c r="T36" i="2"/>
  <c r="V36" i="2"/>
  <c r="S45" i="15"/>
  <c r="T29" i="5"/>
  <c r="S224" i="9"/>
  <c r="V29" i="5"/>
  <c r="V98" i="7"/>
  <c r="T98" i="7"/>
  <c r="V21" i="7"/>
  <c r="T21" i="7"/>
  <c r="T89" i="2"/>
  <c r="V89" i="2"/>
  <c r="S5" i="2"/>
  <c r="Q227" i="9"/>
  <c r="T15" i="3"/>
  <c r="V15" i="3"/>
  <c r="V102" i="2"/>
  <c r="T102" i="2"/>
  <c r="S6" i="2"/>
  <c r="T34" i="3"/>
  <c r="V34" i="3"/>
  <c r="S189" i="9"/>
  <c r="V64" i="4"/>
  <c r="T64" i="4"/>
  <c r="V102" i="4"/>
  <c r="T102" i="4"/>
  <c r="S6" i="4"/>
  <c r="V32" i="5"/>
  <c r="S232" i="9"/>
  <c r="T32" i="5"/>
  <c r="S57" i="15"/>
  <c r="T64" i="2"/>
  <c r="V64" i="2"/>
  <c r="V29" i="2"/>
  <c r="S221" i="9"/>
  <c r="T29" i="2"/>
  <c r="S42" i="15"/>
  <c r="T72" i="2"/>
  <c r="V72" i="2"/>
  <c r="Q213" i="9"/>
  <c r="Q219" i="9" s="1"/>
  <c r="Q30" i="15"/>
  <c r="Q37" i="15" s="1"/>
  <c r="P62" i="17" l="1"/>
  <c r="V16" i="11"/>
  <c r="T16" i="11"/>
  <c r="S157" i="17"/>
  <c r="T157" i="17" s="1"/>
  <c r="S103" i="17"/>
  <c r="T103" i="17" s="1"/>
  <c r="Q208" i="9"/>
  <c r="Q209" i="9" s="1"/>
  <c r="V14" i="11"/>
  <c r="T14" i="11"/>
  <c r="R17" i="11"/>
  <c r="R19" i="11" s="1"/>
  <c r="R41" i="11" s="1"/>
  <c r="R22" i="16"/>
  <c r="Q17" i="11"/>
  <c r="Q19" i="11" s="1"/>
  <c r="Q41" i="11" s="1"/>
  <c r="Q22" i="16"/>
  <c r="S26" i="17"/>
  <c r="T26" i="17" s="1"/>
  <c r="S52" i="16"/>
  <c r="S60" i="16" s="1"/>
  <c r="Q197" i="17"/>
  <c r="V13" i="11"/>
  <c r="T13" i="11"/>
  <c r="V10" i="11"/>
  <c r="T10" i="11"/>
  <c r="Q170" i="17"/>
  <c r="T11" i="11"/>
  <c r="V11" i="11"/>
  <c r="T180" i="17"/>
  <c r="V12" i="11"/>
  <c r="T12" i="11"/>
  <c r="S96" i="10"/>
  <c r="S9" i="10" s="1"/>
  <c r="T15" i="11"/>
  <c r="V15" i="11"/>
  <c r="S130" i="17"/>
  <c r="T130" i="17" s="1"/>
  <c r="S109" i="15"/>
  <c r="T189" i="17"/>
  <c r="T194" i="17"/>
  <c r="T5" i="6"/>
  <c r="V5" i="6"/>
  <c r="S166" i="17"/>
  <c r="T166" i="17" s="1"/>
  <c r="T167" i="17"/>
  <c r="S139" i="17"/>
  <c r="T139" i="17" s="1"/>
  <c r="T140" i="17"/>
  <c r="T132" i="17"/>
  <c r="S97" i="15"/>
  <c r="S36" i="16"/>
  <c r="S49" i="17"/>
  <c r="T49" i="17" s="1"/>
  <c r="T85" i="17"/>
  <c r="S87" i="17"/>
  <c r="S132" i="16"/>
  <c r="S58" i="17"/>
  <c r="T58" i="17" s="1"/>
  <c r="T59" i="17"/>
  <c r="T108" i="17"/>
  <c r="S112" i="17"/>
  <c r="T112" i="17" s="1"/>
  <c r="T113" i="17"/>
  <c r="S72" i="16"/>
  <c r="T54" i="17"/>
  <c r="V5" i="5"/>
  <c r="T5" i="5"/>
  <c r="S182" i="9"/>
  <c r="S213" i="9"/>
  <c r="S30" i="15"/>
  <c r="R206" i="9"/>
  <c r="R208" i="9"/>
  <c r="R209" i="9" s="1"/>
  <c r="S214" i="9"/>
  <c r="S90" i="3"/>
  <c r="S5" i="3" s="1"/>
  <c r="S31" i="15"/>
  <c r="S7" i="4"/>
  <c r="T6" i="4"/>
  <c r="V6" i="4"/>
  <c r="S55" i="15"/>
  <c r="S61" i="15" s="1"/>
  <c r="S230" i="9"/>
  <c r="S235" i="9" s="1"/>
  <c r="V5" i="2"/>
  <c r="T5" i="2"/>
  <c r="S179" i="9"/>
  <c r="V6" i="2"/>
  <c r="T6" i="2"/>
  <c r="S7" i="2"/>
  <c r="V6" i="5"/>
  <c r="T6" i="5"/>
  <c r="S7" i="5"/>
  <c r="S181" i="9"/>
  <c r="T5" i="4"/>
  <c r="V5" i="4"/>
  <c r="V6" i="6"/>
  <c r="T6" i="6"/>
  <c r="S7" i="6"/>
  <c r="S222" i="9"/>
  <c r="S227" i="9" s="1"/>
  <c r="S43" i="15"/>
  <c r="S49" i="15" s="1"/>
  <c r="T39" i="10"/>
  <c r="V39" i="10"/>
  <c r="P7" i="3"/>
  <c r="S141" i="17" l="1"/>
  <c r="T141" i="17" s="1"/>
  <c r="V7" i="4"/>
  <c r="T7" i="4"/>
  <c r="S33" i="17"/>
  <c r="T33" i="17" s="1"/>
  <c r="T96" i="10"/>
  <c r="V96" i="10"/>
  <c r="S168" i="17"/>
  <c r="T87" i="17"/>
  <c r="S89" i="17"/>
  <c r="S114" i="17"/>
  <c r="S60" i="17"/>
  <c r="V7" i="6"/>
  <c r="T7" i="6"/>
  <c r="V7" i="5"/>
  <c r="T7" i="5"/>
  <c r="V7" i="2"/>
  <c r="T7" i="2"/>
  <c r="S6" i="3"/>
  <c r="V9" i="10"/>
  <c r="T9" i="10"/>
  <c r="T90" i="3"/>
  <c r="S180" i="9"/>
  <c r="T5" i="3"/>
  <c r="V5" i="3"/>
  <c r="S143" i="17" l="1"/>
  <c r="T168" i="17"/>
  <c r="S170" i="17"/>
  <c r="T60" i="17"/>
  <c r="S62" i="17"/>
  <c r="T114" i="17"/>
  <c r="S116" i="17"/>
  <c r="T6" i="3"/>
  <c r="V6" i="3"/>
  <c r="S7" i="3"/>
  <c r="V7" i="3" l="1"/>
  <c r="T7" i="3"/>
  <c r="L118" i="9"/>
  <c r="P118" i="9"/>
  <c r="S118" i="9" s="1"/>
  <c r="V118" i="9" s="1"/>
  <c r="C106" i="9"/>
  <c r="P106" i="9" l="1"/>
  <c r="T118" i="9"/>
  <c r="C17" i="17"/>
  <c r="L106" i="9"/>
  <c r="C77" i="15"/>
  <c r="C85" i="15" s="1"/>
  <c r="C17" i="15" s="1"/>
  <c r="P17" i="17" l="1"/>
  <c r="P22" i="17" s="1"/>
  <c r="P35" i="17" s="1"/>
  <c r="P77" i="15"/>
  <c r="P85" i="15" s="1"/>
  <c r="S106" i="9"/>
  <c r="C31" i="11"/>
  <c r="P17" i="15"/>
  <c r="S77" i="15" l="1"/>
  <c r="S85" i="15" s="1"/>
  <c r="S17" i="17"/>
  <c r="V106" i="9"/>
  <c r="T106" i="9"/>
  <c r="S17" i="15"/>
  <c r="P31" i="11"/>
  <c r="T17" i="17" l="1"/>
  <c r="S22" i="17"/>
  <c r="S35" i="17" s="1"/>
  <c r="V17" i="15"/>
  <c r="T17" i="15"/>
  <c r="S31" i="11"/>
  <c r="V31" i="11" l="1"/>
  <c r="T31" i="11"/>
  <c r="L15" i="7"/>
  <c r="P15" i="7"/>
  <c r="S15" i="7" s="1"/>
  <c r="C13" i="7"/>
  <c r="P13" i="7" s="1"/>
  <c r="V15" i="7" l="1"/>
  <c r="T15" i="7"/>
  <c r="P218" i="9"/>
  <c r="P219" i="9" s="1"/>
  <c r="S13" i="7"/>
  <c r="P35" i="15"/>
  <c r="P37" i="15" s="1"/>
  <c r="P175" i="17"/>
  <c r="P184" i="17" s="1"/>
  <c r="C175" i="17"/>
  <c r="C184" i="17" s="1"/>
  <c r="L13" i="7"/>
  <c r="C35" i="15"/>
  <c r="C37" i="15" s="1"/>
  <c r="C13" i="15" s="1"/>
  <c r="C89" i="7"/>
  <c r="C218" i="9"/>
  <c r="C219" i="9" s="1"/>
  <c r="C237" i="9" s="1"/>
  <c r="P13" i="15" l="1"/>
  <c r="C27" i="11"/>
  <c r="T13" i="7"/>
  <c r="S35" i="15"/>
  <c r="S37" i="15" s="1"/>
  <c r="V13" i="7"/>
  <c r="S175" i="17"/>
  <c r="S218" i="9"/>
  <c r="S219" i="9" s="1"/>
  <c r="C5" i="7"/>
  <c r="L89" i="7"/>
  <c r="P89" i="7"/>
  <c r="S13" i="15" l="1"/>
  <c r="C142" i="16"/>
  <c r="C143" i="16" s="1"/>
  <c r="C21" i="16" s="1"/>
  <c r="C99" i="7"/>
  <c r="L100" i="7"/>
  <c r="C143" i="15"/>
  <c r="C145" i="15" s="1"/>
  <c r="C22" i="15" s="1"/>
  <c r="P100" i="7"/>
  <c r="S184" i="17"/>
  <c r="T184" i="17" s="1"/>
  <c r="T175" i="17"/>
  <c r="P5" i="7"/>
  <c r="P184" i="9" s="1"/>
  <c r="S89" i="7"/>
  <c r="C184" i="9"/>
  <c r="P27" i="11"/>
  <c r="S27" i="11" l="1"/>
  <c r="T89" i="7"/>
  <c r="S5" i="7"/>
  <c r="V89" i="7"/>
  <c r="P161" i="9"/>
  <c r="S161" i="9" s="1"/>
  <c r="V161" i="9" s="1"/>
  <c r="C145" i="9"/>
  <c r="L161" i="9"/>
  <c r="C118" i="16"/>
  <c r="C120" i="16" s="1"/>
  <c r="C20" i="16" s="1"/>
  <c r="C193" i="17"/>
  <c r="C195" i="17" s="1"/>
  <c r="C197" i="17" s="1"/>
  <c r="L99" i="7"/>
  <c r="C102" i="7"/>
  <c r="P99" i="7"/>
  <c r="P198" i="9"/>
  <c r="P205" i="9"/>
  <c r="P142" i="16"/>
  <c r="P143" i="16" s="1"/>
  <c r="P21" i="16" s="1"/>
  <c r="P18" i="11" s="1"/>
  <c r="S100" i="7"/>
  <c r="P143" i="15"/>
  <c r="P145" i="15" s="1"/>
  <c r="P22" i="15" s="1"/>
  <c r="C18" i="11"/>
  <c r="C198" i="9"/>
  <c r="C205" i="9"/>
  <c r="C36" i="11"/>
  <c r="P36" i="11" s="1"/>
  <c r="S36" i="11" s="1"/>
  <c r="V13" i="15"/>
  <c r="T13" i="15"/>
  <c r="C6" i="7" l="1"/>
  <c r="L6" i="7" s="1"/>
  <c r="P102" i="7"/>
  <c r="L102" i="7"/>
  <c r="P206" i="9"/>
  <c r="P208" i="9"/>
  <c r="P209" i="9" s="1"/>
  <c r="V145" i="9"/>
  <c r="C21" i="17"/>
  <c r="C22" i="17" s="1"/>
  <c r="L145" i="9"/>
  <c r="C125" i="15"/>
  <c r="C133" i="15" s="1"/>
  <c r="C21" i="15" s="1"/>
  <c r="C197" i="9"/>
  <c r="C206" i="9" s="1"/>
  <c r="T145" i="9"/>
  <c r="C168" i="9"/>
  <c r="P168" i="9" s="1"/>
  <c r="S168" i="9" s="1"/>
  <c r="V5" i="7"/>
  <c r="S184" i="9"/>
  <c r="T5" i="7"/>
  <c r="C208" i="9"/>
  <c r="S143" i="15"/>
  <c r="S145" i="15" s="1"/>
  <c r="S22" i="15" s="1"/>
  <c r="S142" i="16"/>
  <c r="S143" i="16" s="1"/>
  <c r="S21" i="16" s="1"/>
  <c r="V100" i="7"/>
  <c r="P193" i="17"/>
  <c r="P195" i="17" s="1"/>
  <c r="P197" i="17" s="1"/>
  <c r="S99" i="7"/>
  <c r="P118" i="16"/>
  <c r="P120" i="16" s="1"/>
  <c r="P20" i="16" s="1"/>
  <c r="C22" i="16"/>
  <c r="C17" i="11"/>
  <c r="C19" i="11" s="1"/>
  <c r="T161" i="9"/>
  <c r="V27" i="11"/>
  <c r="T27" i="11"/>
  <c r="C35" i="17" l="1"/>
  <c r="T22" i="17"/>
  <c r="C209" i="9"/>
  <c r="C35" i="11"/>
  <c r="P21" i="15"/>
  <c r="C23" i="15"/>
  <c r="P17" i="11"/>
  <c r="P19" i="11" s="1"/>
  <c r="P22" i="16"/>
  <c r="S18" i="11"/>
  <c r="V18" i="11" s="1"/>
  <c r="V21" i="16"/>
  <c r="T21" i="16"/>
  <c r="L168" i="9"/>
  <c r="T168" i="9"/>
  <c r="C9" i="9"/>
  <c r="P9" i="9" s="1"/>
  <c r="V168" i="9"/>
  <c r="C9" i="16"/>
  <c r="P9" i="16" s="1"/>
  <c r="S9" i="16" s="1"/>
  <c r="T99" i="7"/>
  <c r="V99" i="7"/>
  <c r="S193" i="17"/>
  <c r="S118" i="16"/>
  <c r="S120" i="16" s="1"/>
  <c r="S20" i="16" s="1"/>
  <c r="V22" i="15"/>
  <c r="T22" i="15"/>
  <c r="S205" i="9"/>
  <c r="S198" i="9"/>
  <c r="P6" i="7"/>
  <c r="P7" i="7" s="1"/>
  <c r="S102" i="7"/>
  <c r="C7" i="7"/>
  <c r="S9" i="9" l="1"/>
  <c r="S200" i="9" s="1"/>
  <c r="P200" i="9"/>
  <c r="S206" i="9"/>
  <c r="S208" i="9"/>
  <c r="S209" i="9" s="1"/>
  <c r="S195" i="17"/>
  <c r="T193" i="17"/>
  <c r="L9" i="16"/>
  <c r="T9" i="16"/>
  <c r="V9" i="16"/>
  <c r="L9" i="9"/>
  <c r="C200" i="9"/>
  <c r="C9" i="15"/>
  <c r="P9" i="15" s="1"/>
  <c r="S9" i="15" s="1"/>
  <c r="S21" i="15"/>
  <c r="P23" i="15"/>
  <c r="S6" i="7"/>
  <c r="T102" i="7"/>
  <c r="V102" i="7"/>
  <c r="P35" i="11"/>
  <c r="C37" i="11"/>
  <c r="C41" i="11" s="1"/>
  <c r="V20" i="16"/>
  <c r="S17" i="11"/>
  <c r="S22" i="16"/>
  <c r="T20" i="16"/>
  <c r="V9" i="9" l="1"/>
  <c r="T9" i="9"/>
  <c r="V17" i="11"/>
  <c r="S19" i="11"/>
  <c r="T17" i="11"/>
  <c r="T9" i="15"/>
  <c r="V9" i="15"/>
  <c r="L9" i="15"/>
  <c r="V6" i="7"/>
  <c r="S7" i="7"/>
  <c r="T6" i="7"/>
  <c r="S197" i="17"/>
  <c r="T195" i="17"/>
  <c r="V22" i="16"/>
  <c r="T22" i="16"/>
  <c r="S35" i="11"/>
  <c r="P37" i="11"/>
  <c r="P41" i="11" s="1"/>
  <c r="V21" i="15"/>
  <c r="S23" i="15"/>
  <c r="T21" i="15"/>
  <c r="V7" i="7" l="1"/>
  <c r="T7" i="7"/>
  <c r="V35" i="11"/>
  <c r="S37" i="11"/>
  <c r="S41" i="11" s="1"/>
  <c r="T35" i="11"/>
  <c r="V19" i="11"/>
  <c r="T19" i="11"/>
  <c r="V23" i="15"/>
  <c r="T23" i="15"/>
  <c r="V41" i="11" l="1"/>
  <c r="T41" i="11"/>
  <c r="V37" i="11"/>
  <c r="T37" i="11"/>
</calcChain>
</file>

<file path=xl/comments1.xml><?xml version="1.0" encoding="utf-8"?>
<comments xmlns="http://schemas.openxmlformats.org/spreadsheetml/2006/main">
  <authors>
    <author>Smidtné Nagy Terézia</author>
  </authors>
  <commentList>
    <comment ref="D16" author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Hatlaczkiné 4 havi helyettesítési díja, de már nem lesz több helyettesítés</t>
        </r>
      </text>
    </comment>
  </commentList>
</comments>
</file>

<file path=xl/comments2.xml><?xml version="1.0" encoding="utf-8"?>
<comments xmlns="http://schemas.openxmlformats.org/spreadsheetml/2006/main">
  <authors>
    <author>Smidtné Nagy Terézia</author>
  </authors>
  <commentList>
    <comment ref="H85" author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ÉV végén volt sok beszerzés tavaly.
</t>
        </r>
      </text>
    </comment>
  </commentList>
</comments>
</file>

<file path=xl/sharedStrings.xml><?xml version="1.0" encoding="utf-8"?>
<sst xmlns="http://schemas.openxmlformats.org/spreadsheetml/2006/main" count="1906" uniqueCount="568">
  <si>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</si>
  <si>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</si>
  <si>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</si>
  <si>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</si>
  <si>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</si>
  <si>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</si>
  <si>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</si>
  <si>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</si>
  <si>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</si>
  <si>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</si>
  <si>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</si>
  <si>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</si>
  <si>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</si>
  <si>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</si>
  <si>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</si>
  <si>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</si>
  <si>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</si>
  <si>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</si>
  <si>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</si>
  <si>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</si>
  <si>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</si>
  <si>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</si>
  <si>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</si>
  <si>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</si>
  <si>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</si>
  <si>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</si>
  <si>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</si>
  <si>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</si>
  <si>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</si>
  <si>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</si>
  <si>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</si>
  <si>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</si>
  <si>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</si>
  <si>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</si>
  <si>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</si>
  <si>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</si>
  <si>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</si>
  <si>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</si>
  <si>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</si>
  <si>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</si>
  <si>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</si>
  <si>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</si>
  <si>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</si>
  <si>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</si>
  <si>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</si>
  <si>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</si>
  <si>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</si>
  <si>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</si>
  <si>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</si>
  <si>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</si>
  <si>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</si>
  <si>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</si>
  <si>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</si>
  <si>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</si>
  <si>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</si>
  <si>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</si>
  <si>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</si>
  <si>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</si>
  <si>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</si>
  <si>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</si>
  <si>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</si>
  <si>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</si>
  <si>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</si>
  <si>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</si>
  <si>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</si>
  <si>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</si>
  <si>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</si>
  <si>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</si>
  <si>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</si>
  <si>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</si>
  <si>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</si>
  <si>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</si>
  <si>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</si>
  <si>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</si>
  <si>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</si>
  <si>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</si>
  <si>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</si>
  <si>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</si>
  <si>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</si>
  <si>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</si>
  <si>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</si>
  <si>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</si>
  <si>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</si>
  <si>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</si>
  <si>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</si>
  <si>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</si>
  <si>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</si>
  <si>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</si>
  <si>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</si>
  <si>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</si>
  <si>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</si>
  <si>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</si>
  <si>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</si>
  <si>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</si>
  <si>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</si>
  <si>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</si>
  <si>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</si>
  <si>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</si>
  <si>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</si>
  <si>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</si>
  <si>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</si>
  <si>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</si>
  <si>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</si>
  <si>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</si>
  <si>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</si>
  <si>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</si>
  <si>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</si>
  <si>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</si>
  <si>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</si>
  <si>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</si>
  <si>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</si>
  <si>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</si>
  <si>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</si>
  <si>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</si>
  <si>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</si>
  <si>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</si>
  <si>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</si>
  <si>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</si>
  <si>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</si>
  <si>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</si>
  <si>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</si>
  <si>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</si>
  <si>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</si>
  <si>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</si>
  <si>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</si>
  <si>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</si>
  <si>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</si>
  <si>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</si>
  <si>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</si>
  <si>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</si>
  <si>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</si>
  <si>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</si>
  <si>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</si>
  <si>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</si>
  <si>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</si>
  <si>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</si>
  <si>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</si>
  <si>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</si>
  <si>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</si>
  <si>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</si>
  <si>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</si>
  <si>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</si>
  <si>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</si>
  <si>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</si>
  <si>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</si>
  <si>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</si>
  <si>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</si>
  <si>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</si>
  <si>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</si>
  <si>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</si>
  <si>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</si>
  <si>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</si>
  <si>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</si>
  <si>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</si>
  <si>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</si>
  <si>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</si>
  <si>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</si>
  <si>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</si>
  <si>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</si>
  <si>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</si>
  <si>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</si>
  <si>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</si>
  <si>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</si>
  <si>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</si>
  <si>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</si>
  <si>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</si>
  <si>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</si>
  <si>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</si>
  <si>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</si>
  <si>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</si>
  <si>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</si>
  <si>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</si>
  <si>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</si>
  <si>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</si>
  <si>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</si>
  <si>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</si>
  <si>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</si>
  <si>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</si>
  <si>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</si>
  <si>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</si>
  <si>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</si>
  <si>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</si>
  <si>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</si>
  <si>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</si>
  <si>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</si>
  <si>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</si>
  <si>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</si>
  <si>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</si>
  <si>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</si>
  <si>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</si>
  <si>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</si>
  <si>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</si>
  <si>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</si>
  <si>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</si>
  <si>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</si>
  <si>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</si>
  <si>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</si>
  <si>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</si>
  <si>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</si>
  <si>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</si>
  <si>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</si>
  <si>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</si>
  <si>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</si>
  <si>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</si>
  <si>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</si>
  <si>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</si>
  <si>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</si>
  <si>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</si>
  <si>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</si>
  <si>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</si>
  <si>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</si>
  <si>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</si>
  <si>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</si>
  <si>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</si>
  <si>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</si>
  <si>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</si>
  <si>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</si>
  <si>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</si>
  <si>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</si>
  <si>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</si>
  <si>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</si>
  <si>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</si>
  <si>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</si>
  <si>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</si>
  <si>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</si>
  <si>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</si>
  <si>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</si>
  <si>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</si>
  <si>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</si>
  <si>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</si>
  <si>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</si>
  <si>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</si>
  <si>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</si>
  <si>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</si>
  <si>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</si>
  <si>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</si>
  <si>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</si>
  <si>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</si>
  <si>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</si>
  <si>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</si>
  <si>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</si>
  <si>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</si>
  <si>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</si>
  <si>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</si>
  <si>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</si>
  <si>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</si>
  <si>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</si>
  <si>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</si>
  <si>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</si>
  <si>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</si>
  <si>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</si>
  <si>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</si>
  <si>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</si>
  <si>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</si>
  <si>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</si>
  <si>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</si>
  <si>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</si>
  <si>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</si>
  <si>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</si>
  <si>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</si>
  <si>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</si>
  <si>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</si>
  <si>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</si>
  <si>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</si>
  <si>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</si>
  <si>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</si>
  <si>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</si>
  <si>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</si>
  <si>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</si>
  <si>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</si>
  <si>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</si>
  <si>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</si>
  <si>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</si>
  <si>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</si>
  <si>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építményadó, telekadó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</si>
  <si>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</si>
  <si>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</si>
  <si>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</si>
  <si>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</si>
  <si>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</si>
  <si>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</si>
  <si>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</si>
  <si>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</si>
  <si>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</si>
  <si>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</si>
  <si>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</si>
  <si>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</si>
  <si>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Árú és készletértékesítés ellenértéke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</si>
  <si>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</si>
  <si>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</si>
  <si>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</si>
  <si>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</si>
  <si>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</si>
  <si>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</si>
  <si>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</si>
  <si>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</si>
  <si>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</si>
  <si>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</si>
  <si>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</si>
  <si>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</si>
  <si>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</si>
  <si>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</si>
  <si>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</si>
  <si>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</si>
  <si>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</si>
  <si>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</si>
  <si>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</si>
  <si>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</si>
  <si>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</si>
  <si>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</si>
  <si>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</si>
  <si>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</si>
  <si>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</si>
  <si>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</si>
  <si>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</si>
  <si>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</si>
  <si>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</si>
  <si>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</si>
  <si>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</si>
  <si>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</si>
  <si>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</si>
  <si>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</si>
  <si>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</si>
  <si>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</si>
  <si>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</si>
  <si>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Egyéb működési célú átvett pénzeszközök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</si>
  <si>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</si>
  <si>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</si>
  <si>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</si>
  <si>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</si>
  <si>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</si>
  <si>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</si>
  <si>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</si>
  <si>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</si>
  <si>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</si>
  <si>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</si>
  <si>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</si>
  <si>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</si>
  <si>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</si>
  <si>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</si>
  <si>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</si>
  <si>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</si>
  <si>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</si>
  <si>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</si>
  <si>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</si>
  <si>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</si>
  <si>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</si>
  <si>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</si>
  <si>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</si>
  <si>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</si>
  <si>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</si>
  <si>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</si>
  <si>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</si>
  <si>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</si>
  <si>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</si>
  <si>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</si>
  <si>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</si>
  <si>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</si>
  <si>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</si>
  <si>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</si>
  <si>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</si>
  <si>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</si>
  <si>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</si>
  <si>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</si>
  <si>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</si>
  <si>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</si>
  <si>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</si>
  <si>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</si>
  <si>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</si>
  <si>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</si>
  <si>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Tartalékok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</si>
  <si>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</si>
  <si>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</si>
  <si>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</si>
  <si>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</si>
  <si>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</si>
  <si>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</si>
  <si>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</si>
  <si>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</si>
  <si>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</si>
  <si>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</si>
  <si>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</si>
  <si>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</si>
  <si>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</si>
  <si>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</si>
  <si>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B75</t>
  </si>
  <si>
    <t>K1106</t>
  </si>
  <si>
    <t>Tárgyi eszközök beszerzése</t>
  </si>
  <si>
    <t>Központi, irányítószervi támogatás</t>
  </si>
  <si>
    <t>B411</t>
  </si>
  <si>
    <t>Központi, irányító szervi támogatás</t>
  </si>
  <si>
    <t>K513</t>
  </si>
  <si>
    <t>B16-01</t>
  </si>
  <si>
    <t>Egyéb működési támogatás</t>
  </si>
  <si>
    <t>Tárgyi eszközök bérbeadásából származó bevétel</t>
  </si>
  <si>
    <t>B16-02</t>
  </si>
  <si>
    <t>B16-03</t>
  </si>
  <si>
    <t>B16-04</t>
  </si>
  <si>
    <t>Egyéb működési célú átvett pénzeszközök (Tám. visszafizetése)</t>
  </si>
  <si>
    <t>Egyéb műk. c. tám. elkülönített állami pénzalaptól</t>
  </si>
  <si>
    <t>Működési c. támogatások államháztartáson belülről</t>
  </si>
  <si>
    <t>25 fő  óvonő 0,5 fő gyógyp., 12  fő dajka 4 fő ped.aszisztens , 1óvoda titkár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</si>
  <si>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</si>
  <si>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</si>
  <si>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</si>
  <si>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</si>
  <si>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</si>
  <si>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</si>
  <si>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</si>
  <si>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</si>
  <si>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</si>
  <si>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</si>
  <si>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</si>
  <si>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</si>
  <si>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</si>
  <si>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</si>
  <si>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</si>
  <si>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</si>
  <si>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r>
      <t xml:space="preserve">Egyéb műk. c. tám kozponti kezelésű ei-tól </t>
    </r>
    <r>
      <rPr>
        <sz val="8"/>
        <rFont val="Arial"/>
        <family val="2"/>
        <charset val="238"/>
      </rPr>
      <t>(mezőőr)</t>
    </r>
  </si>
  <si>
    <r>
      <t xml:space="preserve">Egyéb műk c. tám. </t>
    </r>
    <r>
      <rPr>
        <sz val="8"/>
        <rFont val="Arial"/>
        <family val="2"/>
        <charset val="238"/>
      </rPr>
      <t>(EU-s programok: TÁMOP)</t>
    </r>
  </si>
  <si>
    <r>
      <t>Egéyb műk c. tám. fejezet kez. ei-tól</t>
    </r>
    <r>
      <rPr>
        <sz val="8"/>
        <rFont val="Arial"/>
        <family val="2"/>
        <charset val="238"/>
      </rPr>
      <t xml:space="preserve"> (Közfoglalkoztatottakra kapott tám.)</t>
    </r>
  </si>
  <si>
    <t>Felhalmozási célú visszatérítendő támogatások, kölcsönök igénybevétele államháztartáson belülről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</si>
  <si>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(KMOP, ÁROP)</t>
    </r>
  </si>
  <si>
    <t>REALIZÁLÁS</t>
  </si>
  <si>
    <t>%-ban</t>
  </si>
  <si>
    <t>Ft-ban</t>
  </si>
  <si>
    <r>
      <t xml:space="preserve">előirányzatok változása az </t>
    </r>
    <r>
      <rPr>
        <b/>
        <u/>
        <sz val="9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</si>
  <si>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rovat</t>
  </si>
  <si>
    <t>Sülysáp Város Önkormányzatának</t>
  </si>
  <si>
    <t>Sülysáp Város Önkormányzatának és Intézményeinek</t>
  </si>
  <si>
    <t>BEVÉTELEI</t>
  </si>
  <si>
    <t>KIADÁSAI</t>
  </si>
  <si>
    <t>GÓLYAHÍR BÖLCSŐDE</t>
  </si>
  <si>
    <t>POLGÁRMESTERI HIVATAL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</si>
  <si>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</si>
  <si>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</si>
  <si>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</si>
  <si>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</si>
  <si>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</si>
  <si>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</si>
  <si>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</si>
  <si>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</si>
  <si>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</si>
  <si>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</si>
  <si>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</si>
  <si>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</si>
  <si>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</si>
  <si>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</si>
  <si>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</si>
  <si>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</si>
  <si>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</si>
  <si>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</si>
  <si>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</si>
  <si>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Sülysáp Város Önkormányzat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</si>
  <si>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</si>
  <si>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</si>
  <si>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</si>
  <si>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</si>
  <si>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</si>
  <si>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</si>
  <si>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</si>
  <si>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</si>
  <si>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Gondozási Központ</t>
  </si>
  <si>
    <t>WAMKK</t>
  </si>
  <si>
    <t>Polgármesteri Hivatal</t>
  </si>
  <si>
    <t>Gólyahír Bölcsőde</t>
  </si>
  <si>
    <t>B8-ból maradványértéken túli finanszírozási bevételek</t>
  </si>
  <si>
    <t>EGYENLEG</t>
  </si>
  <si>
    <t>Sülysáp Város Önkormányzatának és intézményeinek</t>
  </si>
  <si>
    <t>Csicsergő Napköziotthonos Óvoda</t>
  </si>
  <si>
    <t>Gólyahír Bőlcsőde</t>
  </si>
  <si>
    <t>BEVÉTELI SEGÉDTÁBLA</t>
  </si>
  <si>
    <t>B63</t>
  </si>
  <si>
    <t>Dr. Gáspár István HSZK</t>
  </si>
  <si>
    <t>Egyéb működési bevételek és kapott kamatok</t>
  </si>
  <si>
    <t>B411,B408</t>
  </si>
  <si>
    <t>SÜLYSÁPI CSICSERGŐ ÓVODA</t>
  </si>
  <si>
    <t>B405,B402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</si>
  <si>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</si>
  <si>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</si>
  <si>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</si>
  <si>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 </t>
  </si>
  <si>
    <t xml:space="preserve">Felhalmozási célú önkormányzati támogatások 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</si>
  <si>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2017.01.01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</si>
  <si>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2017.06.30</t>
    </r>
  </si>
  <si>
    <r>
      <t xml:space="preserve">Módosított előirányzat </t>
    </r>
    <r>
      <rPr>
        <b/>
        <sz val="12"/>
        <rFont val="Arial"/>
        <family val="2"/>
        <charset val="238"/>
      </rPr>
      <t>2017.09.30</t>
    </r>
  </si>
  <si>
    <r>
      <t xml:space="preserve">Módosított előirányzat </t>
    </r>
    <r>
      <rPr>
        <b/>
        <sz val="12"/>
        <rFont val="Arial"/>
        <family val="2"/>
        <charset val="238"/>
      </rPr>
      <t>2017.12.31</t>
    </r>
  </si>
  <si>
    <r>
      <rPr>
        <b/>
        <sz val="12"/>
        <rFont val="Arial"/>
        <family val="2"/>
        <charset val="238"/>
      </rPr>
      <t>2017.06.30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</si>
  <si>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2017.09.30-ig tényleges felhasználás</t>
  </si>
  <si>
    <t>2017.12.31-ig tényleges felhasználás</t>
  </si>
  <si>
    <r>
      <t>2017.06.30-i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</si>
  <si>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2017.06.30-i</t>
    </r>
    <r>
      <rPr>
        <b/>
        <sz val="10"/>
        <rFont val="Arial"/>
        <family val="2"/>
        <charset val="238"/>
      </rPr>
      <t xml:space="preserve"> az eredetihez képest</t>
    </r>
  </si>
  <si>
    <t>a 2017.12.31-i a 2017.09.30-ihoz képest</t>
  </si>
  <si>
    <t>a 2017.09.30-i a 2017.06.30-ihoz képest</t>
  </si>
  <si>
    <r>
      <t xml:space="preserve">2017.09.30-i felhasználás </t>
    </r>
    <r>
      <rPr>
        <b/>
        <u/>
        <sz val="8"/>
        <rFont val="Arial"/>
        <family val="2"/>
        <charset val="238"/>
      </rPr>
      <t>2017.07.30-i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</si>
  <si>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2017.12.31-i felhasználás </t>
    </r>
    <r>
      <rPr>
        <b/>
        <u/>
        <sz val="8"/>
        <rFont val="Arial"/>
        <family val="2"/>
        <charset val="238"/>
      </rPr>
      <t>2017.09.30-i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</si>
  <si>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rPr>
        <b/>
        <sz val="12"/>
        <rFont val="Arial"/>
        <family val="2"/>
        <charset val="238"/>
      </rPr>
      <t>2017.06.30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</si>
  <si>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2017.09.30-ig tényleges realizálás</t>
  </si>
  <si>
    <t>2017.12.31-ig tényleges realizálás</t>
  </si>
  <si>
    <r>
      <t>2017.06.30-i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</si>
  <si>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2017.09.30-i frealizálás </t>
    </r>
    <r>
      <rPr>
        <b/>
        <u/>
        <sz val="8"/>
        <rFont val="Arial"/>
        <family val="2"/>
        <charset val="238"/>
      </rPr>
      <t>2017.06.30-i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</si>
  <si>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2017.12.31-i realizálás </t>
    </r>
    <r>
      <rPr>
        <b/>
        <u/>
        <sz val="8"/>
        <rFont val="Arial"/>
        <family val="2"/>
        <charset val="238"/>
      </rPr>
      <t>2017.09.30-i módosított</t>
    </r>
    <r>
      <rPr>
        <b/>
        <sz val="8"/>
        <rFont val="Arial"/>
        <family val="2"/>
        <charset val="238"/>
      </rPr>
      <t xml:space="preserve"> előir-hoz képest</t>
    </r>
  </si>
  <si>
    <t>TERV</t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</si>
  <si>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</si>
  <si>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t>Önkormányzati kiadások részletezője</t>
  </si>
  <si>
    <t>Részletes tételfelsorolás</t>
  </si>
  <si>
    <t>Civil támogatási keret</t>
  </si>
  <si>
    <t>Csatorna kamatfizetés</t>
  </si>
  <si>
    <t>Csatorna érdekeltségi hozzáj.</t>
  </si>
  <si>
    <t>Helyi járat hozzájárulás</t>
  </si>
  <si>
    <t>Bursa</t>
  </si>
  <si>
    <t>Rendőrség támogatása</t>
  </si>
  <si>
    <t>járdaépítés</t>
  </si>
  <si>
    <t>óvoda igény</t>
  </si>
  <si>
    <t>Leader önerő</t>
  </si>
  <si>
    <t>Útépítés</t>
  </si>
  <si>
    <t>kátyúzás</t>
  </si>
  <si>
    <t>Bérlakások, orvosi rendelők</t>
  </si>
  <si>
    <t>Konyha</t>
  </si>
  <si>
    <t>Losonczi utcai rendelő</t>
  </si>
  <si>
    <t>Közművelődési érdekeltségnövelő támogatás</t>
  </si>
  <si>
    <t>TÁVÜSZ KFT.</t>
  </si>
  <si>
    <r>
      <t xml:space="preserve">2017.09.30-i felhasználás </t>
    </r>
    <r>
      <rPr>
        <b/>
        <u/>
        <sz val="8"/>
        <rFont val="Arial"/>
        <family val="2"/>
        <charset val="238"/>
      </rPr>
      <t>2017.06.30-i módosított</t>
    </r>
    <r>
      <rPr>
        <b/>
        <sz val="8"/>
        <rFont val="Arial"/>
        <family val="2"/>
        <charset val="238"/>
      </rPr>
      <t xml:space="preserve"> előir-hoz képest</t>
    </r>
  </si>
  <si>
    <t>Dr Gáspár HSZK</t>
  </si>
  <si>
    <t>Sülysápi Csicsergő Óvoda</t>
  </si>
  <si>
    <t>Sülysáp Város Önkormányzata</t>
  </si>
  <si>
    <t>2016. Évi eredeti ei</t>
  </si>
  <si>
    <t>2017. Évi eredeti ei</t>
  </si>
  <si>
    <t>Eltérés</t>
  </si>
  <si>
    <t>TTT</t>
  </si>
  <si>
    <t>Bölcsőde felújítás</t>
  </si>
  <si>
    <t>WAMKK felújítás</t>
  </si>
  <si>
    <t>Ingatlan vásárlás</t>
  </si>
  <si>
    <t>Dr Gáspár felújítás</t>
  </si>
  <si>
    <t>Gyömrő szakrendelő felújítás</t>
  </si>
  <si>
    <t>Önkormányzatnál kapott támogatás (B113)</t>
  </si>
  <si>
    <t>Önkormányzatnál kapott támogatás (B112)</t>
  </si>
  <si>
    <t>Önkormányzatnál kapott támogatás (B111)</t>
  </si>
  <si>
    <t>ÖTE támogatása</t>
  </si>
  <si>
    <t>2017. FÉLÉVES BESZÁMOLÓ</t>
  </si>
  <si>
    <t>Ellátási díjak, Szolgáltatások ellenértéke</t>
  </si>
  <si>
    <t>III.2. Támogatás elszámolása</t>
  </si>
  <si>
    <t>2017. év</t>
  </si>
  <si>
    <t>III.2.</t>
  </si>
  <si>
    <t>Dr Gáspárra kapott támogatás önkormányzatnál (B113)</t>
  </si>
  <si>
    <t>Dr Gáspárra fordítandó összeg III.2-ből</t>
  </si>
  <si>
    <t>Bölcsődei ellátásra kapott támogatás önkormányzatnál (B113)</t>
  </si>
  <si>
    <t>Bölcsőde finanszírozása B816</t>
  </si>
  <si>
    <t>Dr Gáspár finanszírozása B816</t>
  </si>
  <si>
    <t>Bölcsődére fordítandó összeg III.2-ből</t>
  </si>
  <si>
    <t>Gyerekétkeztetésre kapott támogatás önkormányzatnál (B113)</t>
  </si>
  <si>
    <t>Konyha finanszírozása B816</t>
  </si>
  <si>
    <t>Konyhára fordítandó összeg III.2-ből</t>
  </si>
  <si>
    <t>III.2-ből felhasználható</t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</si>
  <si>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(OEP-től vődőnői feladatokra, háziorvos)</t>
    </r>
  </si>
  <si>
    <t>KEHOP</t>
  </si>
  <si>
    <t>VEKOP</t>
  </si>
  <si>
    <r>
      <t xml:space="preserve">ebrendészeti hozzájárulás, építésügyi bírság,szabálysértési pénz és helyszíni bírság, a közlekedési szabályszegések után az önkormányhatot megillető rész, </t>
    </r>
    <r>
      <rPr>
        <sz val="10"/>
        <rFont val="Arial"/>
        <family val="2"/>
        <charset val="238"/>
      </rPr>
      <t>mezőőri járulék</t>
    </r>
  </si>
  <si>
    <t>Működési célú visszatérítendő támogatások, kölcsönök visszatérülése államháztartáson kívülről</t>
  </si>
  <si>
    <t>B64</t>
  </si>
  <si>
    <t>Sülysáp összesített bevételei</t>
  </si>
  <si>
    <t>Eredeti előirányzat (Ft)</t>
  </si>
  <si>
    <t>Tényleges felhasználás (Ft)</t>
  </si>
  <si>
    <t>Módosított előirányzat (Ft)</t>
  </si>
  <si>
    <t>Teljesülés (módosított előirányzathoz)</t>
  </si>
  <si>
    <t>-</t>
  </si>
  <si>
    <t>Sülysáp összesített kiadásai</t>
  </si>
  <si>
    <t>Ellátottak pénzbeli juttatásai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</si>
</sst>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7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1" borderId="0" applyNumberFormat="0" applyBorder="0" applyAlignment="0" applyProtection="0"/>
    <xf numFmtId="0" fontId="54" fillId="26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30" borderId="0" applyNumberFormat="0" applyBorder="0" applyAlignment="0" applyProtection="0"/>
    <xf numFmtId="0" fontId="55" fillId="33" borderId="0" applyNumberFormat="0" applyBorder="0" applyAlignment="0" applyProtection="0"/>
    <xf numFmtId="0" fontId="56" fillId="23" borderId="41" applyNumberFormat="0" applyAlignment="0" applyProtection="0"/>
    <xf numFmtId="0" fontId="57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0" fillId="0" borderId="0" applyNumberFormat="0" applyFill="0" applyBorder="0" applyAlignment="0" applyProtection="0"/>
    <xf numFmtId="0" fontId="61" fillId="34" borderId="45" applyNumberFormat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53" fillId="35" borderId="47" applyNumberFormat="0" applyFont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4" borderId="0" applyNumberFormat="0" applyBorder="0" applyAlignment="0" applyProtection="0"/>
    <xf numFmtId="0" fontId="55" fillId="29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64" fillId="20" borderId="0" applyNumberFormat="0" applyBorder="0" applyAlignment="0" applyProtection="0"/>
    <xf numFmtId="0" fontId="65" fillId="36" borderId="48" applyNumberFormat="0" applyAlignment="0" applyProtection="0"/>
    <xf numFmtId="0" fontId="66" fillId="0" borderId="0" applyNumberFormat="0" applyFill="0" applyBorder="0" applyAlignment="0" applyProtection="0"/>
    <xf numFmtId="0" fontId="54" fillId="0" borderId="0"/>
    <xf numFmtId="0" fontId="53" fillId="0" borderId="0"/>
    <xf numFmtId="0" fontId="67" fillId="0" borderId="49" applyNumberFormat="0" applyFill="0" applyAlignment="0" applyProtection="0"/>
    <xf numFmtId="0" fontId="68" fillId="19" borderId="0" applyNumberFormat="0" applyBorder="0" applyAlignment="0" applyProtection="0"/>
    <xf numFmtId="0" fontId="69" fillId="37" borderId="0" applyNumberFormat="0" applyBorder="0" applyAlignment="0" applyProtection="0"/>
    <xf numFmtId="0" fontId="70" fillId="36" borderId="41" applyNumberFormat="0" applyAlignment="0" applyProtection="0"/>
  </cellStyleXfs>
  <cellXfs count="72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/>
    <xf numFmtId="0" fontId="3" fillId="2" borderId="1" xfId="0" applyFont="1" applyFill="1" applyBorder="1"/>
    <xf numFmtId="0" fontId="0" fillId="0" borderId="0" xfId="0" applyFill="1"/>
    <xf numFmtId="164" fontId="0" fillId="0" borderId="0" xfId="1" applyNumberFormat="1" applyFont="1" applyBorder="1"/>
    <xf numFmtId="164" fontId="3" fillId="2" borderId="2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164" fontId="7" fillId="0" borderId="1" xfId="1" applyNumberFormat="1" applyFont="1" applyBorder="1"/>
    <xf numFmtId="164" fontId="7" fillId="0" borderId="0" xfId="1" applyNumberFormat="1" applyFont="1"/>
    <xf numFmtId="0" fontId="8" fillId="0" borderId="1" xfId="0" applyFont="1" applyFill="1" applyBorder="1" applyAlignment="1">
      <alignment wrapText="1"/>
    </xf>
    <xf numFmtId="164" fontId="7" fillId="0" borderId="0" xfId="0" applyNumberFormat="1" applyFont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0" xfId="0" applyFont="1" applyBorder="1"/>
    <xf numFmtId="164" fontId="7" fillId="0" borderId="0" xfId="1" applyNumberFormat="1" applyFont="1" applyBorder="1"/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9" fontId="7" fillId="0" borderId="1" xfId="3" applyFont="1" applyBorder="1"/>
    <xf numFmtId="9" fontId="3" fillId="2" borderId="1" xfId="3" applyFont="1" applyFill="1" applyBorder="1"/>
    <xf numFmtId="164" fontId="4" fillId="2" borderId="2" xfId="1" applyNumberFormat="1" applyFont="1" applyFill="1" applyBorder="1"/>
    <xf numFmtId="9" fontId="3" fillId="0" borderId="1" xfId="3" applyFont="1" applyFill="1" applyBorder="1"/>
    <xf numFmtId="0" fontId="7" fillId="0" borderId="1" xfId="0" applyFont="1" applyFill="1" applyBorder="1"/>
    <xf numFmtId="9" fontId="7" fillId="0" borderId="1" xfId="3" applyFont="1" applyFill="1" applyBorder="1"/>
    <xf numFmtId="9" fontId="3" fillId="0" borderId="0" xfId="3" applyFont="1" applyFill="1" applyBorder="1"/>
    <xf numFmtId="9" fontId="0" fillId="0" borderId="0" xfId="3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3" applyFont="1" applyBorder="1"/>
    <xf numFmtId="164" fontId="7" fillId="4" borderId="1" xfId="1" applyNumberFormat="1" applyFont="1" applyFill="1" applyBorder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9" fontId="7" fillId="4" borderId="1" xfId="3" applyFont="1" applyFill="1" applyBorder="1"/>
    <xf numFmtId="0" fontId="0" fillId="0" borderId="0" xfId="0" applyBorder="1"/>
    <xf numFmtId="0" fontId="7" fillId="0" borderId="0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164" fontId="8" fillId="4" borderId="2" xfId="1" applyNumberFormat="1" applyFont="1" applyFill="1" applyBorder="1"/>
    <xf numFmtId="0" fontId="5" fillId="4" borderId="0" xfId="0" applyFont="1" applyFill="1"/>
    <xf numFmtId="0" fontId="3" fillId="5" borderId="1" xfId="0" applyFont="1" applyFill="1" applyBorder="1" applyAlignment="1">
      <alignment wrapText="1"/>
    </xf>
    <xf numFmtId="164" fontId="3" fillId="5" borderId="1" xfId="1" applyNumberFormat="1" applyFont="1" applyFill="1" applyBorder="1"/>
    <xf numFmtId="9" fontId="3" fillId="5" borderId="1" xfId="3" applyFont="1" applyFill="1" applyBorder="1"/>
    <xf numFmtId="0" fontId="5" fillId="4" borderId="1" xfId="0" applyFont="1" applyFill="1" applyBorder="1" applyAlignment="1">
      <alignment wrapText="1"/>
    </xf>
    <xf numFmtId="0" fontId="3" fillId="6" borderId="1" xfId="0" applyFont="1" applyFill="1" applyBorder="1"/>
    <xf numFmtId="0" fontId="1" fillId="0" borderId="0" xfId="0" applyFont="1" applyBorder="1"/>
    <xf numFmtId="164" fontId="0" fillId="0" borderId="0" xfId="3" applyNumberFormat="1" applyFont="1"/>
    <xf numFmtId="9" fontId="3" fillId="0" borderId="0" xfId="3" applyFon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4" fillId="2" borderId="1" xfId="0" applyNumberFormat="1" applyFont="1" applyFill="1" applyBorder="1"/>
    <xf numFmtId="3" fontId="3" fillId="2" borderId="1" xfId="1" applyNumberFormat="1" applyFont="1" applyFill="1" applyBorder="1"/>
    <xf numFmtId="3" fontId="7" fillId="0" borderId="1" xfId="1" applyNumberFormat="1" applyFont="1" applyBorder="1"/>
    <xf numFmtId="3" fontId="8" fillId="0" borderId="1" xfId="1" applyNumberFormat="1" applyFont="1" applyBorder="1"/>
    <xf numFmtId="3" fontId="3" fillId="2" borderId="1" xfId="0" applyNumberFormat="1" applyFont="1" applyFill="1" applyBorder="1"/>
    <xf numFmtId="3" fontId="7" fillId="0" borderId="1" xfId="0" applyNumberFormat="1" applyFont="1" applyBorder="1"/>
    <xf numFmtId="3" fontId="8" fillId="5" borderId="1" xfId="1" applyNumberFormat="1" applyFont="1" applyFill="1" applyBorder="1"/>
    <xf numFmtId="3" fontId="7" fillId="0" borderId="0" xfId="0" applyNumberFormat="1" applyFont="1" applyBorder="1"/>
    <xf numFmtId="3" fontId="7" fillId="0" borderId="0" xfId="1" applyNumberFormat="1" applyFont="1" applyBorder="1"/>
    <xf numFmtId="3" fontId="9" fillId="0" borderId="0" xfId="1" applyNumberFormat="1" applyFont="1" applyBorder="1"/>
    <xf numFmtId="0" fontId="4" fillId="8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3" fontId="14" fillId="0" borderId="1" xfId="0" applyNumberFormat="1" applyFont="1" applyFill="1" applyBorder="1"/>
    <xf numFmtId="165" fontId="3" fillId="2" borderId="1" xfId="1" applyNumberFormat="1" applyFont="1" applyFill="1" applyBorder="1"/>
    <xf numFmtId="165" fontId="8" fillId="0" borderId="1" xfId="1" applyNumberFormat="1" applyFont="1" applyBorder="1"/>
    <xf numFmtId="165" fontId="3" fillId="2" borderId="1" xfId="0" applyNumberFormat="1" applyFont="1" applyFill="1" applyBorder="1"/>
    <xf numFmtId="165" fontId="4" fillId="2" borderId="1" xfId="0" applyNumberFormat="1" applyFont="1" applyFill="1" applyBorder="1"/>
    <xf numFmtId="165" fontId="7" fillId="0" borderId="0" xfId="1" applyNumberFormat="1" applyFont="1" applyBorder="1"/>
    <xf numFmtId="9" fontId="13" fillId="2" borderId="1" xfId="3" applyFont="1" applyFill="1" applyBorder="1"/>
    <xf numFmtId="0" fontId="18" fillId="0" borderId="0" xfId="0" applyFont="1"/>
    <xf numFmtId="9" fontId="15" fillId="2" borderId="1" xfId="3" applyFont="1" applyFill="1" applyBorder="1"/>
    <xf numFmtId="0" fontId="2" fillId="0" borderId="0" xfId="0" applyFont="1"/>
    <xf numFmtId="9" fontId="13" fillId="2" borderId="1" xfId="1" applyNumberFormat="1" applyFont="1" applyFill="1" applyBorder="1"/>
    <xf numFmtId="164" fontId="18" fillId="0" borderId="0" xfId="0" applyNumberFormat="1" applyFont="1" applyBorder="1"/>
    <xf numFmtId="0" fontId="18" fillId="0" borderId="0" xfId="0" applyFont="1" applyBorder="1"/>
    <xf numFmtId="3" fontId="3" fillId="0" borderId="5" xfId="0" applyNumberFormat="1" applyFont="1" applyBorder="1" applyAlignment="1">
      <alignment horizontal="center"/>
    </xf>
    <xf numFmtId="3" fontId="4" fillId="2" borderId="1" xfId="1" applyNumberFormat="1" applyFont="1" applyFill="1" applyBorder="1"/>
    <xf numFmtId="3" fontId="4" fillId="2" borderId="2" xfId="1" applyNumberFormat="1" applyFont="1" applyFill="1" applyBorder="1"/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7" fillId="0" borderId="2" xfId="1" applyNumberFormat="1" applyFont="1" applyBorder="1"/>
    <xf numFmtId="3" fontId="7" fillId="0" borderId="0" xfId="1" applyNumberFormat="1" applyFont="1"/>
    <xf numFmtId="3" fontId="7" fillId="0" borderId="0" xfId="0" applyNumberFormat="1" applyFont="1"/>
    <xf numFmtId="3" fontId="14" fillId="0" borderId="19" xfId="0" applyNumberFormat="1" applyFont="1" applyFill="1" applyBorder="1"/>
    <xf numFmtId="3" fontId="14" fillId="0" borderId="20" xfId="0" applyNumberFormat="1" applyFont="1" applyFill="1" applyBorder="1"/>
    <xf numFmtId="3" fontId="14" fillId="0" borderId="21" xfId="0" applyNumberFormat="1" applyFont="1" applyFill="1" applyBorder="1"/>
    <xf numFmtId="3" fontId="14" fillId="0" borderId="10" xfId="0" applyNumberFormat="1" applyFont="1" applyFill="1" applyBorder="1"/>
    <xf numFmtId="3" fontId="4" fillId="0" borderId="19" xfId="0" applyNumberFormat="1" applyFont="1" applyFill="1" applyBorder="1"/>
    <xf numFmtId="9" fontId="3" fillId="0" borderId="20" xfId="1" applyNumberFormat="1" applyFont="1" applyFill="1" applyBorder="1"/>
    <xf numFmtId="3" fontId="4" fillId="0" borderId="20" xfId="0" applyNumberFormat="1" applyFont="1" applyFill="1" applyBorder="1"/>
    <xf numFmtId="9" fontId="3" fillId="0" borderId="20" xfId="3" applyFont="1" applyFill="1" applyBorder="1"/>
    <xf numFmtId="9" fontId="3" fillId="0" borderId="21" xfId="3" applyFont="1" applyFill="1" applyBorder="1"/>
    <xf numFmtId="3" fontId="14" fillId="0" borderId="4" xfId="0" applyNumberFormat="1" applyFont="1" applyFill="1" applyBorder="1"/>
    <xf numFmtId="3" fontId="14" fillId="0" borderId="5" xfId="0" applyNumberFormat="1" applyFont="1" applyFill="1" applyBorder="1"/>
    <xf numFmtId="3" fontId="14" fillId="0" borderId="23" xfId="0" applyNumberFormat="1" applyFont="1" applyFill="1" applyBorder="1"/>
    <xf numFmtId="3" fontId="14" fillId="0" borderId="22" xfId="0" applyNumberFormat="1" applyFont="1" applyFill="1" applyBorder="1"/>
    <xf numFmtId="3" fontId="4" fillId="0" borderId="4" xfId="0" applyNumberFormat="1" applyFont="1" applyFill="1" applyBorder="1"/>
    <xf numFmtId="9" fontId="3" fillId="0" borderId="5" xfId="1" applyNumberFormat="1" applyFont="1" applyFill="1" applyBorder="1"/>
    <xf numFmtId="3" fontId="4" fillId="0" borderId="5" xfId="0" applyNumberFormat="1" applyFont="1" applyFill="1" applyBorder="1"/>
    <xf numFmtId="9" fontId="3" fillId="0" borderId="5" xfId="3" applyFont="1" applyFill="1" applyBorder="1"/>
    <xf numFmtId="9" fontId="3" fillId="0" borderId="23" xfId="3" applyFont="1" applyFill="1" applyBorder="1"/>
    <xf numFmtId="3" fontId="7" fillId="0" borderId="2" xfId="0" applyNumberFormat="1" applyFont="1" applyBorder="1"/>
    <xf numFmtId="9" fontId="3" fillId="2" borderId="2" xfId="3" applyFont="1" applyFill="1" applyBorder="1"/>
    <xf numFmtId="0" fontId="7" fillId="0" borderId="2" xfId="0" applyFont="1" applyBorder="1"/>
    <xf numFmtId="9" fontId="7" fillId="0" borderId="2" xfId="3" applyFont="1" applyBorder="1"/>
    <xf numFmtId="9" fontId="3" fillId="0" borderId="2" xfId="3" applyFont="1" applyBorder="1"/>
    <xf numFmtId="3" fontId="0" fillId="0" borderId="0" xfId="0" applyNumberFormat="1"/>
    <xf numFmtId="3" fontId="20" fillId="0" borderId="0" xfId="0" applyNumberFormat="1" applyFont="1"/>
    <xf numFmtId="3" fontId="14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3" fillId="7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24" fillId="3" borderId="1" xfId="0" applyFont="1" applyFill="1" applyBorder="1" applyAlignment="1">
      <alignment horizontal="center" vertical="center" textRotation="90" wrapText="1"/>
    </xf>
    <xf numFmtId="9" fontId="4" fillId="2" borderId="1" xfId="3" applyFont="1" applyFill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3" applyFont="1" applyBorder="1"/>
    <xf numFmtId="9" fontId="15" fillId="0" borderId="1" xfId="3" applyFont="1" applyBorder="1"/>
    <xf numFmtId="165" fontId="7" fillId="4" borderId="1" xfId="1" applyNumberFormat="1" applyFont="1" applyFill="1" applyBorder="1"/>
    <xf numFmtId="165" fontId="7" fillId="9" borderId="1" xfId="1" applyNumberFormat="1" applyFont="1" applyFill="1" applyBorder="1"/>
    <xf numFmtId="3" fontId="3" fillId="0" borderId="1" xfId="0" applyNumberFormat="1" applyFont="1" applyBorder="1"/>
    <xf numFmtId="3" fontId="5" fillId="0" borderId="1" xfId="1" applyNumberFormat="1" applyFont="1" applyBorder="1"/>
    <xf numFmtId="3" fontId="1" fillId="0" borderId="1" xfId="0" applyNumberFormat="1" applyFont="1" applyBorder="1"/>
    <xf numFmtId="3" fontId="1" fillId="0" borderId="1" xfId="1" applyNumberFormat="1" applyFont="1" applyBorder="1"/>
    <xf numFmtId="3" fontId="7" fillId="4" borderId="1" xfId="0" applyNumberFormat="1" applyFont="1" applyFill="1" applyBorder="1"/>
    <xf numFmtId="3" fontId="7" fillId="4" borderId="1" xfId="1" applyNumberFormat="1" applyFont="1" applyFill="1" applyBorder="1"/>
    <xf numFmtId="0" fontId="15" fillId="0" borderId="1" xfId="0" applyFont="1" applyBorder="1"/>
    <xf numFmtId="164" fontId="2" fillId="0" borderId="0" xfId="0" applyNumberFormat="1" applyFont="1"/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4" fillId="0" borderId="1" xfId="0" applyNumberFormat="1" applyFont="1" applyFill="1" applyBorder="1"/>
    <xf numFmtId="9" fontId="15" fillId="0" borderId="1" xfId="3" applyFont="1" applyFill="1" applyBorder="1"/>
    <xf numFmtId="0" fontId="3" fillId="0" borderId="2" xfId="0" applyFont="1" applyBorder="1" applyAlignment="1">
      <alignment horizontal="center"/>
    </xf>
    <xf numFmtId="9" fontId="13" fillId="0" borderId="1" xfId="1" applyNumberFormat="1" applyFont="1" applyFill="1" applyBorder="1"/>
    <xf numFmtId="9" fontId="13" fillId="0" borderId="1" xfId="3" applyFont="1" applyFill="1" applyBorder="1"/>
    <xf numFmtId="3" fontId="32" fillId="0" borderId="1" xfId="0" applyNumberFormat="1" applyFont="1" applyFill="1" applyBorder="1"/>
    <xf numFmtId="165" fontId="27" fillId="9" borderId="1" xfId="1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9" fontId="2" fillId="2" borderId="1" xfId="3" applyFont="1" applyFill="1" applyBorder="1"/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7" fillId="0" borderId="1" xfId="1" applyNumberFormat="1" applyFont="1" applyFill="1" applyBorder="1"/>
    <xf numFmtId="165" fontId="4" fillId="0" borderId="1" xfId="1" applyNumberFormat="1" applyFont="1" applyFill="1" applyBorder="1"/>
    <xf numFmtId="3" fontId="4" fillId="0" borderId="22" xfId="0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165" fontId="3" fillId="0" borderId="1" xfId="1" applyNumberFormat="1" applyFont="1" applyFill="1" applyBorder="1"/>
    <xf numFmtId="3" fontId="7" fillId="0" borderId="1" xfId="1" applyNumberFormat="1" applyFont="1" applyBorder="1" applyAlignment="1">
      <alignment vertical="center"/>
    </xf>
    <xf numFmtId="3" fontId="20" fillId="0" borderId="3" xfId="0" applyNumberFormat="1" applyFont="1" applyBorder="1"/>
    <xf numFmtId="3" fontId="20" fillId="0" borderId="23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7" fillId="0" borderId="22" xfId="1" applyNumberFormat="1" applyFont="1" applyFill="1" applyBorder="1"/>
    <xf numFmtId="3" fontId="7" fillId="0" borderId="10" xfId="1" applyNumberFormat="1" applyFont="1" applyFill="1" applyBorder="1"/>
    <xf numFmtId="0" fontId="3" fillId="0" borderId="4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/>
    <xf numFmtId="3" fontId="1" fillId="0" borderId="1" xfId="1" applyNumberFormat="1" applyFont="1" applyFill="1" applyBorder="1"/>
    <xf numFmtId="9" fontId="2" fillId="0" borderId="1" xfId="3" applyFont="1" applyFill="1" applyBorder="1"/>
    <xf numFmtId="0" fontId="27" fillId="0" borderId="1" xfId="0" applyFont="1" applyFill="1" applyBorder="1" applyAlignment="1">
      <alignment wrapText="1"/>
    </xf>
    <xf numFmtId="165" fontId="27" fillId="0" borderId="1" xfId="1" applyNumberFormat="1" applyFont="1" applyFill="1" applyBorder="1"/>
    <xf numFmtId="3" fontId="20" fillId="0" borderId="3" xfId="0" applyNumberFormat="1" applyFont="1" applyFill="1" applyBorder="1"/>
    <xf numFmtId="3" fontId="20" fillId="0" borderId="23" xfId="0" applyNumberFormat="1" applyFont="1" applyFill="1" applyBorder="1"/>
    <xf numFmtId="0" fontId="0" fillId="0" borderId="20" xfId="0" applyBorder="1"/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164" fontId="3" fillId="9" borderId="1" xfId="1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textRotation="90" wrapText="1"/>
    </xf>
    <xf numFmtId="0" fontId="25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/>
    <xf numFmtId="3" fontId="8" fillId="0" borderId="2" xfId="1" applyNumberFormat="1" applyFont="1" applyBorder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3" fontId="8" fillId="5" borderId="2" xfId="1" applyNumberFormat="1" applyFont="1" applyFill="1" applyBorder="1"/>
    <xf numFmtId="3" fontId="20" fillId="0" borderId="6" xfId="0" applyNumberFormat="1" applyFont="1" applyBorder="1"/>
    <xf numFmtId="3" fontId="20" fillId="0" borderId="22" xfId="0" applyNumberFormat="1" applyFont="1" applyBorder="1"/>
    <xf numFmtId="0" fontId="0" fillId="0" borderId="6" xfId="0" applyBorder="1"/>
    <xf numFmtId="3" fontId="20" fillId="0" borderId="1" xfId="0" applyNumberFormat="1" applyFont="1" applyBorder="1"/>
    <xf numFmtId="3" fontId="32" fillId="0" borderId="2" xfId="0" applyNumberFormat="1" applyFont="1" applyFill="1" applyBorder="1"/>
    <xf numFmtId="0" fontId="3" fillId="0" borderId="22" xfId="0" applyFont="1" applyFill="1" applyBorder="1" applyAlignment="1">
      <alignment horizontal="center"/>
    </xf>
    <xf numFmtId="9" fontId="37" fillId="2" borderId="1" xfId="3" applyFont="1" applyFill="1" applyBorder="1"/>
    <xf numFmtId="9" fontId="37" fillId="2" borderId="2" xfId="3" applyFont="1" applyFill="1" applyBorder="1"/>
    <xf numFmtId="9" fontId="3" fillId="0" borderId="3" xfId="3" applyFont="1" applyFill="1" applyBorder="1"/>
    <xf numFmtId="3" fontId="7" fillId="0" borderId="8" xfId="1" applyNumberFormat="1" applyFont="1" applyBorder="1"/>
    <xf numFmtId="3" fontId="3" fillId="0" borderId="2" xfId="0" applyNumberFormat="1" applyFont="1" applyBorder="1" applyAlignment="1">
      <alignment horizontal="center"/>
    </xf>
    <xf numFmtId="9" fontId="2" fillId="0" borderId="1" xfId="1" applyNumberFormat="1" applyFont="1" applyBorder="1"/>
    <xf numFmtId="9" fontId="2" fillId="0" borderId="1" xfId="0" applyNumberFormat="1" applyFont="1" applyBorder="1"/>
    <xf numFmtId="9" fontId="2" fillId="0" borderId="1" xfId="3" applyNumberFormat="1" applyFont="1" applyBorder="1"/>
    <xf numFmtId="9" fontId="15" fillId="2" borderId="1" xfId="1" applyNumberFormat="1" applyFont="1" applyFill="1" applyBorder="1"/>
    <xf numFmtId="9" fontId="15" fillId="2" borderId="1" xfId="3" applyNumberFormat="1" applyFont="1" applyFill="1" applyBorder="1"/>
    <xf numFmtId="9" fontId="15" fillId="0" borderId="1" xfId="1" applyNumberFormat="1" applyFont="1" applyBorder="1"/>
    <xf numFmtId="9" fontId="15" fillId="4" borderId="1" xfId="3" applyNumberFormat="1" applyFont="1" applyFill="1" applyBorder="1"/>
    <xf numFmtId="9" fontId="2" fillId="4" borderId="1" xfId="3" applyNumberFormat="1" applyFont="1" applyFill="1" applyBorder="1"/>
    <xf numFmtId="9" fontId="15" fillId="6" borderId="1" xfId="1" applyNumberFormat="1" applyFont="1" applyFill="1" applyBorder="1"/>
    <xf numFmtId="9" fontId="15" fillId="6" borderId="1" xfId="3" applyNumberFormat="1" applyFont="1" applyFill="1" applyBorder="1"/>
    <xf numFmtId="9" fontId="15" fillId="2" borderId="1" xfId="1" applyNumberFormat="1" applyFont="1" applyFill="1" applyBorder="1" applyAlignment="1"/>
    <xf numFmtId="9" fontId="2" fillId="0" borderId="1" xfId="0" applyNumberFormat="1" applyFont="1" applyBorder="1" applyAlignment="1"/>
    <xf numFmtId="9" fontId="2" fillId="0" borderId="1" xfId="3" applyNumberFormat="1" applyFont="1" applyFill="1" applyBorder="1"/>
    <xf numFmtId="9" fontId="2" fillId="0" borderId="1" xfId="0" applyNumberFormat="1" applyFont="1" applyFill="1" applyBorder="1"/>
    <xf numFmtId="9" fontId="37" fillId="2" borderId="1" xfId="0" applyNumberFormat="1" applyFont="1" applyFill="1" applyBorder="1" applyAlignment="1"/>
    <xf numFmtId="9" fontId="2" fillId="0" borderId="1" xfId="1" applyNumberFormat="1" applyFont="1" applyBorder="1" applyAlignment="1"/>
    <xf numFmtId="3" fontId="7" fillId="0" borderId="6" xfId="1" applyNumberFormat="1" applyFont="1" applyFill="1" applyBorder="1"/>
    <xf numFmtId="3" fontId="3" fillId="6" borderId="1" xfId="1" applyNumberFormat="1" applyFont="1" applyFill="1" applyBorder="1"/>
    <xf numFmtId="3" fontId="3" fillId="2" borderId="1" xfId="1" applyNumberFormat="1" applyFont="1" applyFill="1" applyBorder="1" applyAlignment="1"/>
    <xf numFmtId="3" fontId="7" fillId="0" borderId="0" xfId="1" applyNumberFormat="1" applyFont="1" applyBorder="1" applyAlignment="1"/>
    <xf numFmtId="3" fontId="7" fillId="0" borderId="0" xfId="0" applyNumberFormat="1" applyFont="1" applyBorder="1" applyAlignment="1"/>
    <xf numFmtId="3" fontId="4" fillId="2" borderId="1" xfId="0" applyNumberFormat="1" applyFont="1" applyFill="1" applyBorder="1" applyAlignment="1"/>
    <xf numFmtId="3" fontId="7" fillId="0" borderId="1" xfId="0" applyNumberFormat="1" applyFont="1" applyBorder="1" applyAlignment="1"/>
    <xf numFmtId="3" fontId="7" fillId="0" borderId="1" xfId="1" applyNumberFormat="1" applyFont="1" applyBorder="1" applyAlignment="1"/>
    <xf numFmtId="0" fontId="7" fillId="0" borderId="2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6" fillId="0" borderId="0" xfId="0" applyFont="1" applyBorder="1" applyAlignment="1">
      <alignment vertical="center"/>
    </xf>
    <xf numFmtId="0" fontId="36" fillId="0" borderId="0" xfId="0" applyFont="1" applyBorder="1" applyAlignment="1"/>
    <xf numFmtId="0" fontId="7" fillId="8" borderId="1" xfId="0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9" fontId="28" fillId="0" borderId="1" xfId="3" applyFont="1" applyFill="1" applyBorder="1"/>
    <xf numFmtId="3" fontId="20" fillId="0" borderId="8" xfId="0" applyNumberFormat="1" applyFont="1" applyFill="1" applyBorder="1"/>
    <xf numFmtId="3" fontId="20" fillId="0" borderId="1" xfId="0" applyNumberFormat="1" applyFont="1" applyFill="1" applyBorder="1"/>
    <xf numFmtId="3" fontId="23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32" fillId="8" borderId="1" xfId="0" applyFont="1" applyFill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/>
    </xf>
    <xf numFmtId="9" fontId="33" fillId="8" borderId="1" xfId="3" applyFont="1" applyFill="1" applyBorder="1" applyAlignment="1">
      <alignment vertical="center"/>
    </xf>
    <xf numFmtId="9" fontId="3" fillId="8" borderId="1" xfId="3" applyFont="1" applyFill="1" applyBorder="1" applyAlignment="1">
      <alignment vertical="center"/>
    </xf>
    <xf numFmtId="9" fontId="3" fillId="8" borderId="1" xfId="1" applyNumberFormat="1" applyFont="1" applyFill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0" fontId="32" fillId="2" borderId="1" xfId="0" applyFont="1" applyFill="1" applyBorder="1" applyAlignment="1">
      <alignment wrapText="1"/>
    </xf>
    <xf numFmtId="3" fontId="32" fillId="2" borderId="1" xfId="1" applyNumberFormat="1" applyFont="1" applyFill="1" applyBorder="1"/>
    <xf numFmtId="0" fontId="12" fillId="2" borderId="1" xfId="0" applyFont="1" applyFill="1" applyBorder="1" applyAlignment="1">
      <alignment wrapText="1"/>
    </xf>
    <xf numFmtId="3" fontId="12" fillId="2" borderId="1" xfId="1" applyNumberFormat="1" applyFont="1" applyFill="1" applyBorder="1"/>
    <xf numFmtId="3" fontId="21" fillId="0" borderId="5" xfId="0" applyNumberFormat="1" applyFont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0" fillId="0" borderId="1" xfId="1" applyNumberFormat="1" applyFont="1" applyBorder="1"/>
    <xf numFmtId="3" fontId="21" fillId="2" borderId="1" xfId="1" applyNumberFormat="1" applyFont="1" applyFill="1" applyBorder="1"/>
    <xf numFmtId="3" fontId="21" fillId="0" borderId="1" xfId="1" applyNumberFormat="1" applyFont="1" applyBorder="1"/>
    <xf numFmtId="3" fontId="21" fillId="6" borderId="1" xfId="1" applyNumberFormat="1" applyFont="1" applyFill="1" applyBorder="1"/>
    <xf numFmtId="3" fontId="21" fillId="2" borderId="1" xfId="1" applyNumberFormat="1" applyFont="1" applyFill="1" applyBorder="1" applyAlignment="1"/>
    <xf numFmtId="3" fontId="21" fillId="2" borderId="1" xfId="0" applyNumberFormat="1" applyFont="1" applyFill="1" applyBorder="1" applyAlignment="1"/>
    <xf numFmtId="9" fontId="22" fillId="2" borderId="1" xfId="3" applyFont="1" applyFill="1" applyBorder="1"/>
    <xf numFmtId="9" fontId="38" fillId="0" borderId="1" xfId="3" applyFont="1" applyBorder="1"/>
    <xf numFmtId="9" fontId="22" fillId="0" borderId="1" xfId="3" applyFont="1" applyBorder="1"/>
    <xf numFmtId="9" fontId="22" fillId="6" borderId="1" xfId="3" applyFont="1" applyFill="1" applyBorder="1"/>
    <xf numFmtId="9" fontId="22" fillId="2" borderId="1" xfId="3" applyFont="1" applyFill="1" applyBorder="1" applyAlignment="1"/>
    <xf numFmtId="9" fontId="41" fillId="2" borderId="1" xfId="3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8" fillId="0" borderId="1" xfId="1" applyNumberFormat="1" applyFont="1" applyFill="1" applyBorder="1"/>
    <xf numFmtId="3" fontId="34" fillId="7" borderId="1" xfId="1" applyNumberFormat="1" applyFont="1" applyFill="1" applyBorder="1"/>
    <xf numFmtId="3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/>
    <xf numFmtId="3" fontId="7" fillId="0" borderId="0" xfId="1" applyNumberFormat="1" applyFont="1" applyAlignment="1"/>
    <xf numFmtId="3" fontId="7" fillId="0" borderId="0" xfId="0" applyNumberFormat="1" applyFont="1" applyAlignment="1"/>
    <xf numFmtId="9" fontId="22" fillId="0" borderId="1" xfId="3" applyFont="1" applyFill="1" applyBorder="1"/>
    <xf numFmtId="9" fontId="22" fillId="5" borderId="1" xfId="3" applyFont="1" applyFill="1" applyBorder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3" fontId="7" fillId="0" borderId="10" xfId="1" applyNumberFormat="1" applyFont="1" applyBorder="1" applyAlignment="1">
      <alignment horizontal="right"/>
    </xf>
    <xf numFmtId="9" fontId="15" fillId="0" borderId="10" xfId="3" applyFont="1" applyFill="1" applyBorder="1"/>
    <xf numFmtId="3" fontId="7" fillId="0" borderId="10" xfId="1" applyNumberFormat="1" applyFont="1" applyBorder="1" applyAlignment="1"/>
    <xf numFmtId="9" fontId="22" fillId="0" borderId="10" xfId="3" applyFont="1" applyFill="1" applyBorder="1"/>
    <xf numFmtId="9" fontId="7" fillId="0" borderId="19" xfId="3" applyFont="1" applyBorder="1"/>
    <xf numFmtId="0" fontId="1" fillId="2" borderId="1" xfId="0" applyFont="1" applyFill="1" applyBorder="1" applyAlignment="1">
      <alignment wrapText="1"/>
    </xf>
    <xf numFmtId="3" fontId="3" fillId="5" borderId="1" xfId="1" applyNumberFormat="1" applyFont="1" applyFill="1" applyBorder="1"/>
    <xf numFmtId="9" fontId="15" fillId="0" borderId="0" xfId="3" applyFont="1" applyFill="1" applyBorder="1"/>
    <xf numFmtId="9" fontId="15" fillId="5" borderId="1" xfId="3" applyFont="1" applyFill="1" applyBorder="1"/>
    <xf numFmtId="3" fontId="3" fillId="0" borderId="2" xfId="1" applyNumberFormat="1" applyFont="1" applyFill="1" applyBorder="1"/>
    <xf numFmtId="3" fontId="3" fillId="5" borderId="1" xfId="0" applyNumberFormat="1" applyFont="1" applyFill="1" applyBorder="1"/>
    <xf numFmtId="3" fontId="8" fillId="4" borderId="2" xfId="0" applyNumberFormat="1" applyFont="1" applyFill="1" applyBorder="1"/>
    <xf numFmtId="3" fontId="8" fillId="4" borderId="2" xfId="1" applyNumberFormat="1" applyFont="1" applyFill="1" applyBorder="1"/>
    <xf numFmtId="3" fontId="0" fillId="0" borderId="0" xfId="1" applyNumberFormat="1" applyFont="1" applyBorder="1"/>
    <xf numFmtId="3" fontId="3" fillId="2" borderId="2" xfId="1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8" fillId="0" borderId="1" xfId="1" applyNumberFormat="1" applyFont="1" applyBorder="1" applyAlignment="1"/>
    <xf numFmtId="3" fontId="7" fillId="0" borderId="2" xfId="0" applyNumberFormat="1" applyFont="1" applyBorder="1" applyAlignment="1"/>
    <xf numFmtId="3" fontId="7" fillId="0" borderId="2" xfId="1" applyNumberFormat="1" applyFont="1" applyBorder="1" applyAlignment="1"/>
    <xf numFmtId="3" fontId="4" fillId="2" borderId="1" xfId="1" applyNumberFormat="1" applyFont="1" applyFill="1" applyBorder="1" applyAlignment="1"/>
    <xf numFmtId="3" fontId="8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3" fillId="2" borderId="1" xfId="0" applyNumberFormat="1" applyFont="1" applyFill="1" applyBorder="1" applyAlignment="1"/>
    <xf numFmtId="3" fontId="7" fillId="0" borderId="2" xfId="1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Border="1"/>
    <xf numFmtId="0" fontId="27" fillId="0" borderId="0" xfId="0" applyFont="1" applyBorder="1"/>
    <xf numFmtId="0" fontId="3" fillId="0" borderId="0" xfId="0" applyFont="1" applyBorder="1"/>
    <xf numFmtId="3" fontId="27" fillId="0" borderId="0" xfId="0" applyNumberFormat="1" applyFont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/>
    <xf numFmtId="3" fontId="27" fillId="0" borderId="0" xfId="0" applyNumberFormat="1" applyFont="1" applyFill="1" applyBorder="1" applyAlignment="1">
      <alignment horizontal="center"/>
    </xf>
    <xf numFmtId="3" fontId="26" fillId="5" borderId="0" xfId="0" applyNumberFormat="1" applyFont="1" applyFill="1" applyBorder="1"/>
    <xf numFmtId="0" fontId="1" fillId="0" borderId="0" xfId="0" applyFont="1" applyFill="1" applyBorder="1"/>
    <xf numFmtId="0" fontId="42" fillId="0" borderId="0" xfId="0" applyFont="1" applyFill="1" applyBorder="1"/>
    <xf numFmtId="3" fontId="42" fillId="0" borderId="0" xfId="1" applyNumberFormat="1" applyFont="1" applyBorder="1"/>
    <xf numFmtId="0" fontId="42" fillId="0" borderId="0" xfId="0" applyFont="1"/>
    <xf numFmtId="0" fontId="44" fillId="0" borderId="0" xfId="0" applyFont="1" applyBorder="1"/>
    <xf numFmtId="0" fontId="44" fillId="0" borderId="0" xfId="0" applyFont="1"/>
    <xf numFmtId="3" fontId="44" fillId="0" borderId="0" xfId="0" applyNumberFormat="1" applyFont="1" applyBorder="1"/>
    <xf numFmtId="3" fontId="44" fillId="0" borderId="0" xfId="1" applyNumberFormat="1" applyFont="1" applyBorder="1"/>
    <xf numFmtId="0" fontId="7" fillId="10" borderId="0" xfId="0" applyFont="1" applyFill="1" applyBorder="1"/>
    <xf numFmtId="3" fontId="7" fillId="10" borderId="0" xfId="0" applyNumberFormat="1" applyFont="1" applyFill="1" applyBorder="1"/>
    <xf numFmtId="3" fontId="7" fillId="10" borderId="0" xfId="1" applyNumberFormat="1" applyFont="1" applyFill="1" applyBorder="1"/>
    <xf numFmtId="164" fontId="7" fillId="10" borderId="0" xfId="1" applyNumberFormat="1" applyFont="1" applyFill="1" applyBorder="1"/>
    <xf numFmtId="0" fontId="18" fillId="10" borderId="0" xfId="0" applyFont="1" applyFill="1" applyBorder="1"/>
    <xf numFmtId="0" fontId="18" fillId="10" borderId="0" xfId="0" applyFont="1" applyFill="1"/>
    <xf numFmtId="0" fontId="7" fillId="10" borderId="0" xfId="0" applyFont="1" applyFill="1"/>
    <xf numFmtId="0" fontId="1" fillId="11" borderId="2" xfId="0" applyFont="1" applyFill="1" applyBorder="1"/>
    <xf numFmtId="3" fontId="7" fillId="11" borderId="8" xfId="0" applyNumberFormat="1" applyFont="1" applyFill="1" applyBorder="1"/>
    <xf numFmtId="3" fontId="7" fillId="11" borderId="9" xfId="0" applyNumberFormat="1" applyFont="1" applyFill="1" applyBorder="1"/>
    <xf numFmtId="3" fontId="3" fillId="3" borderId="8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/>
    <xf numFmtId="3" fontId="14" fillId="0" borderId="0" xfId="0" applyNumberFormat="1" applyFont="1" applyFill="1" applyBorder="1"/>
    <xf numFmtId="3" fontId="4" fillId="0" borderId="0" xfId="0" applyNumberFormat="1" applyFont="1" applyFill="1" applyBorder="1"/>
    <xf numFmtId="9" fontId="3" fillId="0" borderId="0" xfId="1" applyNumberFormat="1" applyFont="1" applyFill="1" applyBorder="1"/>
    <xf numFmtId="3" fontId="32" fillId="0" borderId="0" xfId="0" applyNumberFormat="1" applyFont="1" applyFill="1" applyBorder="1"/>
    <xf numFmtId="3" fontId="23" fillId="7" borderId="0" xfId="0" applyNumberFormat="1" applyFont="1" applyFill="1" applyBorder="1" applyAlignment="1">
      <alignment horizontal="center"/>
    </xf>
    <xf numFmtId="0" fontId="4" fillId="8" borderId="0" xfId="0" applyFont="1" applyFill="1" applyBorder="1"/>
    <xf numFmtId="0" fontId="32" fillId="8" borderId="0" xfId="0" applyFont="1" applyFill="1" applyBorder="1" applyAlignment="1">
      <alignment vertical="center" wrapText="1"/>
    </xf>
    <xf numFmtId="3" fontId="32" fillId="8" borderId="0" xfId="0" applyNumberFormat="1" applyFont="1" applyFill="1" applyBorder="1" applyAlignment="1">
      <alignment vertical="center"/>
    </xf>
    <xf numFmtId="3" fontId="14" fillId="8" borderId="0" xfId="0" applyNumberFormat="1" applyFont="1" applyFill="1" applyBorder="1" applyAlignment="1">
      <alignment vertical="center"/>
    </xf>
    <xf numFmtId="9" fontId="3" fillId="8" borderId="0" xfId="1" applyNumberFormat="1" applyFont="1" applyFill="1" applyBorder="1" applyAlignment="1">
      <alignment vertical="center"/>
    </xf>
    <xf numFmtId="9" fontId="33" fillId="8" borderId="0" xfId="3" applyFont="1" applyFill="1" applyBorder="1" applyAlignment="1">
      <alignment vertic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wrapText="1"/>
    </xf>
    <xf numFmtId="9" fontId="13" fillId="0" borderId="0" xfId="1" applyNumberFormat="1" applyFont="1" applyFill="1" applyBorder="1"/>
    <xf numFmtId="9" fontId="28" fillId="0" borderId="0" xfId="3" applyFont="1" applyFill="1" applyBorder="1"/>
    <xf numFmtId="0" fontId="3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3" fontId="8" fillId="0" borderId="0" xfId="1" applyNumberFormat="1" applyFont="1" applyBorder="1"/>
    <xf numFmtId="9" fontId="13" fillId="0" borderId="0" xfId="3" applyFont="1" applyFill="1" applyBorder="1"/>
    <xf numFmtId="0" fontId="3" fillId="11" borderId="0" xfId="0" applyFont="1" applyFill="1" applyBorder="1"/>
    <xf numFmtId="3" fontId="3" fillId="11" borderId="0" xfId="0" applyNumberFormat="1" applyFont="1" applyFill="1" applyBorder="1"/>
    <xf numFmtId="3" fontId="8" fillId="0" borderId="20" xfId="1" applyNumberFormat="1" applyFont="1" applyBorder="1"/>
    <xf numFmtId="9" fontId="27" fillId="0" borderId="1" xfId="3" applyFont="1" applyFill="1" applyBorder="1"/>
    <xf numFmtId="0" fontId="46" fillId="0" borderId="1" xfId="0" applyFont="1" applyFill="1" applyBorder="1" applyAlignment="1">
      <alignment wrapText="1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5" fontId="1" fillId="4" borderId="1" xfId="1" applyNumberFormat="1" applyFont="1" applyFill="1" applyBorder="1"/>
    <xf numFmtId="3" fontId="47" fillId="0" borderId="0" xfId="0" applyNumberFormat="1" applyFont="1" applyBorder="1"/>
    <xf numFmtId="165" fontId="1" fillId="0" borderId="1" xfId="1" applyNumberFormat="1" applyFont="1" applyFill="1" applyBorder="1"/>
    <xf numFmtId="3" fontId="3" fillId="0" borderId="2" xfId="1" applyNumberFormat="1" applyFont="1" applyBorder="1"/>
    <xf numFmtId="164" fontId="3" fillId="0" borderId="1" xfId="1" applyNumberFormat="1" applyFont="1" applyBorder="1"/>
    <xf numFmtId="165" fontId="4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26" fillId="0" borderId="20" xfId="0" applyNumberFormat="1" applyFont="1" applyBorder="1"/>
    <xf numFmtId="0" fontId="26" fillId="0" borderId="20" xfId="0" applyFont="1" applyBorder="1"/>
    <xf numFmtId="165" fontId="3" fillId="0" borderId="0" xfId="0" applyNumberFormat="1" applyFont="1" applyBorder="1"/>
    <xf numFmtId="3" fontId="48" fillId="12" borderId="0" xfId="0" applyNumberFormat="1" applyFont="1" applyFill="1" applyBorder="1"/>
    <xf numFmtId="0" fontId="49" fillId="12" borderId="0" xfId="0" applyFont="1" applyFill="1" applyBorder="1"/>
    <xf numFmtId="0" fontId="3" fillId="14" borderId="0" xfId="0" applyFont="1" applyFill="1" applyBorder="1"/>
    <xf numFmtId="165" fontId="1" fillId="0" borderId="1" xfId="1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8" xfId="1" applyNumberFormat="1" applyFont="1" applyBorder="1"/>
    <xf numFmtId="0" fontId="3" fillId="0" borderId="8" xfId="0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3" fontId="3" fillId="0" borderId="9" xfId="0" applyNumberFormat="1" applyFont="1" applyFill="1" applyBorder="1"/>
    <xf numFmtId="3" fontId="7" fillId="0" borderId="8" xfId="1" applyNumberFormat="1" applyFont="1" applyFill="1" applyBorder="1"/>
    <xf numFmtId="3" fontId="1" fillId="0" borderId="0" xfId="1" applyNumberFormat="1" applyFont="1" applyBorder="1"/>
    <xf numFmtId="0" fontId="7" fillId="0" borderId="31" xfId="0" applyFont="1" applyBorder="1"/>
    <xf numFmtId="0" fontId="7" fillId="0" borderId="16" xfId="0" applyFont="1" applyBorder="1"/>
    <xf numFmtId="164" fontId="7" fillId="0" borderId="16" xfId="1" applyNumberFormat="1" applyFont="1" applyBorder="1"/>
    <xf numFmtId="0" fontId="7" fillId="0" borderId="18" xfId="0" applyFont="1" applyBorder="1"/>
    <xf numFmtId="0" fontId="1" fillId="0" borderId="32" xfId="0" applyFont="1" applyBorder="1"/>
    <xf numFmtId="0" fontId="1" fillId="0" borderId="32" xfId="0" applyFont="1" applyFill="1" applyBorder="1"/>
    <xf numFmtId="0" fontId="1" fillId="0" borderId="34" xfId="0" applyFont="1" applyBorder="1"/>
    <xf numFmtId="0" fontId="7" fillId="0" borderId="32" xfId="0" applyFont="1" applyBorder="1"/>
    <xf numFmtId="0" fontId="3" fillId="0" borderId="34" xfId="0" applyFont="1" applyBorder="1"/>
    <xf numFmtId="0" fontId="7" fillId="0" borderId="33" xfId="0" applyFont="1" applyBorder="1"/>
    <xf numFmtId="0" fontId="3" fillId="13" borderId="35" xfId="0" applyFont="1" applyFill="1" applyBorder="1"/>
    <xf numFmtId="0" fontId="3" fillId="13" borderId="26" xfId="0" applyFont="1" applyFill="1" applyBorder="1"/>
    <xf numFmtId="3" fontId="3" fillId="13" borderId="26" xfId="0" applyNumberFormat="1" applyFont="1" applyFill="1" applyBorder="1"/>
    <xf numFmtId="3" fontId="3" fillId="13" borderId="26" xfId="1" applyNumberFormat="1" applyFont="1" applyFill="1" applyBorder="1"/>
    <xf numFmtId="3" fontId="3" fillId="13" borderId="36" xfId="0" applyNumberFormat="1" applyFont="1" applyFill="1" applyBorder="1"/>
    <xf numFmtId="0" fontId="11" fillId="0" borderId="11" xfId="0" applyFont="1" applyBorder="1"/>
    <xf numFmtId="0" fontId="7" fillId="0" borderId="13" xfId="0" applyFont="1" applyBorder="1"/>
    <xf numFmtId="0" fontId="11" fillId="0" borderId="31" xfId="0" applyFont="1" applyBorder="1"/>
    <xf numFmtId="0" fontId="1" fillId="0" borderId="16" xfId="0" applyFont="1" applyBorder="1"/>
    <xf numFmtId="3" fontId="7" fillId="0" borderId="18" xfId="0" applyNumberFormat="1" applyFont="1" applyBorder="1"/>
    <xf numFmtId="3" fontId="7" fillId="0" borderId="16" xfId="0" applyNumberFormat="1" applyFont="1" applyBorder="1"/>
    <xf numFmtId="3" fontId="7" fillId="0" borderId="16" xfId="1" applyNumberFormat="1" applyFont="1" applyBorder="1"/>
    <xf numFmtId="3" fontId="7" fillId="0" borderId="16" xfId="0" applyNumberFormat="1" applyFont="1" applyBorder="1" applyAlignment="1"/>
    <xf numFmtId="0" fontId="18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8" fillId="0" borderId="32" xfId="1" applyNumberFormat="1" applyFont="1" applyBorder="1"/>
    <xf numFmtId="9" fontId="15" fillId="0" borderId="33" xfId="3" applyFont="1" applyFill="1" applyBorder="1"/>
    <xf numFmtId="3" fontId="7" fillId="0" borderId="32" xfId="0" applyNumberFormat="1" applyFont="1" applyBorder="1"/>
    <xf numFmtId="3" fontId="7" fillId="0" borderId="31" xfId="0" applyNumberFormat="1" applyFont="1" applyBorder="1"/>
    <xf numFmtId="3" fontId="3" fillId="0" borderId="34" xfId="0" applyNumberFormat="1" applyFont="1" applyBorder="1"/>
    <xf numFmtId="3" fontId="1" fillId="0" borderId="32" xfId="0" applyNumberFormat="1" applyFont="1" applyBorder="1"/>
    <xf numFmtId="3" fontId="3" fillId="13" borderId="35" xfId="0" applyNumberFormat="1" applyFont="1" applyFill="1" applyBorder="1"/>
    <xf numFmtId="3" fontId="3" fillId="0" borderId="34" xfId="0" applyNumberFormat="1" applyFont="1" applyFill="1" applyBorder="1"/>
    <xf numFmtId="0" fontId="7" fillId="0" borderId="37" xfId="0" applyFont="1" applyBorder="1"/>
    <xf numFmtId="0" fontId="7" fillId="0" borderId="38" xfId="0" applyFont="1" applyBorder="1"/>
    <xf numFmtId="9" fontId="13" fillId="0" borderId="33" xfId="3" applyFont="1" applyFill="1" applyBorder="1"/>
    <xf numFmtId="3" fontId="7" fillId="0" borderId="32" xfId="0" applyNumberFormat="1" applyFont="1" applyBorder="1" applyAlignment="1"/>
    <xf numFmtId="3" fontId="7" fillId="0" borderId="31" xfId="0" applyNumberFormat="1" applyFont="1" applyBorder="1" applyAlignment="1"/>
    <xf numFmtId="3" fontId="7" fillId="0" borderId="33" xfId="0" applyNumberFormat="1" applyFont="1" applyBorder="1"/>
    <xf numFmtId="164" fontId="7" fillId="0" borderId="38" xfId="1" applyNumberFormat="1" applyFont="1" applyBorder="1"/>
    <xf numFmtId="3" fontId="14" fillId="0" borderId="32" xfId="0" applyNumberFormat="1" applyFont="1" applyFill="1" applyBorder="1" applyAlignment="1">
      <alignment horizontal="center"/>
    </xf>
    <xf numFmtId="3" fontId="7" fillId="0" borderId="32" xfId="1" applyNumberFormat="1" applyFont="1" applyBorder="1"/>
    <xf numFmtId="3" fontId="8" fillId="0" borderId="33" xfId="1" applyNumberFormat="1" applyFont="1" applyBorder="1"/>
    <xf numFmtId="3" fontId="7" fillId="0" borderId="15" xfId="0" applyNumberFormat="1" applyFont="1" applyBorder="1"/>
    <xf numFmtId="3" fontId="7" fillId="0" borderId="33" xfId="1" applyNumberFormat="1" applyFont="1" applyBorder="1"/>
    <xf numFmtId="3" fontId="7" fillId="0" borderId="18" xfId="1" applyNumberFormat="1" applyFont="1" applyBorder="1"/>
    <xf numFmtId="3" fontId="3" fillId="0" borderId="39" xfId="0" applyNumberFormat="1" applyFont="1" applyBorder="1"/>
    <xf numFmtId="3" fontId="1" fillId="0" borderId="33" xfId="0" applyNumberFormat="1" applyFont="1" applyBorder="1"/>
    <xf numFmtId="3" fontId="3" fillId="13" borderId="28" xfId="0" applyNumberFormat="1" applyFont="1" applyFill="1" applyBorder="1"/>
    <xf numFmtId="164" fontId="7" fillId="0" borderId="33" xfId="1" applyNumberFormat="1" applyFont="1" applyBorder="1"/>
    <xf numFmtId="164" fontId="7" fillId="0" borderId="18" xfId="1" applyNumberFormat="1" applyFont="1" applyBorder="1"/>
    <xf numFmtId="3" fontId="3" fillId="0" borderId="39" xfId="0" applyNumberFormat="1" applyFont="1" applyFill="1" applyBorder="1"/>
    <xf numFmtId="164" fontId="7" fillId="0" borderId="14" xfId="1" applyNumberFormat="1" applyFont="1" applyBorder="1"/>
    <xf numFmtId="0" fontId="1" fillId="0" borderId="18" xfId="0" applyFont="1" applyBorder="1"/>
    <xf numFmtId="0" fontId="1" fillId="0" borderId="31" xfId="0" applyFont="1" applyBorder="1"/>
    <xf numFmtId="0" fontId="3" fillId="0" borderId="32" xfId="0" applyFont="1" applyBorder="1"/>
    <xf numFmtId="0" fontId="3" fillId="0" borderId="32" xfId="0" applyFont="1" applyFill="1" applyBorder="1"/>
    <xf numFmtId="0" fontId="1" fillId="0" borderId="34" xfId="0" applyFont="1" applyFill="1" applyBorder="1"/>
    <xf numFmtId="0" fontId="3" fillId="0" borderId="34" xfId="0" applyFont="1" applyFill="1" applyBorder="1"/>
    <xf numFmtId="165" fontId="8" fillId="0" borderId="3" xfId="1" applyNumberFormat="1" applyFont="1" applyBorder="1"/>
    <xf numFmtId="164" fontId="7" fillId="0" borderId="3" xfId="1" applyNumberFormat="1" applyFont="1" applyBorder="1"/>
    <xf numFmtId="164" fontId="7" fillId="0" borderId="24" xfId="1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7" fillId="0" borderId="24" xfId="0" applyNumberFormat="1" applyFont="1" applyBorder="1"/>
    <xf numFmtId="164" fontId="7" fillId="0" borderId="27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1" xfId="0" applyNumberFormat="1" applyFont="1" applyFill="1" applyBorder="1"/>
    <xf numFmtId="0" fontId="7" fillId="15" borderId="0" xfId="0" applyFont="1" applyFill="1" applyAlignment="1">
      <alignment wrapText="1"/>
    </xf>
    <xf numFmtId="3" fontId="7" fillId="15" borderId="0" xfId="1" applyNumberFormat="1" applyFont="1" applyFill="1"/>
    <xf numFmtId="3" fontId="7" fillId="15" borderId="0" xfId="0" applyNumberFormat="1" applyFont="1" applyFill="1"/>
    <xf numFmtId="0" fontId="7" fillId="15" borderId="0" xfId="0" applyFont="1" applyFill="1" applyBorder="1"/>
    <xf numFmtId="3" fontId="20" fillId="15" borderId="6" xfId="0" applyNumberFormat="1" applyFont="1" applyFill="1" applyBorder="1"/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9" fontId="15" fillId="2" borderId="1" xfId="3" applyFont="1" applyFill="1" applyBorder="1" applyAlignment="1">
      <alignment vertical="center"/>
    </xf>
    <xf numFmtId="9" fontId="22" fillId="5" borderId="1" xfId="3" applyFont="1" applyFill="1" applyBorder="1" applyAlignment="1">
      <alignment vertical="center"/>
    </xf>
    <xf numFmtId="9" fontId="7" fillId="0" borderId="2" xfId="3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5" fillId="2" borderId="1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3" fontId="25" fillId="2" borderId="2" xfId="1" applyNumberFormat="1" applyFont="1" applyFill="1" applyBorder="1" applyAlignment="1">
      <alignment horizontal="right" vertical="center"/>
    </xf>
    <xf numFmtId="3" fontId="25" fillId="2" borderId="2" xfId="1" applyNumberFormat="1" applyFont="1" applyFill="1" applyBorder="1" applyAlignment="1">
      <alignment vertical="center"/>
    </xf>
    <xf numFmtId="165" fontId="7" fillId="0" borderId="9" xfId="1" applyNumberFormat="1" applyFont="1" applyFill="1" applyBorder="1"/>
    <xf numFmtId="165" fontId="3" fillId="0" borderId="9" xfId="1" applyNumberFormat="1" applyFont="1" applyFill="1" applyBorder="1"/>
    <xf numFmtId="165" fontId="27" fillId="0" borderId="9" xfId="1" applyNumberFormat="1" applyFont="1" applyFill="1" applyBorder="1"/>
    <xf numFmtId="3" fontId="23" fillId="7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8" borderId="7" xfId="0" applyNumberFormat="1" applyFont="1" applyFill="1" applyBorder="1" applyAlignment="1">
      <alignment vertical="center"/>
    </xf>
    <xf numFmtId="9" fontId="33" fillId="8" borderId="3" xfId="3" applyFont="1" applyFill="1" applyBorder="1" applyAlignment="1">
      <alignment vertical="center"/>
    </xf>
    <xf numFmtId="3" fontId="14" fillId="0" borderId="7" xfId="0" applyNumberFormat="1" applyFont="1" applyFill="1" applyBorder="1"/>
    <xf numFmtId="9" fontId="28" fillId="0" borderId="3" xfId="3" applyFont="1" applyFill="1" applyBorder="1"/>
    <xf numFmtId="164" fontId="3" fillId="3" borderId="7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8" fillId="0" borderId="7" xfId="1" applyNumberFormat="1" applyFont="1" applyBorder="1"/>
    <xf numFmtId="9" fontId="15" fillId="0" borderId="3" xfId="3" applyFont="1" applyFill="1" applyBorder="1"/>
    <xf numFmtId="3" fontId="7" fillId="0" borderId="7" xfId="0" applyNumberFormat="1" applyFont="1" applyBorder="1"/>
    <xf numFmtId="0" fontId="7" fillId="0" borderId="3" xfId="0" applyFont="1" applyBorder="1"/>
    <xf numFmtId="3" fontId="48" fillId="12" borderId="7" xfId="0" applyNumberFormat="1" applyFont="1" applyFill="1" applyBorder="1"/>
    <xf numFmtId="3" fontId="3" fillId="11" borderId="7" xfId="0" applyNumberFormat="1" applyFont="1" applyFill="1" applyBorder="1"/>
    <xf numFmtId="0" fontId="7" fillId="0" borderId="7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3" xfId="0" applyFont="1" applyBorder="1"/>
    <xf numFmtId="165" fontId="7" fillId="0" borderId="8" xfId="1" applyNumberFormat="1" applyFont="1" applyFill="1" applyBorder="1"/>
    <xf numFmtId="165" fontId="3" fillId="0" borderId="8" xfId="1" applyNumberFormat="1" applyFont="1" applyFill="1" applyBorder="1"/>
    <xf numFmtId="165" fontId="27" fillId="0" borderId="8" xfId="1" applyNumberFormat="1" applyFont="1" applyFill="1" applyBorder="1"/>
    <xf numFmtId="9" fontId="13" fillId="0" borderId="3" xfId="3" applyFont="1" applyFill="1" applyBorder="1"/>
    <xf numFmtId="3" fontId="7" fillId="0" borderId="7" xfId="0" applyNumberFormat="1" applyFont="1" applyBorder="1" applyAlignment="1"/>
    <xf numFmtId="3" fontId="48" fillId="12" borderId="3" xfId="0" applyNumberFormat="1" applyFont="1" applyFill="1" applyBorder="1"/>
    <xf numFmtId="3" fontId="3" fillId="11" borderId="3" xfId="0" applyNumberFormat="1" applyFont="1" applyFill="1" applyBorder="1"/>
    <xf numFmtId="164" fontId="7" fillId="0" borderId="5" xfId="1" applyNumberFormat="1" applyFont="1" applyBorder="1"/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14" fillId="0" borderId="7" xfId="0" applyNumberFormat="1" applyFont="1" applyFill="1" applyBorder="1" applyAlignment="1">
      <alignment horizontal="center"/>
    </xf>
    <xf numFmtId="3" fontId="32" fillId="8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/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3" fontId="7" fillId="0" borderId="7" xfId="1" applyNumberFormat="1" applyFont="1" applyBorder="1"/>
    <xf numFmtId="3" fontId="8" fillId="0" borderId="3" xfId="1" applyNumberFormat="1" applyFont="1" applyBorder="1"/>
    <xf numFmtId="3" fontId="7" fillId="0" borderId="3" xfId="1" applyNumberFormat="1" applyFont="1" applyBorder="1"/>
    <xf numFmtId="3" fontId="47" fillId="0" borderId="7" xfId="0" applyNumberFormat="1" applyFont="1" applyBorder="1"/>
    <xf numFmtId="164" fontId="7" fillId="0" borderId="23" xfId="1" applyNumberFormat="1" applyFont="1" applyBorder="1"/>
    <xf numFmtId="3" fontId="1" fillId="0" borderId="7" xfId="0" applyNumberFormat="1" applyFont="1" applyBorder="1"/>
    <xf numFmtId="0" fontId="26" fillId="0" borderId="12" xfId="0" applyFont="1" applyFill="1" applyBorder="1"/>
    <xf numFmtId="0" fontId="1" fillId="0" borderId="1" xfId="0" applyFont="1" applyBorder="1"/>
    <xf numFmtId="3" fontId="1" fillId="0" borderId="1" xfId="1" applyNumberFormat="1" applyFont="1" applyBorder="1" applyAlignment="1"/>
    <xf numFmtId="9" fontId="50" fillId="0" borderId="0" xfId="3" applyFont="1" applyBorder="1" applyAlignment="1">
      <alignment horizontal="center"/>
    </xf>
    <xf numFmtId="9" fontId="50" fillId="0" borderId="33" xfId="3" applyFont="1" applyBorder="1" applyAlignment="1">
      <alignment horizontal="center"/>
    </xf>
    <xf numFmtId="9" fontId="50" fillId="0" borderId="8" xfId="3" applyFont="1" applyBorder="1" applyAlignment="1">
      <alignment horizontal="center"/>
    </xf>
    <xf numFmtId="9" fontId="50" fillId="0" borderId="39" xfId="3" applyFont="1" applyBorder="1" applyAlignment="1">
      <alignment horizontal="center"/>
    </xf>
    <xf numFmtId="9" fontId="28" fillId="0" borderId="8" xfId="3" applyFont="1" applyBorder="1" applyAlignment="1">
      <alignment horizontal="center"/>
    </xf>
    <xf numFmtId="9" fontId="28" fillId="0" borderId="39" xfId="3" applyFont="1" applyBorder="1" applyAlignment="1">
      <alignment horizontal="center"/>
    </xf>
    <xf numFmtId="9" fontId="28" fillId="13" borderId="26" xfId="3" applyFont="1" applyFill="1" applyBorder="1" applyAlignment="1">
      <alignment horizontal="center"/>
    </xf>
    <xf numFmtId="9" fontId="28" fillId="13" borderId="28" xfId="3" applyFont="1" applyFill="1" applyBorder="1" applyAlignment="1">
      <alignment horizontal="center"/>
    </xf>
    <xf numFmtId="9" fontId="50" fillId="0" borderId="16" xfId="3" applyFont="1" applyBorder="1" applyAlignment="1">
      <alignment horizontal="center"/>
    </xf>
    <xf numFmtId="9" fontId="50" fillId="0" borderId="18" xfId="3" applyFont="1" applyBorder="1" applyAlignment="1">
      <alignment horizontal="center"/>
    </xf>
    <xf numFmtId="9" fontId="50" fillId="0" borderId="8" xfId="3" applyFont="1" applyFill="1" applyBorder="1" applyAlignment="1">
      <alignment horizontal="center"/>
    </xf>
    <xf numFmtId="9" fontId="50" fillId="0" borderId="39" xfId="3" applyFont="1" applyFill="1" applyBorder="1" applyAlignment="1">
      <alignment horizontal="center"/>
    </xf>
    <xf numFmtId="9" fontId="28" fillId="0" borderId="8" xfId="3" applyFont="1" applyFill="1" applyBorder="1" applyAlignment="1">
      <alignment horizontal="center"/>
    </xf>
    <xf numFmtId="9" fontId="28" fillId="0" borderId="39" xfId="3" applyFont="1" applyFill="1" applyBorder="1" applyAlignment="1">
      <alignment horizontal="center"/>
    </xf>
    <xf numFmtId="9" fontId="50" fillId="0" borderId="38" xfId="3" applyFont="1" applyBorder="1" applyAlignment="1">
      <alignment horizontal="center"/>
    </xf>
    <xf numFmtId="9" fontId="50" fillId="0" borderId="14" xfId="3" applyFont="1" applyBorder="1" applyAlignment="1">
      <alignment horizontal="center"/>
    </xf>
    <xf numFmtId="9" fontId="50" fillId="0" borderId="33" xfId="3" applyNumberFormat="1" applyFont="1" applyBorder="1" applyAlignment="1">
      <alignment horizontal="center"/>
    </xf>
    <xf numFmtId="9" fontId="50" fillId="0" borderId="17" xfId="3" applyNumberFormat="1" applyFont="1" applyBorder="1" applyAlignment="1">
      <alignment horizontal="center"/>
    </xf>
    <xf numFmtId="9" fontId="18" fillId="0" borderId="33" xfId="0" applyNumberFormat="1" applyFont="1" applyBorder="1" applyAlignment="1">
      <alignment horizontal="center"/>
    </xf>
    <xf numFmtId="9" fontId="18" fillId="0" borderId="14" xfId="0" applyNumberFormat="1" applyFont="1" applyBorder="1" applyAlignment="1">
      <alignment horizontal="center"/>
    </xf>
    <xf numFmtId="9" fontId="18" fillId="0" borderId="18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3" fontId="1" fillId="0" borderId="1" xfId="1" applyNumberFormat="1" applyFont="1" applyBorder="1" applyAlignment="1">
      <alignment vertical="center"/>
    </xf>
    <xf numFmtId="3" fontId="1" fillId="0" borderId="0" xfId="0" applyNumberFormat="1" applyFont="1"/>
    <xf numFmtId="3" fontId="3" fillId="0" borderId="1" xfId="1" applyNumberFormat="1" applyFont="1" applyBorder="1" applyAlignment="1">
      <alignment vertical="center"/>
    </xf>
    <xf numFmtId="3" fontId="21" fillId="0" borderId="6" xfId="0" applyNumberFormat="1" applyFont="1" applyBorder="1"/>
    <xf numFmtId="0" fontId="51" fillId="0" borderId="1" xfId="0" applyFont="1" applyBorder="1" applyAlignment="1">
      <alignment wrapText="1"/>
    </xf>
    <xf numFmtId="0" fontId="0" fillId="0" borderId="31" xfId="49" applyFont="1" applyBorder="1"/>
    <xf numFmtId="0" fontId="0" fillId="0" borderId="32" xfId="49" applyFont="1" applyBorder="1"/>
    <xf numFmtId="0" fontId="0" fillId="0" borderId="16" xfId="49" applyFont="1" applyBorder="1"/>
    <xf numFmtId="164" fontId="53" fillId="0" borderId="38" xfId="1" applyNumberFormat="1" applyFont="1" applyBorder="1"/>
    <xf numFmtId="164" fontId="53" fillId="0" borderId="0" xfId="1" applyNumberFormat="1" applyFont="1" applyBorder="1"/>
    <xf numFmtId="164" fontId="72" fillId="0" borderId="0" xfId="1" applyNumberFormat="1" applyFont="1" applyBorder="1"/>
    <xf numFmtId="164" fontId="3" fillId="38" borderId="18" xfId="1" applyNumberFormat="1" applyFont="1" applyFill="1" applyBorder="1"/>
    <xf numFmtId="164" fontId="3" fillId="38" borderId="16" xfId="1" applyNumberFormat="1" applyFont="1" applyFill="1" applyBorder="1"/>
    <xf numFmtId="0" fontId="53" fillId="0" borderId="0" xfId="49" applyBorder="1"/>
    <xf numFmtId="0" fontId="53" fillId="0" borderId="0" xfId="49"/>
    <xf numFmtId="0" fontId="53" fillId="0" borderId="16" xfId="49" applyBorder="1" applyAlignment="1">
      <alignment wrapText="1"/>
    </xf>
    <xf numFmtId="0" fontId="53" fillId="0" borderId="32" xfId="49" applyBorder="1"/>
    <xf numFmtId="3" fontId="53" fillId="0" borderId="33" xfId="49" applyNumberFormat="1" applyBorder="1"/>
    <xf numFmtId="0" fontId="53" fillId="0" borderId="37" xfId="49" applyBorder="1"/>
    <xf numFmtId="0" fontId="53" fillId="0" borderId="38" xfId="49" applyBorder="1"/>
    <xf numFmtId="3" fontId="53" fillId="0" borderId="14" xfId="49" applyNumberFormat="1" applyBorder="1"/>
    <xf numFmtId="164" fontId="53" fillId="0" borderId="0" xfId="49" applyNumberFormat="1"/>
    <xf numFmtId="0" fontId="53" fillId="0" borderId="31" xfId="49" applyFont="1" applyBorder="1"/>
    <xf numFmtId="0" fontId="1" fillId="0" borderId="16" xfId="49" applyFont="1" applyBorder="1" applyAlignment="1">
      <alignment wrapText="1"/>
    </xf>
    <xf numFmtId="0" fontId="53" fillId="0" borderId="16" xfId="49" applyBorder="1"/>
    <xf numFmtId="3" fontId="53" fillId="0" borderId="0" xfId="49" applyNumberFormat="1" applyBorder="1"/>
    <xf numFmtId="0" fontId="71" fillId="0" borderId="32" xfId="49" applyFont="1" applyBorder="1"/>
    <xf numFmtId="0" fontId="71" fillId="0" borderId="37" xfId="49" applyFont="1" applyBorder="1"/>
    <xf numFmtId="0" fontId="3" fillId="0" borderId="31" xfId="49" applyFont="1" applyBorder="1"/>
    <xf numFmtId="3" fontId="3" fillId="0" borderId="0" xfId="0" applyNumberFormat="1" applyFont="1" applyBorder="1" applyAlignment="1">
      <alignment horizontal="center"/>
    </xf>
    <xf numFmtId="3" fontId="1" fillId="0" borderId="2" xfId="1" applyNumberFormat="1" applyFont="1" applyBorder="1"/>
    <xf numFmtId="0" fontId="1" fillId="0" borderId="0" xfId="0" applyFont="1" applyAlignment="1">
      <alignment wrapText="1"/>
    </xf>
    <xf numFmtId="0" fontId="12" fillId="0" borderId="0" xfId="0" applyFont="1"/>
    <xf numFmtId="0" fontId="0" fillId="0" borderId="2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3" fillId="5" borderId="1" xfId="0" applyFont="1" applyFill="1" applyBorder="1"/>
    <xf numFmtId="0" fontId="7" fillId="4" borderId="1" xfId="0" applyFont="1" applyFill="1" applyBorder="1" applyAlignment="1">
      <alignment wrapText="1"/>
    </xf>
    <xf numFmtId="3" fontId="7" fillId="4" borderId="1" xfId="1" applyNumberFormat="1" applyFont="1" applyFill="1" applyBorder="1" applyAlignment="1">
      <alignment vertical="center"/>
    </xf>
    <xf numFmtId="3" fontId="1" fillId="0" borderId="33" xfId="49" applyNumberFormat="1" applyFont="1" applyBorder="1"/>
    <xf numFmtId="0" fontId="1" fillId="0" borderId="32" xfId="49" applyFont="1" applyBorder="1"/>
    <xf numFmtId="3" fontId="7" fillId="4" borderId="1" xfId="0" applyNumberFormat="1" applyFont="1" applyFill="1" applyBorder="1" applyAlignment="1"/>
    <xf numFmtId="3" fontId="7" fillId="4" borderId="2" xfId="0" applyNumberFormat="1" applyFont="1" applyFill="1" applyBorder="1"/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/>
    </xf>
    <xf numFmtId="10" fontId="7" fillId="0" borderId="1" xfId="3" applyNumberFormat="1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3" fontId="1" fillId="4" borderId="1" xfId="1" applyNumberFormat="1" applyFont="1" applyFill="1" applyBorder="1"/>
    <xf numFmtId="3" fontId="3" fillId="4" borderId="1" xfId="1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wrapText="1"/>
    </xf>
    <xf numFmtId="165" fontId="7" fillId="0" borderId="0" xfId="1" applyNumberFormat="1" applyFont="1" applyFill="1" applyBorder="1"/>
    <xf numFmtId="3" fontId="75" fillId="0" borderId="1" xfId="0" applyNumberFormat="1" applyFont="1" applyBorder="1" applyAlignment="1">
      <alignment horizontal="right" vertical="center"/>
    </xf>
    <xf numFmtId="0" fontId="76" fillId="39" borderId="50" xfId="0" applyFont="1" applyFill="1" applyBorder="1" applyAlignment="1">
      <alignment horizontal="center" vertical="center" wrapText="1"/>
    </xf>
    <xf numFmtId="0" fontId="76" fillId="39" borderId="51" xfId="0" applyFont="1" applyFill="1" applyBorder="1" applyAlignment="1">
      <alignment horizontal="center" vertical="center" wrapText="1"/>
    </xf>
    <xf numFmtId="0" fontId="76" fillId="39" borderId="52" xfId="0" applyFont="1" applyFill="1" applyBorder="1" applyAlignment="1">
      <alignment horizontal="center" vertical="center" wrapText="1"/>
    </xf>
    <xf numFmtId="0" fontId="77" fillId="0" borderId="53" xfId="0" applyFont="1" applyBorder="1" applyAlignment="1">
      <alignment vertical="center" wrapText="1"/>
    </xf>
    <xf numFmtId="9" fontId="75" fillId="0" borderId="17" xfId="0" applyNumberFormat="1" applyFont="1" applyBorder="1" applyAlignment="1">
      <alignment horizontal="center" vertical="center"/>
    </xf>
    <xf numFmtId="0" fontId="78" fillId="5" borderId="54" xfId="0" applyFont="1" applyFill="1" applyBorder="1" applyAlignment="1">
      <alignment vertical="center" wrapText="1"/>
    </xf>
    <xf numFmtId="9" fontId="76" fillId="5" borderId="56" xfId="0" applyNumberFormat="1" applyFont="1" applyFill="1" applyBorder="1" applyAlignment="1">
      <alignment horizontal="center" vertical="center"/>
    </xf>
    <xf numFmtId="0" fontId="77" fillId="0" borderId="57" xfId="0" applyFont="1" applyBorder="1" applyAlignment="1">
      <alignment vertical="center" wrapText="1"/>
    </xf>
    <xf numFmtId="0" fontId="78" fillId="5" borderId="59" xfId="0" applyFont="1" applyFill="1" applyBorder="1" applyAlignment="1">
      <alignment vertical="center" wrapText="1"/>
    </xf>
    <xf numFmtId="3" fontId="78" fillId="5" borderId="60" xfId="0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/>
    <xf numFmtId="9" fontId="75" fillId="0" borderId="17" xfId="0" applyNumberFormat="1" applyFont="1" applyBorder="1" applyAlignment="1">
      <alignment horizontal="center"/>
    </xf>
    <xf numFmtId="165" fontId="1" fillId="0" borderId="1" xfId="1" applyNumberFormat="1" applyFont="1" applyFill="1" applyBorder="1" applyAlignment="1"/>
    <xf numFmtId="3" fontId="75" fillId="40" borderId="1" xfId="0" applyNumberFormat="1" applyFont="1" applyFill="1" applyBorder="1" applyAlignment="1">
      <alignment horizontal="right"/>
    </xf>
    <xf numFmtId="0" fontId="75" fillId="40" borderId="1" xfId="0" applyFont="1" applyFill="1" applyBorder="1" applyAlignment="1">
      <alignment horizontal="right"/>
    </xf>
    <xf numFmtId="165" fontId="7" fillId="0" borderId="10" xfId="1" applyNumberFormat="1" applyFont="1" applyFill="1" applyBorder="1" applyAlignment="1"/>
    <xf numFmtId="9" fontId="75" fillId="0" borderId="58" xfId="0" applyNumberFormat="1" applyFont="1" applyBorder="1" applyAlignment="1">
      <alignment horizontal="center"/>
    </xf>
    <xf numFmtId="9" fontId="78" fillId="5" borderId="61" xfId="3" applyFont="1" applyFill="1" applyBorder="1" applyAlignment="1">
      <alignment horizontal="right" vertical="center"/>
    </xf>
    <xf numFmtId="3" fontId="76" fillId="5" borderId="55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9" fontId="8" fillId="0" borderId="0" xfId="3" applyFont="1" applyBorder="1"/>
    <xf numFmtId="3" fontId="32" fillId="0" borderId="1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/>
    <xf numFmtId="0" fontId="19" fillId="0" borderId="21" xfId="0" applyFont="1" applyBorder="1" applyAlignment="1"/>
    <xf numFmtId="3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0" borderId="29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5" xfId="0" applyFont="1" applyBorder="1" applyAlignment="1"/>
    <xf numFmtId="0" fontId="19" fillId="0" borderId="30" xfId="0" applyFont="1" applyBorder="1" applyAlignment="1"/>
    <xf numFmtId="3" fontId="3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/>
    <xf numFmtId="0" fontId="0" fillId="9" borderId="22" xfId="0" applyFill="1" applyBorder="1" applyAlignment="1"/>
    <xf numFmtId="0" fontId="36" fillId="0" borderId="7" xfId="0" applyFont="1" applyBorder="1" applyAlignment="1"/>
    <xf numFmtId="0" fontId="39" fillId="0" borderId="0" xfId="0" applyFont="1" applyAlignment="1"/>
    <xf numFmtId="3" fontId="32" fillId="0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2" fillId="0" borderId="4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9" fillId="0" borderId="5" xfId="0" applyFont="1" applyFill="1" applyBorder="1" applyAlignment="1"/>
    <xf numFmtId="0" fontId="19" fillId="0" borderId="23" xfId="0" applyFont="1" applyFill="1" applyBorder="1" applyAlignment="1"/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 applyAlignment="1"/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3" fontId="32" fillId="0" borderId="8" xfId="0" applyNumberFormat="1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0" xfId="49" applyFont="1" applyAlignment="1">
      <alignment horizontal="center"/>
    </xf>
    <xf numFmtId="0" fontId="3" fillId="0" borderId="0" xfId="0" applyFont="1" applyAlignment="1">
      <alignment horizontal="center"/>
    </xf>
  </cellXfs>
  <cellStyles count="54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zres" xfId="1" builtinId="3"/>
    <cellStyle name="Ezres 2" xfId="35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ál_2016 évi terv." xfId="49"/>
    <cellStyle name="Összesen 2" xfId="50"/>
    <cellStyle name="Rossz 2" xfId="51"/>
    <cellStyle name="Semleges 2" xfId="52"/>
    <cellStyle name="Számítás 2" xfId="53"/>
    <cellStyle name="Százalék" xfId="3" builtinId="5"/>
  </cellStyles>
  <dxfs count="0"/>
  <tableStyles count="0" defaultTableStyle="TableStyleMedium2" defaultPivotStyle="PivotStyleLight16"/>
  <colors>
    <mruColors>
      <color rgb="FFFF505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view="pageBreakPreview" topLeftCell="B1" zoomScale="60" zoomScaleNormal="75" workbookViewId="0">
      <selection activeCell="B13" sqref="B13:H23"/>
    </sheetView>
  </sheetViews>
  <sheetFormatPr defaultRowHeight="12.75" x14ac:dyDescent="0.2"/>
  <cols>
    <col min="1" max="1" width="6.42578125" style="22" bestFit="1" customWidth="1"/>
    <col min="2" max="2" width="41.42578125" style="22" customWidth="1"/>
    <col min="3" max="3" width="15.5703125" style="22" customWidth="1"/>
    <col min="4" max="6" width="15.5703125" style="23" customWidth="1"/>
    <col min="7" max="7" width="0.85546875" style="23" customWidth="1"/>
    <col min="8" max="8" width="15.5703125" style="22" customWidth="1"/>
    <col min="9" max="10" width="15.5703125" style="23" customWidth="1"/>
    <col min="11" max="11" width="0.85546875" style="23" customWidth="1"/>
    <col min="12" max="14" width="10.5703125" style="22" customWidth="1"/>
    <col min="15" max="15" width="0.85546875" style="23" customWidth="1"/>
    <col min="16" max="18" width="14.5703125" style="22" customWidth="1"/>
    <col min="19" max="19" width="15.5703125" style="22" customWidth="1"/>
    <col min="20" max="20" width="10.5703125" style="22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456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2017. FÉLÉVES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47"/>
    </row>
    <row r="3" spans="1:27" ht="20.25" hidden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7"/>
    </row>
    <row r="4" spans="1:27" x14ac:dyDescent="0.2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  <c r="U4"/>
    </row>
    <row r="5" spans="1:27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  <c r="U5" s="290"/>
    </row>
    <row r="6" spans="1:27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  <c r="U6" s="290"/>
    </row>
    <row r="7" spans="1:27" ht="15.75" x14ac:dyDescent="0.25">
      <c r="A7" s="48"/>
      <c r="B7" s="48"/>
      <c r="C7" s="664" t="s">
        <v>412</v>
      </c>
      <c r="D7" s="665"/>
      <c r="E7" s="665"/>
      <c r="F7" s="666"/>
      <c r="G7" s="375"/>
      <c r="H7" s="664" t="s">
        <v>411</v>
      </c>
      <c r="I7" s="667"/>
      <c r="J7" s="667"/>
      <c r="K7" s="667"/>
      <c r="L7" s="667"/>
      <c r="M7" s="667"/>
      <c r="N7" s="668"/>
      <c r="O7" s="375"/>
      <c r="P7" s="664" t="s">
        <v>408</v>
      </c>
      <c r="Q7" s="665"/>
      <c r="R7" s="665"/>
      <c r="S7" s="665"/>
      <c r="T7" s="666"/>
      <c r="U7"/>
    </row>
    <row r="8" spans="1:27" ht="15" x14ac:dyDescent="0.25">
      <c r="A8" s="48"/>
      <c r="B8" s="48"/>
      <c r="C8" s="548"/>
      <c r="D8" s="494"/>
      <c r="E8" s="494"/>
      <c r="F8" s="520"/>
      <c r="G8" s="372"/>
      <c r="H8" s="669" t="s">
        <v>425</v>
      </c>
      <c r="I8" s="670"/>
      <c r="J8" s="670"/>
      <c r="K8" s="493"/>
      <c r="L8" s="671" t="s">
        <v>424</v>
      </c>
      <c r="M8" s="670"/>
      <c r="N8" s="672"/>
      <c r="O8" s="372"/>
      <c r="P8" s="519">
        <f>+'1. Sülysáp összesen'!P8</f>
        <v>1</v>
      </c>
      <c r="Q8" s="376">
        <f>+' 2. Önk. Bevételek'!Q8</f>
        <v>1</v>
      </c>
      <c r="R8" s="376">
        <f>+'1. Sülysáp összesen'!R8</f>
        <v>0</v>
      </c>
      <c r="S8" s="494"/>
      <c r="T8" s="520"/>
      <c r="U8"/>
    </row>
    <row r="9" spans="1:27" ht="20.100000000000001" customHeight="1" x14ac:dyDescent="0.2">
      <c r="A9" s="377"/>
      <c r="B9" s="378" t="s">
        <v>378</v>
      </c>
      <c r="C9" s="521">
        <f>+C23</f>
        <v>1256317924</v>
      </c>
      <c r="D9" s="379">
        <f t="shared" ref="D9:J9" si="0">+D23</f>
        <v>1690615637</v>
      </c>
      <c r="E9" s="379">
        <f t="shared" si="0"/>
        <v>0</v>
      </c>
      <c r="F9" s="549">
        <f t="shared" si="0"/>
        <v>0</v>
      </c>
      <c r="G9" s="379"/>
      <c r="H9" s="521">
        <f t="shared" si="0"/>
        <v>528544802</v>
      </c>
      <c r="I9" s="379">
        <f t="shared" si="0"/>
        <v>0</v>
      </c>
      <c r="J9" s="379">
        <f t="shared" si="0"/>
        <v>0</v>
      </c>
      <c r="K9" s="380"/>
      <c r="L9" s="381">
        <f>H9/C9</f>
        <v>0.42070943341886125</v>
      </c>
      <c r="M9" s="382">
        <f>I9/D9</f>
        <v>0</v>
      </c>
      <c r="N9" s="522" t="e">
        <f>+J9/E9</f>
        <v>#DIV/0!</v>
      </c>
      <c r="O9" s="380"/>
      <c r="P9" s="521">
        <f>IF(D9&gt;0,+D9-C9,0)</f>
        <v>434297713</v>
      </c>
      <c r="Q9" s="379">
        <f>IF(E9&gt;0,+E9-D9,0)</f>
        <v>0</v>
      </c>
      <c r="R9" s="379">
        <f>IF(F9&gt;0,+F9-E9,0)</f>
        <v>0</v>
      </c>
      <c r="S9" s="379">
        <f>SUM(P9:R9)</f>
        <v>434297713</v>
      </c>
      <c r="T9" s="522">
        <f>+S9/C9</f>
        <v>0.34569093117547528</v>
      </c>
      <c r="U9" s="271"/>
      <c r="V9" s="254">
        <f>+S9-E9+C9</f>
        <v>1690615637</v>
      </c>
    </row>
    <row r="10" spans="1:27" ht="15" x14ac:dyDescent="0.25">
      <c r="A10" s="383"/>
      <c r="B10" s="384"/>
      <c r="C10" s="523"/>
      <c r="D10" s="372"/>
      <c r="E10" s="372"/>
      <c r="F10" s="550"/>
      <c r="G10" s="372"/>
      <c r="H10" s="523"/>
      <c r="I10" s="372"/>
      <c r="J10" s="372"/>
      <c r="K10" s="372"/>
      <c r="L10" s="385"/>
      <c r="M10" s="386"/>
      <c r="N10" s="524"/>
      <c r="O10" s="372"/>
      <c r="P10" s="523"/>
      <c r="Q10" s="372"/>
      <c r="R10" s="372"/>
      <c r="S10" s="372"/>
      <c r="T10" s="524"/>
      <c r="U10" s="262"/>
      <c r="V10" s="263"/>
    </row>
    <row r="11" spans="1:27" s="1" customFormat="1" ht="64.5" customHeight="1" x14ac:dyDescent="0.2">
      <c r="A11" s="387" t="s">
        <v>373</v>
      </c>
      <c r="B11" s="387" t="s">
        <v>371</v>
      </c>
      <c r="C11" s="551" t="s">
        <v>483</v>
      </c>
      <c r="D11" s="388" t="s">
        <v>484</v>
      </c>
      <c r="E11" s="388" t="s">
        <v>485</v>
      </c>
      <c r="F11" s="552" t="s">
        <v>486</v>
      </c>
      <c r="G11" s="388"/>
      <c r="H11" s="525" t="s">
        <v>487</v>
      </c>
      <c r="I11" s="389" t="s">
        <v>488</v>
      </c>
      <c r="J11" s="389" t="s">
        <v>489</v>
      </c>
      <c r="K11" s="388"/>
      <c r="L11" s="390" t="s">
        <v>490</v>
      </c>
      <c r="M11" s="390" t="s">
        <v>494</v>
      </c>
      <c r="N11" s="526" t="s">
        <v>495</v>
      </c>
      <c r="O11" s="388"/>
      <c r="P11" s="525" t="s">
        <v>491</v>
      </c>
      <c r="Q11" s="389" t="s">
        <v>493</v>
      </c>
      <c r="R11" s="389" t="s">
        <v>492</v>
      </c>
      <c r="S11" s="389" t="s">
        <v>409</v>
      </c>
      <c r="T11" s="526" t="s">
        <v>410</v>
      </c>
      <c r="U11" s="370"/>
      <c r="V11" s="138" t="s">
        <v>414</v>
      </c>
    </row>
    <row r="12" spans="1:27" x14ac:dyDescent="0.2">
      <c r="A12" s="391"/>
      <c r="B12" s="49"/>
      <c r="C12" s="553"/>
      <c r="D12" s="392"/>
      <c r="E12" s="392"/>
      <c r="F12" s="554"/>
      <c r="G12" s="392"/>
      <c r="H12" s="527"/>
      <c r="I12" s="371"/>
      <c r="J12" s="371"/>
      <c r="K12" s="392"/>
      <c r="L12" s="385"/>
      <c r="M12" s="393"/>
      <c r="N12" s="540"/>
      <c r="O12" s="392"/>
      <c r="P12" s="527"/>
      <c r="Q12" s="371"/>
      <c r="R12" s="371"/>
      <c r="S12" s="371"/>
      <c r="T12" s="528"/>
      <c r="U12" s="396"/>
      <c r="V12" s="208"/>
    </row>
    <row r="13" spans="1:27" x14ac:dyDescent="0.2">
      <c r="A13" s="35" t="s">
        <v>0</v>
      </c>
      <c r="B13" s="545" t="s">
        <v>3</v>
      </c>
      <c r="C13" s="172">
        <f>+C37</f>
        <v>419583100</v>
      </c>
      <c r="D13" s="172">
        <f t="shared" ref="D13:E13" si="1">+D37</f>
        <v>419631100</v>
      </c>
      <c r="E13" s="172">
        <f t="shared" si="1"/>
        <v>0</v>
      </c>
      <c r="F13" s="172">
        <f t="shared" ref="F13:J13" si="2">+F37</f>
        <v>0</v>
      </c>
      <c r="G13" s="537"/>
      <c r="H13" s="172">
        <f t="shared" si="2"/>
        <v>196211923</v>
      </c>
      <c r="I13" s="172">
        <f t="shared" si="2"/>
        <v>0</v>
      </c>
      <c r="J13" s="172">
        <f t="shared" si="2"/>
        <v>0</v>
      </c>
      <c r="K13" s="172"/>
      <c r="L13" s="36">
        <f t="shared" ref="L13:N19" si="3">H13/D13</f>
        <v>0.46758193804034065</v>
      </c>
      <c r="M13" s="36" t="e">
        <f t="shared" si="3"/>
        <v>#DIV/0!</v>
      </c>
      <c r="N13" s="36" t="e">
        <f t="shared" si="3"/>
        <v>#DIV/0!</v>
      </c>
      <c r="O13" s="537"/>
      <c r="P13" s="187">
        <f t="shared" ref="P13:R21" si="4">+(D13-C13)*P$8</f>
        <v>48000</v>
      </c>
      <c r="Q13" s="187">
        <f t="shared" si="4"/>
        <v>-419631100</v>
      </c>
      <c r="R13" s="187">
        <f t="shared" si="4"/>
        <v>0</v>
      </c>
      <c r="S13" s="187">
        <f t="shared" ref="S13:S21" si="5">SUM(P13:R13)</f>
        <v>-419583100</v>
      </c>
      <c r="T13" s="188">
        <f t="shared" ref="T13:T24" si="6">IF(C13=0,0,+S13/C13)</f>
        <v>-1</v>
      </c>
      <c r="U13" s="516"/>
      <c r="V13" s="263">
        <f t="shared" ref="V13:V24" si="7">+S13-E13+C13</f>
        <v>0</v>
      </c>
    </row>
    <row r="14" spans="1:27" ht="15" customHeight="1" x14ac:dyDescent="0.2">
      <c r="A14" s="35" t="s">
        <v>26</v>
      </c>
      <c r="B14" s="545" t="s">
        <v>461</v>
      </c>
      <c r="C14" s="172">
        <f>+C49</f>
        <v>83972000</v>
      </c>
      <c r="D14" s="172">
        <f t="shared" ref="D14:E14" si="8">+D49</f>
        <v>83972000</v>
      </c>
      <c r="E14" s="172">
        <f t="shared" si="8"/>
        <v>0</v>
      </c>
      <c r="F14" s="172">
        <f t="shared" ref="F14:J14" si="9">+F49</f>
        <v>0</v>
      </c>
      <c r="G14" s="537"/>
      <c r="H14" s="172">
        <f t="shared" si="9"/>
        <v>45860944</v>
      </c>
      <c r="I14" s="172">
        <f t="shared" si="9"/>
        <v>0</v>
      </c>
      <c r="J14" s="172">
        <f t="shared" si="9"/>
        <v>0</v>
      </c>
      <c r="K14" s="172"/>
      <c r="L14" s="36">
        <f t="shared" si="3"/>
        <v>0.54614566760348693</v>
      </c>
      <c r="M14" s="36" t="e">
        <f t="shared" si="3"/>
        <v>#DIV/0!</v>
      </c>
      <c r="N14" s="36" t="e">
        <f t="shared" si="3"/>
        <v>#DIV/0!</v>
      </c>
      <c r="O14" s="537"/>
      <c r="P14" s="187">
        <f t="shared" si="4"/>
        <v>0</v>
      </c>
      <c r="Q14" s="187">
        <f t="shared" si="4"/>
        <v>-83972000</v>
      </c>
      <c r="R14" s="187">
        <f t="shared" si="4"/>
        <v>0</v>
      </c>
      <c r="S14" s="187">
        <f t="shared" si="5"/>
        <v>-83972000</v>
      </c>
      <c r="T14" s="188">
        <f t="shared" si="6"/>
        <v>-1</v>
      </c>
      <c r="U14" s="516"/>
      <c r="V14" s="263">
        <f t="shared" si="7"/>
        <v>0</v>
      </c>
    </row>
    <row r="15" spans="1:27" x14ac:dyDescent="0.2">
      <c r="A15" s="35" t="s">
        <v>29</v>
      </c>
      <c r="B15" s="545" t="s">
        <v>30</v>
      </c>
      <c r="C15" s="172">
        <f>+C61</f>
        <v>235214999</v>
      </c>
      <c r="D15" s="403">
        <f t="shared" ref="D15:E15" si="10">+D61</f>
        <v>280010999</v>
      </c>
      <c r="E15" s="172">
        <f t="shared" si="10"/>
        <v>0</v>
      </c>
      <c r="F15" s="172">
        <f t="shared" ref="F15:J15" si="11">+F61</f>
        <v>0</v>
      </c>
      <c r="G15" s="537"/>
      <c r="H15" s="403">
        <f t="shared" si="11"/>
        <v>151106445</v>
      </c>
      <c r="I15" s="403">
        <f t="shared" si="11"/>
        <v>0</v>
      </c>
      <c r="J15" s="172">
        <f t="shared" si="11"/>
        <v>0</v>
      </c>
      <c r="K15" s="172"/>
      <c r="L15" s="36">
        <f t="shared" si="3"/>
        <v>0.53964467660072168</v>
      </c>
      <c r="M15" s="36" t="e">
        <f t="shared" si="3"/>
        <v>#DIV/0!</v>
      </c>
      <c r="N15" s="36" t="e">
        <f t="shared" si="3"/>
        <v>#DIV/0!</v>
      </c>
      <c r="O15" s="537"/>
      <c r="P15" s="187">
        <f t="shared" si="4"/>
        <v>44796000</v>
      </c>
      <c r="Q15" s="187">
        <f t="shared" si="4"/>
        <v>-280010999</v>
      </c>
      <c r="R15" s="187">
        <f t="shared" si="4"/>
        <v>0</v>
      </c>
      <c r="S15" s="187">
        <f t="shared" si="5"/>
        <v>-235214999</v>
      </c>
      <c r="T15" s="188">
        <f t="shared" si="6"/>
        <v>-1</v>
      </c>
      <c r="U15" s="516"/>
      <c r="V15" s="263">
        <f t="shared" si="7"/>
        <v>0</v>
      </c>
    </row>
    <row r="16" spans="1:27" x14ac:dyDescent="0.2">
      <c r="A16" s="35" t="s">
        <v>111</v>
      </c>
      <c r="B16" s="545" t="s">
        <v>112</v>
      </c>
      <c r="C16" s="172">
        <f>+C73</f>
        <v>19500000</v>
      </c>
      <c r="D16" s="172">
        <f t="shared" ref="D16:E16" si="12">+D73</f>
        <v>20000000</v>
      </c>
      <c r="E16" s="172">
        <f t="shared" si="12"/>
        <v>0</v>
      </c>
      <c r="F16" s="172">
        <f t="shared" ref="F16:J16" si="13">+F73</f>
        <v>0</v>
      </c>
      <c r="G16" s="537"/>
      <c r="H16" s="172">
        <f t="shared" si="13"/>
        <v>8657425</v>
      </c>
      <c r="I16" s="172">
        <f t="shared" si="13"/>
        <v>0</v>
      </c>
      <c r="J16" s="172">
        <f t="shared" si="13"/>
        <v>0</v>
      </c>
      <c r="K16" s="172"/>
      <c r="L16" s="36">
        <f t="shared" si="3"/>
        <v>0.43287124999999999</v>
      </c>
      <c r="M16" s="36" t="e">
        <f t="shared" si="3"/>
        <v>#DIV/0!</v>
      </c>
      <c r="N16" s="36" t="e">
        <f t="shared" si="3"/>
        <v>#DIV/0!</v>
      </c>
      <c r="O16" s="537"/>
      <c r="P16" s="187">
        <f t="shared" si="4"/>
        <v>500000</v>
      </c>
      <c r="Q16" s="187">
        <f t="shared" si="4"/>
        <v>-20000000</v>
      </c>
      <c r="R16" s="187">
        <f t="shared" si="4"/>
        <v>0</v>
      </c>
      <c r="S16" s="187">
        <f t="shared" si="5"/>
        <v>-19500000</v>
      </c>
      <c r="T16" s="188">
        <f t="shared" si="6"/>
        <v>-1</v>
      </c>
      <c r="U16" s="516"/>
      <c r="V16" s="263">
        <f t="shared" si="7"/>
        <v>0</v>
      </c>
    </row>
    <row r="17" spans="1:22" x14ac:dyDescent="0.2">
      <c r="A17" s="35" t="s">
        <v>376</v>
      </c>
      <c r="B17" s="545" t="s">
        <v>141</v>
      </c>
      <c r="C17" s="172">
        <f>+C85</f>
        <v>174456925</v>
      </c>
      <c r="D17" s="172">
        <f t="shared" ref="D17:E17" si="14">+D85</f>
        <v>144494000</v>
      </c>
      <c r="E17" s="172">
        <f t="shared" si="14"/>
        <v>0</v>
      </c>
      <c r="F17" s="172">
        <f t="shared" ref="F17:J17" si="15">+F85</f>
        <v>0</v>
      </c>
      <c r="G17" s="537"/>
      <c r="H17" s="172">
        <f t="shared" si="15"/>
        <v>97482764</v>
      </c>
      <c r="I17" s="172">
        <f t="shared" si="15"/>
        <v>0</v>
      </c>
      <c r="J17" s="172">
        <f t="shared" si="15"/>
        <v>0</v>
      </c>
      <c r="K17" s="172"/>
      <c r="L17" s="36">
        <f t="shared" si="3"/>
        <v>0.6746492172685371</v>
      </c>
      <c r="M17" s="36" t="e">
        <f t="shared" si="3"/>
        <v>#DIV/0!</v>
      </c>
      <c r="N17" s="36" t="e">
        <f t="shared" si="3"/>
        <v>#DIV/0!</v>
      </c>
      <c r="O17" s="537"/>
      <c r="P17" s="187">
        <f t="shared" si="4"/>
        <v>-29962925</v>
      </c>
      <c r="Q17" s="187">
        <f t="shared" si="4"/>
        <v>-144494000</v>
      </c>
      <c r="R17" s="187">
        <f t="shared" si="4"/>
        <v>0</v>
      </c>
      <c r="S17" s="187">
        <f t="shared" si="5"/>
        <v>-174456925</v>
      </c>
      <c r="T17" s="188">
        <f t="shared" si="6"/>
        <v>-1</v>
      </c>
      <c r="U17" s="516"/>
      <c r="V17" s="263">
        <f t="shared" si="7"/>
        <v>0</v>
      </c>
    </row>
    <row r="18" spans="1:22" x14ac:dyDescent="0.2">
      <c r="A18" s="35" t="s">
        <v>158</v>
      </c>
      <c r="B18" s="545" t="s">
        <v>159</v>
      </c>
      <c r="C18" s="172">
        <f>+C97</f>
        <v>215110900</v>
      </c>
      <c r="D18" s="172">
        <f t="shared" ref="D18:E18" si="16">+D97</f>
        <v>428699652</v>
      </c>
      <c r="E18" s="172">
        <f t="shared" si="16"/>
        <v>0</v>
      </c>
      <c r="F18" s="172">
        <f t="shared" ref="F18:J18" si="17">+F97</f>
        <v>0</v>
      </c>
      <c r="G18" s="537"/>
      <c r="H18" s="172">
        <f t="shared" si="17"/>
        <v>8380363</v>
      </c>
      <c r="I18" s="172">
        <f t="shared" si="17"/>
        <v>0</v>
      </c>
      <c r="J18" s="172">
        <f t="shared" si="17"/>
        <v>0</v>
      </c>
      <c r="K18" s="172"/>
      <c r="L18" s="36">
        <f t="shared" si="3"/>
        <v>1.954833170706656E-2</v>
      </c>
      <c r="M18" s="36" t="e">
        <f t="shared" si="3"/>
        <v>#DIV/0!</v>
      </c>
      <c r="N18" s="36" t="e">
        <f t="shared" si="3"/>
        <v>#DIV/0!</v>
      </c>
      <c r="O18" s="537"/>
      <c r="P18" s="187">
        <f t="shared" si="4"/>
        <v>213588752</v>
      </c>
      <c r="Q18" s="187">
        <f t="shared" si="4"/>
        <v>-428699652</v>
      </c>
      <c r="R18" s="187">
        <f t="shared" si="4"/>
        <v>0</v>
      </c>
      <c r="S18" s="187">
        <f t="shared" si="5"/>
        <v>-215110900</v>
      </c>
      <c r="T18" s="188">
        <f t="shared" si="6"/>
        <v>-1</v>
      </c>
      <c r="U18" s="516"/>
      <c r="V18" s="263">
        <f t="shared" si="7"/>
        <v>0</v>
      </c>
    </row>
    <row r="19" spans="1:22" x14ac:dyDescent="0.2">
      <c r="A19" s="35" t="s">
        <v>173</v>
      </c>
      <c r="B19" s="545" t="s">
        <v>174</v>
      </c>
      <c r="C19" s="172">
        <f>+C109</f>
        <v>108480000</v>
      </c>
      <c r="D19" s="172">
        <f t="shared" ref="D19:E19" si="18">+D109</f>
        <v>296686866</v>
      </c>
      <c r="E19" s="172">
        <f t="shared" si="18"/>
        <v>0</v>
      </c>
      <c r="F19" s="172">
        <f t="shared" ref="F19:J19" si="19">+F109</f>
        <v>0</v>
      </c>
      <c r="G19" s="537"/>
      <c r="H19" s="172">
        <f t="shared" si="19"/>
        <v>3723918</v>
      </c>
      <c r="I19" s="172">
        <f t="shared" si="19"/>
        <v>0</v>
      </c>
      <c r="J19" s="172">
        <f t="shared" si="19"/>
        <v>0</v>
      </c>
      <c r="K19" s="172"/>
      <c r="L19" s="36">
        <f t="shared" si="3"/>
        <v>1.2551677970132995E-2</v>
      </c>
      <c r="M19" s="36" t="e">
        <f t="shared" si="3"/>
        <v>#DIV/0!</v>
      </c>
      <c r="N19" s="36" t="e">
        <f t="shared" si="3"/>
        <v>#DIV/0!</v>
      </c>
      <c r="O19" s="537"/>
      <c r="P19" s="187">
        <f t="shared" si="4"/>
        <v>188206866</v>
      </c>
      <c r="Q19" s="187">
        <f t="shared" si="4"/>
        <v>-296686866</v>
      </c>
      <c r="R19" s="187">
        <f t="shared" si="4"/>
        <v>0</v>
      </c>
      <c r="S19" s="187">
        <f t="shared" si="5"/>
        <v>-108480000</v>
      </c>
      <c r="T19" s="188">
        <f t="shared" si="6"/>
        <v>-1</v>
      </c>
      <c r="U19" s="516"/>
      <c r="V19" s="263">
        <f t="shared" si="7"/>
        <v>0</v>
      </c>
    </row>
    <row r="20" spans="1:22" x14ac:dyDescent="0.2">
      <c r="A20" s="35" t="s">
        <v>183</v>
      </c>
      <c r="B20" s="545" t="s">
        <v>184</v>
      </c>
      <c r="C20" s="172">
        <f>+C121</f>
        <v>0</v>
      </c>
      <c r="D20" s="172">
        <f t="shared" ref="D20:E20" si="20">+D121</f>
        <v>0</v>
      </c>
      <c r="E20" s="172">
        <f t="shared" si="20"/>
        <v>0</v>
      </c>
      <c r="F20" s="172">
        <f t="shared" ref="F20:J20" si="21">+F121</f>
        <v>0</v>
      </c>
      <c r="G20" s="537"/>
      <c r="H20" s="172">
        <f t="shared" si="21"/>
        <v>0</v>
      </c>
      <c r="I20" s="172">
        <f t="shared" si="21"/>
        <v>0</v>
      </c>
      <c r="J20" s="172">
        <f t="shared" si="21"/>
        <v>0</v>
      </c>
      <c r="K20" s="172"/>
      <c r="L20" s="36">
        <v>0</v>
      </c>
      <c r="M20" s="36">
        <v>0</v>
      </c>
      <c r="N20" s="36">
        <v>0</v>
      </c>
      <c r="O20" s="537"/>
      <c r="P20" s="187">
        <f t="shared" si="4"/>
        <v>0</v>
      </c>
      <c r="Q20" s="187">
        <f t="shared" si="4"/>
        <v>0</v>
      </c>
      <c r="R20" s="187">
        <f t="shared" si="4"/>
        <v>0</v>
      </c>
      <c r="S20" s="187">
        <f t="shared" si="5"/>
        <v>0</v>
      </c>
      <c r="T20" s="188">
        <f t="shared" si="6"/>
        <v>0</v>
      </c>
      <c r="U20" s="516"/>
      <c r="V20" s="263">
        <f t="shared" si="7"/>
        <v>0</v>
      </c>
    </row>
    <row r="21" spans="1:22" x14ac:dyDescent="0.2">
      <c r="A21" s="35" t="s">
        <v>201</v>
      </c>
      <c r="B21" s="545" t="s">
        <v>202</v>
      </c>
      <c r="C21" s="172">
        <f>+C133</f>
        <v>454166162</v>
      </c>
      <c r="D21" s="172">
        <f t="shared" ref="D21:E21" si="22">+D133</f>
        <v>474740182</v>
      </c>
      <c r="E21" s="172">
        <f t="shared" si="22"/>
        <v>0</v>
      </c>
      <c r="F21" s="172">
        <f t="shared" ref="F21:J21" si="23">+F133</f>
        <v>0</v>
      </c>
      <c r="G21" s="537"/>
      <c r="H21" s="172">
        <f t="shared" si="23"/>
        <v>254833995</v>
      </c>
      <c r="I21" s="172">
        <f t="shared" si="23"/>
        <v>0</v>
      </c>
      <c r="J21" s="172">
        <f t="shared" si="23"/>
        <v>0</v>
      </c>
      <c r="K21" s="172"/>
      <c r="L21" s="36">
        <f>+H21/D21</f>
        <v>0.53678623521275892</v>
      </c>
      <c r="M21" s="36" t="e">
        <f>+I21/E21</f>
        <v>#DIV/0!</v>
      </c>
      <c r="N21" s="36" t="e">
        <f>+J21/F21</f>
        <v>#DIV/0!</v>
      </c>
      <c r="O21" s="537"/>
      <c r="P21" s="187">
        <f t="shared" si="4"/>
        <v>20574020</v>
      </c>
      <c r="Q21" s="187">
        <f t="shared" si="4"/>
        <v>-474740182</v>
      </c>
      <c r="R21" s="187">
        <f t="shared" si="4"/>
        <v>0</v>
      </c>
      <c r="S21" s="187">
        <f t="shared" si="5"/>
        <v>-454166162</v>
      </c>
      <c r="T21" s="188">
        <f t="shared" si="6"/>
        <v>-1</v>
      </c>
      <c r="U21" s="516"/>
      <c r="V21" s="263">
        <f t="shared" si="7"/>
        <v>0</v>
      </c>
    </row>
    <row r="22" spans="1:22" x14ac:dyDescent="0.2">
      <c r="A22" s="35"/>
      <c r="B22" s="545" t="s">
        <v>454</v>
      </c>
      <c r="C22" s="172">
        <f>-C145</f>
        <v>-454166162</v>
      </c>
      <c r="D22" s="172">
        <f t="shared" ref="D22:J22" si="24">-D145</f>
        <v>-457619162</v>
      </c>
      <c r="E22" s="172">
        <f t="shared" si="24"/>
        <v>0</v>
      </c>
      <c r="F22" s="172">
        <f t="shared" si="24"/>
        <v>0</v>
      </c>
      <c r="G22" s="537"/>
      <c r="H22" s="172">
        <f t="shared" si="24"/>
        <v>-237712975</v>
      </c>
      <c r="I22" s="172">
        <f t="shared" si="24"/>
        <v>0</v>
      </c>
      <c r="J22" s="172">
        <f t="shared" si="24"/>
        <v>0</v>
      </c>
      <c r="K22" s="172"/>
      <c r="L22" s="36"/>
      <c r="M22" s="36"/>
      <c r="N22" s="36"/>
      <c r="O22" s="537"/>
      <c r="P22" s="172">
        <f t="shared" ref="P22:S22" si="25">-P145</f>
        <v>-3453000</v>
      </c>
      <c r="Q22" s="172">
        <f t="shared" si="25"/>
        <v>457619162</v>
      </c>
      <c r="R22" s="172">
        <f t="shared" si="25"/>
        <v>0</v>
      </c>
      <c r="S22" s="172">
        <f t="shared" si="25"/>
        <v>454166162</v>
      </c>
      <c r="T22" s="188">
        <f t="shared" si="6"/>
        <v>-1</v>
      </c>
      <c r="U22" s="516"/>
      <c r="V22" s="263">
        <f t="shared" si="7"/>
        <v>0</v>
      </c>
    </row>
    <row r="23" spans="1:22" x14ac:dyDescent="0.2">
      <c r="A23" s="12"/>
      <c r="B23" s="546" t="s">
        <v>378</v>
      </c>
      <c r="C23" s="176">
        <f>SUM(C13:C22)</f>
        <v>1256317924</v>
      </c>
      <c r="D23" s="176">
        <f t="shared" ref="D23:F23" si="26">SUM(D13:D22)</f>
        <v>1690615637</v>
      </c>
      <c r="E23" s="176">
        <f t="shared" si="26"/>
        <v>0</v>
      </c>
      <c r="F23" s="176">
        <f t="shared" si="26"/>
        <v>0</v>
      </c>
      <c r="G23" s="538"/>
      <c r="H23" s="176">
        <f t="shared" ref="H23" si="27">SUM(H13:H22)</f>
        <v>528544802</v>
      </c>
      <c r="I23" s="176">
        <f t="shared" ref="I23" si="28">SUM(I13:I22)</f>
        <v>0</v>
      </c>
      <c r="J23" s="176">
        <f t="shared" ref="J23" si="29">SUM(J13:J22)</f>
        <v>0</v>
      </c>
      <c r="K23" s="176"/>
      <c r="L23" s="34">
        <f>H23/D23</f>
        <v>0.31263451634571626</v>
      </c>
      <c r="M23" s="34" t="e">
        <f>I23/E23</f>
        <v>#DIV/0!</v>
      </c>
      <c r="N23" s="34" t="e">
        <f>J23/F23</f>
        <v>#DIV/0!</v>
      </c>
      <c r="O23" s="538"/>
      <c r="P23" s="176">
        <f>SUM(P13:P22)</f>
        <v>434297713</v>
      </c>
      <c r="Q23" s="176">
        <f>SUM(Q13:Q22)</f>
        <v>-1690615637</v>
      </c>
      <c r="R23" s="176">
        <f t="shared" ref="R23:S23" si="30">SUM(R13:R22)</f>
        <v>0</v>
      </c>
      <c r="S23" s="176">
        <f t="shared" si="30"/>
        <v>-1256317924</v>
      </c>
      <c r="T23" s="188">
        <f t="shared" si="6"/>
        <v>-1</v>
      </c>
      <c r="U23" s="517"/>
      <c r="V23" s="263">
        <f t="shared" si="7"/>
        <v>0</v>
      </c>
    </row>
    <row r="24" spans="1:22" x14ac:dyDescent="0.2">
      <c r="A24" s="35"/>
      <c r="B24" s="547" t="s">
        <v>414</v>
      </c>
      <c r="C24" s="190"/>
      <c r="D24" s="190"/>
      <c r="E24" s="190"/>
      <c r="F24" s="190"/>
      <c r="G24" s="539"/>
      <c r="H24" s="190"/>
      <c r="I24" s="190"/>
      <c r="J24" s="190"/>
      <c r="K24" s="190"/>
      <c r="L24" s="397"/>
      <c r="M24" s="397"/>
      <c r="N24" s="397"/>
      <c r="O24" s="539"/>
      <c r="P24" s="190"/>
      <c r="Q24" s="190"/>
      <c r="R24" s="190"/>
      <c r="S24" s="190"/>
      <c r="T24" s="188">
        <f t="shared" si="6"/>
        <v>0</v>
      </c>
      <c r="U24" s="518"/>
      <c r="V24" s="263">
        <f t="shared" si="7"/>
        <v>0</v>
      </c>
    </row>
    <row r="25" spans="1:22" x14ac:dyDescent="0.2">
      <c r="C25" s="529"/>
      <c r="D25" s="76"/>
      <c r="E25" s="76"/>
      <c r="F25" s="555"/>
      <c r="G25" s="76"/>
      <c r="H25" s="529"/>
      <c r="K25" s="76"/>
      <c r="L25" s="93"/>
      <c r="M25" s="93"/>
      <c r="N25" s="530"/>
      <c r="O25" s="76"/>
      <c r="P25" s="529"/>
      <c r="Q25" s="75"/>
      <c r="R25" s="75"/>
      <c r="S25" s="75"/>
      <c r="T25" s="530"/>
      <c r="U25" s="76"/>
    </row>
    <row r="26" spans="1:22" x14ac:dyDescent="0.2">
      <c r="C26" s="529"/>
      <c r="D26" s="76"/>
      <c r="E26" s="76"/>
      <c r="F26" s="555"/>
      <c r="G26" s="76"/>
      <c r="H26" s="529"/>
      <c r="K26" s="76"/>
      <c r="L26" s="93"/>
      <c r="M26" s="93"/>
      <c r="N26" s="530"/>
      <c r="O26" s="76"/>
      <c r="P26" s="529"/>
      <c r="Q26" s="75"/>
      <c r="R26" s="75"/>
      <c r="S26" s="75"/>
      <c r="T26" s="530"/>
      <c r="U26" s="76"/>
    </row>
    <row r="27" spans="1:22" x14ac:dyDescent="0.2">
      <c r="C27" s="529"/>
      <c r="D27" s="76"/>
      <c r="E27" s="76"/>
      <c r="F27" s="555"/>
      <c r="G27" s="76"/>
      <c r="H27" s="529"/>
      <c r="K27" s="76"/>
      <c r="L27" s="93"/>
      <c r="M27" s="93"/>
      <c r="N27" s="530"/>
      <c r="O27" s="76"/>
      <c r="P27" s="529"/>
      <c r="Q27" s="75"/>
      <c r="R27" s="75"/>
      <c r="S27" s="75"/>
      <c r="T27" s="530"/>
      <c r="U27" s="76"/>
    </row>
    <row r="28" spans="1:22" x14ac:dyDescent="0.2">
      <c r="A28" s="346" t="s">
        <v>0</v>
      </c>
      <c r="B28" s="346" t="str">
        <f>+'3. Önk. Kiadások'!B13</f>
        <v>Személyi juttatások</v>
      </c>
      <c r="C28" s="529"/>
      <c r="D28" s="76"/>
      <c r="E28" s="76"/>
      <c r="F28" s="555"/>
      <c r="G28" s="76"/>
      <c r="H28" s="529"/>
      <c r="K28" s="76"/>
      <c r="L28" s="93"/>
      <c r="M28" s="93"/>
      <c r="N28" s="530"/>
      <c r="O28" s="76"/>
      <c r="P28" s="529"/>
      <c r="Q28" s="75"/>
      <c r="R28" s="75"/>
      <c r="S28" s="75"/>
      <c r="T28" s="530"/>
      <c r="U28" s="76"/>
    </row>
    <row r="29" spans="1:22" x14ac:dyDescent="0.2">
      <c r="B29" s="22" t="str">
        <f>+'3. Önk. Kiadások'!A1</f>
        <v>Sülysáp Város Önkormányzat</v>
      </c>
      <c r="C29" s="529">
        <f>+'3. Önk. Kiadások'!C13</f>
        <v>107902000</v>
      </c>
      <c r="D29" s="75">
        <f>+'3. Önk. Kiadások'!D13</f>
        <v>107902000</v>
      </c>
      <c r="E29" s="75">
        <f>+'3. Önk. Kiadások'!E13</f>
        <v>0</v>
      </c>
      <c r="F29" s="489">
        <f>+'3. Önk. Kiadások'!F13</f>
        <v>0</v>
      </c>
      <c r="G29" s="75">
        <f>+'3. Önk. Kiadások'!G13</f>
        <v>0</v>
      </c>
      <c r="H29" s="529">
        <f>+'3. Önk. Kiadások'!H13</f>
        <v>50677066</v>
      </c>
      <c r="I29" s="75">
        <f>+'3. Önk. Kiadások'!I13</f>
        <v>0</v>
      </c>
      <c r="J29" s="75">
        <f>+'3. Önk. Kiadások'!J13</f>
        <v>0</v>
      </c>
      <c r="K29" s="75"/>
      <c r="L29" s="75"/>
      <c r="M29" s="75"/>
      <c r="N29" s="489"/>
      <c r="O29" s="75"/>
      <c r="P29" s="529">
        <f>+'3. Önk. Kiadások'!P13</f>
        <v>0</v>
      </c>
      <c r="Q29" s="75">
        <f>+'3. Önk. Kiadások'!Q13</f>
        <v>0</v>
      </c>
      <c r="R29" s="75">
        <f>+'3. Önk. Kiadások'!R13</f>
        <v>0</v>
      </c>
      <c r="S29" s="75">
        <f>+'3. Önk. Kiadások'!S13</f>
        <v>0</v>
      </c>
      <c r="T29" s="530"/>
      <c r="U29" s="76"/>
    </row>
    <row r="30" spans="1:22" x14ac:dyDescent="0.2">
      <c r="B30" s="58" t="s">
        <v>462</v>
      </c>
      <c r="C30" s="529">
        <f>+'4. Dr Gáspár HSZK'!C13</f>
        <v>21347000</v>
      </c>
      <c r="D30" s="75">
        <f>+'4. Dr Gáspár HSZK'!D13</f>
        <v>21347000</v>
      </c>
      <c r="E30" s="75">
        <f>+'4. Dr Gáspár HSZK'!E13</f>
        <v>0</v>
      </c>
      <c r="F30" s="489">
        <f>+'4. Dr Gáspár HSZK'!F13</f>
        <v>0</v>
      </c>
      <c r="G30" s="75"/>
      <c r="H30" s="529">
        <f>+'4. Dr Gáspár HSZK'!H13</f>
        <v>9693006</v>
      </c>
      <c r="I30" s="75">
        <f>+'4. Dr Gáspár HSZK'!I13</f>
        <v>0</v>
      </c>
      <c r="J30" s="75">
        <f>+'4. Dr Gáspár HSZK'!J13</f>
        <v>0</v>
      </c>
      <c r="K30" s="75"/>
      <c r="L30" s="75"/>
      <c r="M30" s="75"/>
      <c r="N30" s="489"/>
      <c r="O30" s="75"/>
      <c r="P30" s="529">
        <f>+'4. Dr Gáspár HSZK'!P13</f>
        <v>0</v>
      </c>
      <c r="Q30" s="75">
        <f>+'4. Dr Gáspár HSZK'!Q13</f>
        <v>-21347000</v>
      </c>
      <c r="R30" s="75">
        <f>+'4. Dr Gáspár HSZK'!R13</f>
        <v>0</v>
      </c>
      <c r="S30" s="75">
        <f>+'4. Dr Gáspár HSZK'!S13</f>
        <v>-21347000</v>
      </c>
      <c r="T30" s="530"/>
      <c r="U30" s="76"/>
    </row>
    <row r="31" spans="1:22" x14ac:dyDescent="0.2">
      <c r="B31" s="58" t="s">
        <v>469</v>
      </c>
      <c r="C31" s="529">
        <f>+'5. Csicsergő'!C13</f>
        <v>133266100</v>
      </c>
      <c r="D31" s="75">
        <f>+'5. Csicsergő'!D13</f>
        <v>133266100</v>
      </c>
      <c r="E31" s="75">
        <f>+'5. Csicsergő'!E13</f>
        <v>0</v>
      </c>
      <c r="F31" s="489">
        <f>+'5. Csicsergő'!F13</f>
        <v>0</v>
      </c>
      <c r="G31" s="75"/>
      <c r="H31" s="529">
        <f>+'5. Csicsergő'!H13</f>
        <v>64161938</v>
      </c>
      <c r="I31" s="75">
        <f>+'5. Csicsergő'!I13</f>
        <v>0</v>
      </c>
      <c r="J31" s="75">
        <f>+'5. Csicsergő'!J13</f>
        <v>0</v>
      </c>
      <c r="K31" s="75"/>
      <c r="L31" s="75"/>
      <c r="M31" s="75"/>
      <c r="N31" s="489"/>
      <c r="O31" s="75"/>
      <c r="P31" s="529">
        <f>+'5. Csicsergő'!P13</f>
        <v>0</v>
      </c>
      <c r="Q31" s="75">
        <f>+'5. Csicsergő'!Q13</f>
        <v>-133266100</v>
      </c>
      <c r="R31" s="75">
        <f>+'5. Csicsergő'!R13</f>
        <v>0</v>
      </c>
      <c r="S31" s="75">
        <f>+'5. Csicsergő'!S13</f>
        <v>-133266100</v>
      </c>
      <c r="T31" s="530"/>
      <c r="U31" s="76"/>
    </row>
    <row r="32" spans="1:22" x14ac:dyDescent="0.2">
      <c r="B32" s="58" t="s">
        <v>470</v>
      </c>
      <c r="C32" s="529">
        <f>+'6. Gólyahír'!C13</f>
        <v>36545000</v>
      </c>
      <c r="D32" s="75">
        <f>+'6. Gólyahír'!D13</f>
        <v>36593000</v>
      </c>
      <c r="E32" s="75">
        <f>+'6. Gólyahír'!E13</f>
        <v>0</v>
      </c>
      <c r="F32" s="489">
        <f>+'6. Gólyahír'!F13</f>
        <v>0</v>
      </c>
      <c r="G32" s="75"/>
      <c r="H32" s="529">
        <f>+'6. Gólyahír'!H13</f>
        <v>17008819</v>
      </c>
      <c r="I32" s="75">
        <f>+'6. Gólyahír'!I13</f>
        <v>0</v>
      </c>
      <c r="J32" s="75">
        <f>+'6. Gólyahír'!J13</f>
        <v>0</v>
      </c>
      <c r="K32" s="75"/>
      <c r="L32" s="75"/>
      <c r="M32" s="75"/>
      <c r="N32" s="489"/>
      <c r="O32" s="75"/>
      <c r="P32" s="529">
        <f>+'6. Gólyahír'!P13</f>
        <v>48000</v>
      </c>
      <c r="Q32" s="75">
        <f>+'6. Gólyahír'!Q13</f>
        <v>-36593000</v>
      </c>
      <c r="R32" s="75">
        <f>+'6. Gólyahír'!R13</f>
        <v>0</v>
      </c>
      <c r="S32" s="75">
        <f>+'6. Gólyahír'!S13</f>
        <v>-36545000</v>
      </c>
      <c r="T32" s="530"/>
      <c r="U32" s="76"/>
    </row>
    <row r="33" spans="1:21" x14ac:dyDescent="0.2">
      <c r="B33" s="344" t="s">
        <v>464</v>
      </c>
      <c r="C33" s="529">
        <f>+'7. Polg.Hiv.'!C13</f>
        <v>82838000</v>
      </c>
      <c r="D33" s="75">
        <f>+'7. Polg.Hiv.'!D13</f>
        <v>82838000</v>
      </c>
      <c r="E33" s="75">
        <f>+'7. Polg.Hiv.'!E13</f>
        <v>0</v>
      </c>
      <c r="F33" s="489">
        <f>+'7. Polg.Hiv.'!F13</f>
        <v>0</v>
      </c>
      <c r="G33" s="75"/>
      <c r="H33" s="529">
        <f>+'7. Polg.Hiv.'!H13</f>
        <v>36864685</v>
      </c>
      <c r="I33" s="75">
        <f>+'7. Polg.Hiv.'!I13</f>
        <v>0</v>
      </c>
      <c r="J33" s="75">
        <f>+'7. Polg.Hiv.'!J13</f>
        <v>0</v>
      </c>
      <c r="K33" s="75"/>
      <c r="L33" s="75"/>
      <c r="M33" s="75"/>
      <c r="N33" s="489"/>
      <c r="O33" s="75"/>
      <c r="P33" s="529">
        <f>+'7. Polg.Hiv.'!P13</f>
        <v>0</v>
      </c>
      <c r="Q33" s="75">
        <f>+'7. Polg.Hiv.'!Q13</f>
        <v>-82838000</v>
      </c>
      <c r="R33" s="75">
        <f>+'7. Polg.Hiv.'!R13</f>
        <v>0</v>
      </c>
      <c r="S33" s="75">
        <f>+'7. Polg.Hiv.'!S13</f>
        <v>-82838000</v>
      </c>
      <c r="T33" s="530"/>
      <c r="U33" s="76"/>
    </row>
    <row r="34" spans="1:21" x14ac:dyDescent="0.2">
      <c r="B34" s="75" t="s">
        <v>434</v>
      </c>
      <c r="C34" s="529">
        <f>+'8. WAMKK'!C13</f>
        <v>14060000</v>
      </c>
      <c r="D34" s="75">
        <f>+'8. WAMKK'!D13</f>
        <v>14060000</v>
      </c>
      <c r="E34" s="75">
        <f>+'8. WAMKK'!E13</f>
        <v>0</v>
      </c>
      <c r="F34" s="489">
        <f>+'8. WAMKK'!F13</f>
        <v>0</v>
      </c>
      <c r="G34" s="75"/>
      <c r="H34" s="529">
        <f>+'8. WAMKK'!H13</f>
        <v>6508406</v>
      </c>
      <c r="I34" s="75">
        <f>+'8. WAMKK'!I13</f>
        <v>0</v>
      </c>
      <c r="J34" s="75">
        <f>+'8. WAMKK'!J13</f>
        <v>0</v>
      </c>
      <c r="K34" s="75"/>
      <c r="L34" s="75"/>
      <c r="M34" s="75"/>
      <c r="N34" s="489"/>
      <c r="O34" s="75"/>
      <c r="P34" s="529">
        <f>+'8. WAMKK'!P13</f>
        <v>0</v>
      </c>
      <c r="Q34" s="75">
        <f>+'8. WAMKK'!Q13</f>
        <v>-14060000</v>
      </c>
      <c r="R34" s="75">
        <f>+'8. WAMKK'!R13</f>
        <v>0</v>
      </c>
      <c r="S34" s="75">
        <f>+'8. WAMKK'!S13</f>
        <v>-14060000</v>
      </c>
      <c r="T34" s="530"/>
      <c r="U34" s="76"/>
    </row>
    <row r="35" spans="1:21" x14ac:dyDescent="0.2">
      <c r="B35" s="75" t="s">
        <v>435</v>
      </c>
      <c r="C35" s="529">
        <f>+'9. Közp. Konyha'!C13</f>
        <v>23625000</v>
      </c>
      <c r="D35" s="75">
        <f>+'9. Közp. Konyha'!D13</f>
        <v>23625000</v>
      </c>
      <c r="E35" s="75">
        <f>+'9. Közp. Konyha'!E13</f>
        <v>0</v>
      </c>
      <c r="F35" s="489">
        <f>+'9. Közp. Konyha'!F13</f>
        <v>0</v>
      </c>
      <c r="G35" s="75"/>
      <c r="H35" s="529">
        <f>+'9. Közp. Konyha'!H13</f>
        <v>11298003</v>
      </c>
      <c r="I35" s="75">
        <f>+'9. Közp. Konyha'!I13</f>
        <v>0</v>
      </c>
      <c r="J35" s="75">
        <f>+'9. Közp. Konyha'!J13</f>
        <v>0</v>
      </c>
      <c r="K35" s="75"/>
      <c r="L35" s="75"/>
      <c r="M35" s="75"/>
      <c r="N35" s="489"/>
      <c r="O35" s="75"/>
      <c r="P35" s="529">
        <f>+'9. Közp. Konyha'!P13</f>
        <v>0</v>
      </c>
      <c r="Q35" s="75">
        <f>+'9. Közp. Konyha'!Q13</f>
        <v>-23625000</v>
      </c>
      <c r="R35" s="75">
        <f>+'9. Közp. Konyha'!R13</f>
        <v>0</v>
      </c>
      <c r="S35" s="75">
        <f>+'9. Közp. Konyha'!S13</f>
        <v>-23625000</v>
      </c>
      <c r="T35" s="530"/>
      <c r="U35" s="76"/>
    </row>
    <row r="36" spans="1:21" ht="8.1" customHeight="1" x14ac:dyDescent="0.2">
      <c r="B36" s="413" t="s">
        <v>459</v>
      </c>
      <c r="C36" s="531"/>
      <c r="D36" s="412"/>
      <c r="E36" s="412"/>
      <c r="F36" s="542"/>
      <c r="G36" s="412"/>
      <c r="H36" s="531"/>
      <c r="I36" s="412"/>
      <c r="J36" s="412"/>
      <c r="K36" s="412"/>
      <c r="L36" s="412"/>
      <c r="M36" s="412"/>
      <c r="N36" s="542"/>
      <c r="O36" s="412"/>
      <c r="P36" s="531"/>
      <c r="Q36" s="412"/>
      <c r="R36" s="412"/>
      <c r="S36" s="412"/>
      <c r="T36" s="530"/>
      <c r="U36" s="76"/>
    </row>
    <row r="37" spans="1:21" x14ac:dyDescent="0.2">
      <c r="A37" s="414" t="str">
        <f>+A28</f>
        <v>K1</v>
      </c>
      <c r="B37" s="394" t="s">
        <v>452</v>
      </c>
      <c r="C37" s="532">
        <f>SUM(C29:C36)</f>
        <v>419583100</v>
      </c>
      <c r="D37" s="395">
        <f t="shared" ref="D37:F37" si="31">SUM(D29:D36)</f>
        <v>419631100</v>
      </c>
      <c r="E37" s="395">
        <f t="shared" si="31"/>
        <v>0</v>
      </c>
      <c r="F37" s="543">
        <f t="shared" si="31"/>
        <v>0</v>
      </c>
      <c r="G37" s="395"/>
      <c r="H37" s="532">
        <f>SUM(H29:H36)</f>
        <v>196211923</v>
      </c>
      <c r="I37" s="395">
        <f t="shared" ref="I37:J37" si="32">SUM(I29:I36)</f>
        <v>0</v>
      </c>
      <c r="J37" s="395">
        <f t="shared" si="32"/>
        <v>0</v>
      </c>
      <c r="K37" s="395"/>
      <c r="L37" s="395"/>
      <c r="M37" s="395"/>
      <c r="N37" s="543"/>
      <c r="O37" s="395"/>
      <c r="P37" s="532">
        <f>SUM(P29:P36)</f>
        <v>48000</v>
      </c>
      <c r="Q37" s="395">
        <f t="shared" ref="Q37:S37" si="33">SUM(Q29:Q36)</f>
        <v>-311729100</v>
      </c>
      <c r="R37" s="395">
        <f t="shared" si="33"/>
        <v>0</v>
      </c>
      <c r="S37" s="395">
        <f t="shared" si="33"/>
        <v>-311681100</v>
      </c>
      <c r="T37" s="530"/>
      <c r="U37" s="76"/>
    </row>
    <row r="38" spans="1:21" x14ac:dyDescent="0.2">
      <c r="C38" s="529"/>
      <c r="D38" s="76"/>
      <c r="E38" s="76"/>
      <c r="F38" s="555"/>
      <c r="G38" s="76"/>
      <c r="H38" s="529"/>
      <c r="K38" s="76"/>
      <c r="L38" s="93"/>
      <c r="M38" s="93"/>
      <c r="N38" s="530"/>
      <c r="O38" s="76"/>
      <c r="P38" s="529"/>
      <c r="Q38" s="75"/>
      <c r="R38" s="75"/>
      <c r="S38" s="75"/>
      <c r="T38" s="530"/>
      <c r="U38" s="76"/>
    </row>
    <row r="39" spans="1:21" x14ac:dyDescent="0.2">
      <c r="C39" s="529"/>
      <c r="D39" s="76"/>
      <c r="E39" s="76"/>
      <c r="F39" s="555"/>
      <c r="G39" s="76"/>
      <c r="H39" s="529"/>
      <c r="K39" s="76"/>
      <c r="L39" s="93"/>
      <c r="M39" s="93"/>
      <c r="N39" s="530"/>
      <c r="O39" s="76"/>
      <c r="P39" s="529"/>
      <c r="Q39" s="75"/>
      <c r="R39" s="75"/>
      <c r="S39" s="75"/>
      <c r="T39" s="530"/>
      <c r="U39" s="76"/>
    </row>
    <row r="40" spans="1:21" x14ac:dyDescent="0.2">
      <c r="A40" s="346" t="s">
        <v>26</v>
      </c>
      <c r="B40" s="346" t="str">
        <f>+'3. Önk. Kiadások'!B29</f>
        <v>Munkaadót terhelő járulékok és szociális hozzájárulás</v>
      </c>
      <c r="C40" s="529"/>
      <c r="D40" s="76"/>
      <c r="E40" s="76"/>
      <c r="F40" s="555"/>
      <c r="G40" s="76"/>
      <c r="H40" s="529"/>
      <c r="K40" s="76"/>
      <c r="L40" s="93"/>
      <c r="M40" s="93"/>
      <c r="N40" s="530"/>
      <c r="O40" s="76"/>
      <c r="P40" s="529"/>
      <c r="Q40" s="75"/>
      <c r="R40" s="75"/>
      <c r="S40" s="75"/>
      <c r="T40" s="530"/>
      <c r="U40" s="76"/>
    </row>
    <row r="41" spans="1:21" x14ac:dyDescent="0.2">
      <c r="B41" s="58" t="str">
        <f t="shared" ref="B41:B47" si="34">+B29</f>
        <v>Sülysáp Város Önkormányzat</v>
      </c>
      <c r="C41" s="529">
        <f>+'3. Önk. Kiadások'!C29</f>
        <v>15219000</v>
      </c>
      <c r="D41" s="75">
        <f>+'3. Önk. Kiadások'!D29</f>
        <v>15219000</v>
      </c>
      <c r="E41" s="75">
        <f>+'3. Önk. Kiadások'!E29</f>
        <v>0</v>
      </c>
      <c r="F41" s="489">
        <f>+'3. Önk. Kiadások'!F29</f>
        <v>0</v>
      </c>
      <c r="G41" s="76"/>
      <c r="H41" s="529">
        <f>+'3. Önk. Kiadások'!H29</f>
        <v>8759313</v>
      </c>
      <c r="I41" s="75">
        <f>+'3. Önk. Kiadások'!I29</f>
        <v>0</v>
      </c>
      <c r="J41" s="75">
        <f>+'3. Önk. Kiadások'!J29</f>
        <v>0</v>
      </c>
      <c r="K41" s="76"/>
      <c r="L41" s="93"/>
      <c r="M41" s="93"/>
      <c r="N41" s="530"/>
      <c r="O41" s="76"/>
      <c r="P41" s="529">
        <f>+'3. Önk. Kiadások'!P29</f>
        <v>0</v>
      </c>
      <c r="Q41" s="75">
        <f>+'3. Önk. Kiadások'!Q29</f>
        <v>0</v>
      </c>
      <c r="R41" s="75">
        <f>+'3. Önk. Kiadások'!R29</f>
        <v>0</v>
      </c>
      <c r="S41" s="75">
        <f>+'3. Önk. Kiadások'!S29</f>
        <v>0</v>
      </c>
      <c r="T41" s="530"/>
      <c r="U41" s="76"/>
    </row>
    <row r="42" spans="1:21" x14ac:dyDescent="0.2">
      <c r="B42" s="58" t="str">
        <f t="shared" si="34"/>
        <v>Gondozási Központ</v>
      </c>
      <c r="C42" s="529">
        <f>+'4. Dr Gáspár HSZK'!C29</f>
        <v>4780000</v>
      </c>
      <c r="D42" s="75">
        <f>+'4. Dr Gáspár HSZK'!D29</f>
        <v>4780000</v>
      </c>
      <c r="E42" s="75">
        <f>+'4. Dr Gáspár HSZK'!E29</f>
        <v>0</v>
      </c>
      <c r="F42" s="489">
        <f>+'4. Dr Gáspár HSZK'!F29</f>
        <v>0</v>
      </c>
      <c r="G42" s="75"/>
      <c r="H42" s="529">
        <f>+'4. Dr Gáspár HSZK'!H29</f>
        <v>2484606</v>
      </c>
      <c r="I42" s="75">
        <f>+'4. Dr Gáspár HSZK'!I29</f>
        <v>0</v>
      </c>
      <c r="J42" s="75">
        <f>+'4. Dr Gáspár HSZK'!J29</f>
        <v>0</v>
      </c>
      <c r="K42" s="75"/>
      <c r="L42" s="75"/>
      <c r="M42" s="75"/>
      <c r="N42" s="489"/>
      <c r="O42" s="75"/>
      <c r="P42" s="529">
        <f>+'4. Dr Gáspár HSZK'!P29</f>
        <v>0</v>
      </c>
      <c r="Q42" s="75">
        <f>+'4. Dr Gáspár HSZK'!Q29</f>
        <v>-4780000</v>
      </c>
      <c r="R42" s="75">
        <f>+'4. Dr Gáspár HSZK'!R29</f>
        <v>0</v>
      </c>
      <c r="S42" s="75">
        <f>+'4. Dr Gáspár HSZK'!S29</f>
        <v>-4780000</v>
      </c>
      <c r="T42" s="530"/>
      <c r="U42" s="76"/>
    </row>
    <row r="43" spans="1:21" x14ac:dyDescent="0.2">
      <c r="B43" s="58" t="str">
        <f t="shared" si="34"/>
        <v>Csicsergő Napköziotthonos Óvoda</v>
      </c>
      <c r="C43" s="529">
        <f>+'5. Csicsergő'!C30</f>
        <v>28627000</v>
      </c>
      <c r="D43" s="75">
        <f>+'5. Csicsergő'!D30</f>
        <v>28627000</v>
      </c>
      <c r="E43" s="75">
        <f>+'5. Csicsergő'!E30</f>
        <v>0</v>
      </c>
      <c r="F43" s="489">
        <f>+'5. Csicsergő'!F30</f>
        <v>0</v>
      </c>
      <c r="G43" s="75"/>
      <c r="H43" s="529">
        <f>+'5. Csicsergő'!H30</f>
        <v>15717456</v>
      </c>
      <c r="I43" s="75">
        <f>+'5. Csicsergő'!I30</f>
        <v>0</v>
      </c>
      <c r="J43" s="75">
        <f>+'5. Csicsergő'!J30</f>
        <v>0</v>
      </c>
      <c r="K43" s="75"/>
      <c r="L43" s="75"/>
      <c r="M43" s="75"/>
      <c r="N43" s="489"/>
      <c r="O43" s="75"/>
      <c r="P43" s="529">
        <f>+'5. Csicsergő'!P30</f>
        <v>0</v>
      </c>
      <c r="Q43" s="75">
        <f>+'5. Csicsergő'!Q30</f>
        <v>-28627000</v>
      </c>
      <c r="R43" s="75">
        <f>+'5. Csicsergő'!R30</f>
        <v>0</v>
      </c>
      <c r="S43" s="75">
        <f>+'5. Csicsergő'!S30</f>
        <v>-28627000</v>
      </c>
      <c r="T43" s="530"/>
      <c r="U43" s="76"/>
    </row>
    <row r="44" spans="1:21" x14ac:dyDescent="0.2">
      <c r="B44" s="58" t="str">
        <f t="shared" si="34"/>
        <v>Gólyahír Bőlcsőde</v>
      </c>
      <c r="C44" s="529">
        <f>+'6. Gólyahír'!C29</f>
        <v>8079000</v>
      </c>
      <c r="D44" s="75">
        <f>+'6. Gólyahír'!D29</f>
        <v>8079000</v>
      </c>
      <c r="E44" s="75">
        <f>+'6. Gólyahír'!E29</f>
        <v>0</v>
      </c>
      <c r="F44" s="489">
        <f>+'6. Gólyahír'!F29</f>
        <v>0</v>
      </c>
      <c r="G44" s="75"/>
      <c r="H44" s="529">
        <f>+'6. Gólyahír'!H29</f>
        <v>4326412</v>
      </c>
      <c r="I44" s="75">
        <f>+'6. Gólyahír'!I29</f>
        <v>0</v>
      </c>
      <c r="J44" s="75">
        <f>+'6. Gólyahír'!J29</f>
        <v>0</v>
      </c>
      <c r="K44" s="75"/>
      <c r="L44" s="75"/>
      <c r="M44" s="75"/>
      <c r="N44" s="489"/>
      <c r="O44" s="75"/>
      <c r="P44" s="529">
        <f>+'6. Gólyahír'!P29</f>
        <v>0</v>
      </c>
      <c r="Q44" s="75">
        <f>+'6. Gólyahír'!Q29</f>
        <v>-8079000</v>
      </c>
      <c r="R44" s="75">
        <f>+'6. Gólyahír'!R29</f>
        <v>0</v>
      </c>
      <c r="S44" s="75">
        <f>+'6. Gólyahír'!S29</f>
        <v>-8079000</v>
      </c>
      <c r="T44" s="530"/>
      <c r="U44" s="76"/>
    </row>
    <row r="45" spans="1:21" x14ac:dyDescent="0.2">
      <c r="B45" s="58" t="str">
        <f t="shared" si="34"/>
        <v>Polgármesteri Hivatal</v>
      </c>
      <c r="C45" s="529">
        <f>+'7. Polg.Hiv.'!C29</f>
        <v>18770000</v>
      </c>
      <c r="D45" s="75">
        <f>+'7. Polg.Hiv.'!D29</f>
        <v>18770000</v>
      </c>
      <c r="E45" s="75">
        <f>+'7. Polg.Hiv.'!E29</f>
        <v>0</v>
      </c>
      <c r="F45" s="489">
        <f>+'7. Polg.Hiv.'!F29</f>
        <v>0</v>
      </c>
      <c r="G45" s="75"/>
      <c r="H45" s="529">
        <f>+'7. Polg.Hiv.'!H29</f>
        <v>9993764</v>
      </c>
      <c r="I45" s="75">
        <f>+'7. Polg.Hiv.'!I29</f>
        <v>0</v>
      </c>
      <c r="J45" s="75">
        <f>+'7. Polg.Hiv.'!J29</f>
        <v>0</v>
      </c>
      <c r="K45" s="75"/>
      <c r="L45" s="75"/>
      <c r="M45" s="75"/>
      <c r="N45" s="489"/>
      <c r="O45" s="75"/>
      <c r="P45" s="529">
        <f>+'7. Polg.Hiv.'!P29</f>
        <v>0</v>
      </c>
      <c r="Q45" s="75">
        <f>+'7. Polg.Hiv.'!Q29</f>
        <v>-18770000</v>
      </c>
      <c r="R45" s="75">
        <f>+'7. Polg.Hiv.'!R29</f>
        <v>0</v>
      </c>
      <c r="S45" s="75">
        <f>+'7. Polg.Hiv.'!S29</f>
        <v>-18770000</v>
      </c>
      <c r="T45" s="530"/>
      <c r="U45" s="76"/>
    </row>
    <row r="46" spans="1:21" x14ac:dyDescent="0.2">
      <c r="B46" s="58" t="str">
        <f t="shared" si="34"/>
        <v>Wass Albert Művelődési Központ és Könyvtár</v>
      </c>
      <c r="C46" s="529">
        <f>+'8. WAMKK'!C29</f>
        <v>3122000</v>
      </c>
      <c r="D46" s="75">
        <f>+'8. WAMKK'!D29</f>
        <v>3122000</v>
      </c>
      <c r="E46" s="75">
        <f>+'8. WAMKK'!E29</f>
        <v>0</v>
      </c>
      <c r="F46" s="489">
        <f>+'8. WAMKK'!F29</f>
        <v>0</v>
      </c>
      <c r="G46" s="75"/>
      <c r="H46" s="529">
        <f>+'8. WAMKK'!H29</f>
        <v>1584849</v>
      </c>
      <c r="I46" s="75">
        <f>+'8. WAMKK'!I29</f>
        <v>0</v>
      </c>
      <c r="J46" s="75">
        <f>+'8. WAMKK'!J29</f>
        <v>0</v>
      </c>
      <c r="K46" s="75"/>
      <c r="L46" s="75"/>
      <c r="M46" s="75"/>
      <c r="N46" s="489"/>
      <c r="O46" s="75"/>
      <c r="P46" s="529">
        <f>+'8. WAMKK'!P29</f>
        <v>0</v>
      </c>
      <c r="Q46" s="75">
        <f>+'8. WAMKK'!Q29</f>
        <v>-3122000</v>
      </c>
      <c r="R46" s="75">
        <f>+'8. WAMKK'!R29</f>
        <v>0</v>
      </c>
      <c r="S46" s="75">
        <f>+'8. WAMKK'!S29</f>
        <v>-3122000</v>
      </c>
      <c r="T46" s="530"/>
      <c r="U46" s="76"/>
    </row>
    <row r="47" spans="1:21" x14ac:dyDescent="0.2">
      <c r="B47" s="58" t="str">
        <f t="shared" si="34"/>
        <v>Központi Konyha</v>
      </c>
      <c r="C47" s="529">
        <f>+'9. Közp. Konyha'!C29</f>
        <v>5375000</v>
      </c>
      <c r="D47" s="75">
        <f>+'9. Közp. Konyha'!D29</f>
        <v>5375000</v>
      </c>
      <c r="E47" s="75">
        <f>+'9. Közp. Konyha'!E29</f>
        <v>0</v>
      </c>
      <c r="F47" s="489">
        <f>+'9. Közp. Konyha'!F29</f>
        <v>0</v>
      </c>
      <c r="G47" s="75"/>
      <c r="H47" s="529">
        <f>+'9. Közp. Konyha'!H29</f>
        <v>2994544</v>
      </c>
      <c r="I47" s="75">
        <f>+'9. Közp. Konyha'!I29</f>
        <v>0</v>
      </c>
      <c r="J47" s="75">
        <f>+'9. Közp. Konyha'!J29</f>
        <v>0</v>
      </c>
      <c r="K47" s="75"/>
      <c r="L47" s="75"/>
      <c r="M47" s="75"/>
      <c r="N47" s="489"/>
      <c r="O47" s="75"/>
      <c r="P47" s="529">
        <f>+'9. Közp. Konyha'!P29</f>
        <v>0</v>
      </c>
      <c r="Q47" s="75">
        <f>+'9. Közp. Konyha'!Q29</f>
        <v>-5375000</v>
      </c>
      <c r="R47" s="75">
        <f>+'9. Közp. Konyha'!R29</f>
        <v>0</v>
      </c>
      <c r="S47" s="75">
        <f>+'9. Közp. Konyha'!S29</f>
        <v>-5375000</v>
      </c>
      <c r="T47" s="530"/>
      <c r="U47" s="76"/>
    </row>
    <row r="48" spans="1:21" ht="8.1" customHeight="1" x14ac:dyDescent="0.2">
      <c r="B48" s="413" t="s">
        <v>459</v>
      </c>
      <c r="C48" s="531"/>
      <c r="D48" s="412"/>
      <c r="E48" s="412"/>
      <c r="F48" s="542"/>
      <c r="G48" s="412"/>
      <c r="H48" s="531"/>
      <c r="I48" s="412"/>
      <c r="J48" s="412"/>
      <c r="K48" s="412"/>
      <c r="L48" s="412"/>
      <c r="M48" s="412"/>
      <c r="N48" s="542"/>
      <c r="O48" s="412"/>
      <c r="P48" s="531"/>
      <c r="Q48" s="412"/>
      <c r="R48" s="412"/>
      <c r="S48" s="412"/>
      <c r="T48" s="530"/>
      <c r="U48" s="76"/>
    </row>
    <row r="49" spans="1:21" x14ac:dyDescent="0.2">
      <c r="A49" s="414" t="str">
        <f>+A40</f>
        <v>K2</v>
      </c>
      <c r="B49" s="394" t="s">
        <v>452</v>
      </c>
      <c r="C49" s="532">
        <f>SUM(C41:C48)</f>
        <v>83972000</v>
      </c>
      <c r="D49" s="395">
        <f t="shared" ref="D49:F49" si="35">SUM(D41:D48)</f>
        <v>83972000</v>
      </c>
      <c r="E49" s="395">
        <f t="shared" si="35"/>
        <v>0</v>
      </c>
      <c r="F49" s="543">
        <f t="shared" si="35"/>
        <v>0</v>
      </c>
      <c r="G49" s="395"/>
      <c r="H49" s="532">
        <f>SUM(H41:H48)</f>
        <v>45860944</v>
      </c>
      <c r="I49" s="395">
        <f t="shared" ref="I49:J49" si="36">SUM(I41:I48)</f>
        <v>0</v>
      </c>
      <c r="J49" s="395">
        <f t="shared" si="36"/>
        <v>0</v>
      </c>
      <c r="K49" s="395"/>
      <c r="L49" s="395"/>
      <c r="M49" s="395"/>
      <c r="N49" s="543"/>
      <c r="O49" s="395"/>
      <c r="P49" s="532">
        <f>SUM(P41:P48)</f>
        <v>0</v>
      </c>
      <c r="Q49" s="395">
        <f t="shared" ref="Q49:S49" si="37">SUM(Q41:Q48)</f>
        <v>-68753000</v>
      </c>
      <c r="R49" s="395">
        <f t="shared" si="37"/>
        <v>0</v>
      </c>
      <c r="S49" s="395">
        <f t="shared" si="37"/>
        <v>-68753000</v>
      </c>
      <c r="T49" s="530"/>
      <c r="U49" s="76"/>
    </row>
    <row r="50" spans="1:21" x14ac:dyDescent="0.2">
      <c r="C50" s="529"/>
      <c r="D50" s="76"/>
      <c r="E50" s="76"/>
      <c r="F50" s="555"/>
      <c r="G50" s="76"/>
      <c r="H50" s="529"/>
      <c r="K50" s="76"/>
      <c r="L50" s="93"/>
      <c r="M50" s="93"/>
      <c r="N50" s="530"/>
      <c r="O50" s="76"/>
      <c r="P50" s="529"/>
      <c r="Q50" s="75"/>
      <c r="R50" s="75"/>
      <c r="S50" s="75"/>
      <c r="T50" s="530"/>
      <c r="U50" s="76"/>
    </row>
    <row r="51" spans="1:21" x14ac:dyDescent="0.2">
      <c r="C51" s="529"/>
      <c r="D51" s="76"/>
      <c r="E51" s="76"/>
      <c r="F51" s="555"/>
      <c r="G51" s="76"/>
      <c r="H51" s="529"/>
      <c r="K51" s="76"/>
      <c r="L51" s="93"/>
      <c r="M51" s="93"/>
      <c r="N51" s="530"/>
      <c r="O51" s="76"/>
      <c r="P51" s="529"/>
      <c r="Q51" s="75"/>
      <c r="R51" s="75"/>
      <c r="S51" s="75"/>
      <c r="T51" s="530"/>
      <c r="U51" s="76"/>
    </row>
    <row r="52" spans="1:21" x14ac:dyDescent="0.2">
      <c r="A52" s="346" t="s">
        <v>29</v>
      </c>
      <c r="B52" s="346" t="str">
        <f>+'3. Önk. Kiadások'!B32</f>
        <v>Dologi kiadások</v>
      </c>
      <c r="C52" s="529"/>
      <c r="D52" s="76"/>
      <c r="E52" s="76"/>
      <c r="F52" s="555"/>
      <c r="G52" s="76"/>
      <c r="H52" s="529"/>
      <c r="K52" s="76"/>
      <c r="L52" s="93"/>
      <c r="M52" s="93"/>
      <c r="N52" s="530"/>
      <c r="O52" s="76"/>
      <c r="P52" s="529"/>
      <c r="Q52" s="75"/>
      <c r="R52" s="75"/>
      <c r="S52" s="75"/>
      <c r="T52" s="530"/>
      <c r="U52" s="76"/>
    </row>
    <row r="53" spans="1:21" x14ac:dyDescent="0.2">
      <c r="B53" s="58" t="str">
        <f t="shared" ref="B53:B59" si="38">+B41</f>
        <v>Sülysáp Város Önkormányzat</v>
      </c>
      <c r="C53" s="529">
        <f>+'3. Önk. Kiadások'!C32</f>
        <v>112191000</v>
      </c>
      <c r="D53" s="75">
        <f>+'3. Önk. Kiadások'!D32</f>
        <v>153139000</v>
      </c>
      <c r="E53" s="75">
        <f>+'3. Önk. Kiadások'!E32</f>
        <v>0</v>
      </c>
      <c r="F53" s="489">
        <f>+'3. Önk. Kiadások'!F32</f>
        <v>0</v>
      </c>
      <c r="G53" s="76"/>
      <c r="H53" s="529">
        <f>+'3. Önk. Kiadások'!H32</f>
        <v>85708192</v>
      </c>
      <c r="I53" s="75">
        <f>+'3. Önk. Kiadások'!I32</f>
        <v>0</v>
      </c>
      <c r="J53" s="75">
        <f>+'3. Önk. Kiadások'!J32</f>
        <v>0</v>
      </c>
      <c r="K53" s="76"/>
      <c r="L53" s="93"/>
      <c r="M53" s="93"/>
      <c r="N53" s="530"/>
      <c r="O53" s="76"/>
      <c r="P53" s="529">
        <f>+'3. Önk. Kiadások'!P32</f>
        <v>40948000</v>
      </c>
      <c r="Q53" s="75">
        <f>+'3. Önk. Kiadások'!Q32</f>
        <v>0</v>
      </c>
      <c r="R53" s="75">
        <f>+'3. Önk. Kiadások'!R32</f>
        <v>0</v>
      </c>
      <c r="S53" s="75">
        <f>+'3. Önk. Kiadások'!S32</f>
        <v>40948000</v>
      </c>
      <c r="T53" s="530"/>
      <c r="U53" s="76"/>
    </row>
    <row r="54" spans="1:21" x14ac:dyDescent="0.2">
      <c r="A54" s="58"/>
      <c r="B54" s="58" t="str">
        <f t="shared" si="38"/>
        <v>Gondozási Központ</v>
      </c>
      <c r="C54" s="529">
        <f>+'4. Dr Gáspár HSZK'!C32</f>
        <v>10571000</v>
      </c>
      <c r="D54" s="75">
        <f>+'4. Dr Gáspár HSZK'!D32</f>
        <v>10980000</v>
      </c>
      <c r="E54" s="75">
        <f>+'4. Dr Gáspár HSZK'!E32</f>
        <v>0</v>
      </c>
      <c r="F54" s="489">
        <f>+'4. Dr Gáspár HSZK'!F32</f>
        <v>0</v>
      </c>
      <c r="G54" s="75"/>
      <c r="H54" s="558">
        <f>+'4. Dr Gáspár HSZK'!H32</f>
        <v>5462412</v>
      </c>
      <c r="I54" s="344">
        <f>+'4. Dr Gáspár HSZK'!I32</f>
        <v>0</v>
      </c>
      <c r="J54" s="75">
        <f>+'4. Dr Gáspár HSZK'!J32</f>
        <v>0</v>
      </c>
      <c r="K54" s="75"/>
      <c r="L54" s="75"/>
      <c r="M54" s="75"/>
      <c r="N54" s="489"/>
      <c r="O54" s="75"/>
      <c r="P54" s="529">
        <f>+'4. Dr Gáspár HSZK'!P32</f>
        <v>409000</v>
      </c>
      <c r="Q54" s="75">
        <f>+'4. Dr Gáspár HSZK'!Q32</f>
        <v>-10980000</v>
      </c>
      <c r="R54" s="75">
        <f>+'4. Dr Gáspár HSZK'!R32</f>
        <v>0</v>
      </c>
      <c r="S54" s="75">
        <f>+'4. Dr Gáspár HSZK'!S32</f>
        <v>-10571000</v>
      </c>
      <c r="T54" s="530"/>
      <c r="U54" s="76"/>
    </row>
    <row r="55" spans="1:21" x14ac:dyDescent="0.2">
      <c r="B55" s="58" t="str">
        <f t="shared" si="38"/>
        <v>Csicsergő Napköziotthonos Óvoda</v>
      </c>
      <c r="C55" s="529">
        <f>+'5. Csicsergő'!C33</f>
        <v>8913000</v>
      </c>
      <c r="D55" s="75">
        <f>+'5. Csicsergő'!D33</f>
        <v>10814000</v>
      </c>
      <c r="E55" s="75">
        <f>+'5. Csicsergő'!E33</f>
        <v>0</v>
      </c>
      <c r="F55" s="489">
        <f>+'5. Csicsergő'!F33</f>
        <v>0</v>
      </c>
      <c r="G55" s="75"/>
      <c r="H55" s="529">
        <f>+'5. Csicsergő'!H33</f>
        <v>7922608</v>
      </c>
      <c r="I55" s="75">
        <f>+'5. Csicsergő'!I33</f>
        <v>0</v>
      </c>
      <c r="J55" s="75">
        <f>+'5. Csicsergő'!J33</f>
        <v>0</v>
      </c>
      <c r="K55" s="75"/>
      <c r="L55" s="75"/>
      <c r="M55" s="75"/>
      <c r="N55" s="489"/>
      <c r="O55" s="75"/>
      <c r="P55" s="529">
        <f>+'5. Csicsergő'!P33</f>
        <v>1901000</v>
      </c>
      <c r="Q55" s="75">
        <f>+'5. Csicsergő'!Q33</f>
        <v>-10814000</v>
      </c>
      <c r="R55" s="75">
        <f>+'5. Csicsergő'!R33</f>
        <v>0</v>
      </c>
      <c r="S55" s="75">
        <f>+'5. Csicsergő'!S33</f>
        <v>-8913000</v>
      </c>
      <c r="T55" s="530"/>
      <c r="U55" s="76"/>
    </row>
    <row r="56" spans="1:21" x14ac:dyDescent="0.2">
      <c r="B56" s="58" t="str">
        <f t="shared" si="38"/>
        <v>Gólyahír Bőlcsőde</v>
      </c>
      <c r="C56" s="529">
        <f>+'6. Gólyahír'!C32</f>
        <v>10325000</v>
      </c>
      <c r="D56" s="75">
        <f>+'6. Gólyahír'!D32</f>
        <v>10277000</v>
      </c>
      <c r="E56" s="75">
        <f>+'6. Gólyahír'!E32</f>
        <v>0</v>
      </c>
      <c r="F56" s="489">
        <f>+'6. Gólyahír'!F32</f>
        <v>0</v>
      </c>
      <c r="G56" s="75"/>
      <c r="H56" s="529">
        <f>+'6. Gólyahír'!H32</f>
        <v>4020708</v>
      </c>
      <c r="I56" s="75">
        <f>+'6. Gólyahír'!I32</f>
        <v>0</v>
      </c>
      <c r="J56" s="75">
        <f>+'6. Gólyahír'!J32</f>
        <v>0</v>
      </c>
      <c r="K56" s="75"/>
      <c r="L56" s="75"/>
      <c r="M56" s="75"/>
      <c r="N56" s="489"/>
      <c r="O56" s="75"/>
      <c r="P56" s="529">
        <f>+'6. Gólyahír'!P32</f>
        <v>-48000</v>
      </c>
      <c r="Q56" s="75">
        <f>+'6. Gólyahír'!Q32</f>
        <v>-10277000</v>
      </c>
      <c r="R56" s="75">
        <f>+'6. Gólyahír'!R32</f>
        <v>0</v>
      </c>
      <c r="S56" s="75">
        <f>+'6. Gólyahír'!S32</f>
        <v>-10325000</v>
      </c>
      <c r="T56" s="530"/>
      <c r="U56" s="76"/>
    </row>
    <row r="57" spans="1:21" x14ac:dyDescent="0.2">
      <c r="B57" s="58" t="str">
        <f t="shared" si="38"/>
        <v>Polgármesteri Hivatal</v>
      </c>
      <c r="C57" s="529">
        <f>+'7. Polg.Hiv.'!C32</f>
        <v>10409999</v>
      </c>
      <c r="D57" s="75">
        <f>+'7. Polg.Hiv.'!D32</f>
        <v>10409999</v>
      </c>
      <c r="E57" s="75">
        <f>+'7. Polg.Hiv.'!E32</f>
        <v>0</v>
      </c>
      <c r="F57" s="489">
        <f>+'7. Polg.Hiv.'!F32</f>
        <v>0</v>
      </c>
      <c r="G57" s="75"/>
      <c r="H57" s="529">
        <f>+'7. Polg.Hiv.'!H32</f>
        <v>5569152</v>
      </c>
      <c r="I57" s="75">
        <f>+'7. Polg.Hiv.'!I32</f>
        <v>0</v>
      </c>
      <c r="J57" s="75">
        <f>+'7. Polg.Hiv.'!J32</f>
        <v>0</v>
      </c>
      <c r="K57" s="75"/>
      <c r="L57" s="75"/>
      <c r="M57" s="75"/>
      <c r="N57" s="489"/>
      <c r="O57" s="75"/>
      <c r="P57" s="529">
        <f>+'7. Polg.Hiv.'!P32</f>
        <v>0</v>
      </c>
      <c r="Q57" s="75">
        <f>+'7. Polg.Hiv.'!Q32</f>
        <v>-10409999</v>
      </c>
      <c r="R57" s="75">
        <f>+'7. Polg.Hiv.'!R32</f>
        <v>0</v>
      </c>
      <c r="S57" s="75">
        <f>+'7. Polg.Hiv.'!S32</f>
        <v>-10409999</v>
      </c>
      <c r="T57" s="530"/>
      <c r="U57" s="76"/>
    </row>
    <row r="58" spans="1:21" x14ac:dyDescent="0.2">
      <c r="B58" s="58" t="str">
        <f t="shared" si="38"/>
        <v>Wass Albert Művelődési Központ és Könyvtár</v>
      </c>
      <c r="C58" s="529">
        <f>+'8. WAMKK'!C32</f>
        <v>13613000</v>
      </c>
      <c r="D58" s="75">
        <f>+'8. WAMKK'!D32</f>
        <v>15199000</v>
      </c>
      <c r="E58" s="75">
        <f>+'8. WAMKK'!E32</f>
        <v>0</v>
      </c>
      <c r="F58" s="489">
        <f>+'8. WAMKK'!F32</f>
        <v>0</v>
      </c>
      <c r="G58" s="75"/>
      <c r="H58" s="529">
        <f>+'8. WAMKK'!H32</f>
        <v>6129626</v>
      </c>
      <c r="I58" s="75">
        <f>+'8. WAMKK'!I32</f>
        <v>0</v>
      </c>
      <c r="J58" s="75">
        <f>+'8. WAMKK'!J32</f>
        <v>0</v>
      </c>
      <c r="K58" s="75"/>
      <c r="L58" s="75"/>
      <c r="M58" s="75"/>
      <c r="N58" s="489"/>
      <c r="O58" s="75"/>
      <c r="P58" s="529">
        <f>+'8. WAMKK'!P32</f>
        <v>1586000</v>
      </c>
      <c r="Q58" s="75">
        <f>+'8. WAMKK'!Q32</f>
        <v>-15199000</v>
      </c>
      <c r="R58" s="75">
        <f>+'8. WAMKK'!R32</f>
        <v>0</v>
      </c>
      <c r="S58" s="75">
        <f>+'8. WAMKK'!S32</f>
        <v>-13613000</v>
      </c>
      <c r="T58" s="530"/>
      <c r="U58" s="76"/>
    </row>
    <row r="59" spans="1:21" x14ac:dyDescent="0.2">
      <c r="B59" s="58" t="str">
        <f t="shared" si="38"/>
        <v>Központi Konyha</v>
      </c>
      <c r="C59" s="529">
        <f>+'9. Közp. Konyha'!C32</f>
        <v>69192000</v>
      </c>
      <c r="D59" s="75">
        <f>+'9. Közp. Konyha'!D32</f>
        <v>69192000</v>
      </c>
      <c r="E59" s="75">
        <f>+'9. Közp. Konyha'!E32</f>
        <v>0</v>
      </c>
      <c r="F59" s="489">
        <f>+'9. Közp. Konyha'!F32</f>
        <v>0</v>
      </c>
      <c r="G59" s="75"/>
      <c r="H59" s="529">
        <f>+'9. Közp. Konyha'!H32</f>
        <v>36293747</v>
      </c>
      <c r="I59" s="75">
        <f>+'9. Közp. Konyha'!I32</f>
        <v>0</v>
      </c>
      <c r="J59" s="75">
        <f>+'9. Közp. Konyha'!J32</f>
        <v>0</v>
      </c>
      <c r="K59" s="75"/>
      <c r="L59" s="75"/>
      <c r="M59" s="75"/>
      <c r="N59" s="489"/>
      <c r="O59" s="75"/>
      <c r="P59" s="529">
        <f>+'9. Közp. Konyha'!P32</f>
        <v>0</v>
      </c>
      <c r="Q59" s="75">
        <f>+'9. Közp. Konyha'!Q32</f>
        <v>-69192000</v>
      </c>
      <c r="R59" s="75">
        <f>+'9. Közp. Konyha'!R32</f>
        <v>0</v>
      </c>
      <c r="S59" s="75">
        <f>+'9. Közp. Konyha'!S32</f>
        <v>-69192000</v>
      </c>
      <c r="T59" s="530"/>
      <c r="U59" s="76"/>
    </row>
    <row r="60" spans="1:21" ht="8.1" customHeight="1" x14ac:dyDescent="0.2">
      <c r="B60" s="413" t="s">
        <v>459</v>
      </c>
      <c r="C60" s="531"/>
      <c r="D60" s="412"/>
      <c r="E60" s="412"/>
      <c r="F60" s="542"/>
      <c r="G60" s="412"/>
      <c r="H60" s="531"/>
      <c r="I60" s="412"/>
      <c r="J60" s="412"/>
      <c r="K60" s="412"/>
      <c r="L60" s="412"/>
      <c r="M60" s="412"/>
      <c r="N60" s="542"/>
      <c r="O60" s="412"/>
      <c r="P60" s="531"/>
      <c r="Q60" s="412"/>
      <c r="R60" s="412"/>
      <c r="S60" s="412"/>
      <c r="T60" s="530"/>
      <c r="U60" s="76"/>
    </row>
    <row r="61" spans="1:21" x14ac:dyDescent="0.2">
      <c r="A61" s="414" t="str">
        <f>+A52</f>
        <v>K3</v>
      </c>
      <c r="B61" s="394" t="s">
        <v>452</v>
      </c>
      <c r="C61" s="532">
        <f>SUM(C53:C60)</f>
        <v>235214999</v>
      </c>
      <c r="D61" s="395">
        <f t="shared" ref="D61:F61" si="39">SUM(D53:D60)</f>
        <v>280010999</v>
      </c>
      <c r="E61" s="395">
        <f t="shared" si="39"/>
        <v>0</v>
      </c>
      <c r="F61" s="543">
        <f t="shared" si="39"/>
        <v>0</v>
      </c>
      <c r="G61" s="395"/>
      <c r="H61" s="532">
        <f>SUM(H53:H60)</f>
        <v>151106445</v>
      </c>
      <c r="I61" s="395">
        <f t="shared" ref="I61:J61" si="40">SUM(I53:I60)</f>
        <v>0</v>
      </c>
      <c r="J61" s="395">
        <f t="shared" si="40"/>
        <v>0</v>
      </c>
      <c r="K61" s="395"/>
      <c r="L61" s="395"/>
      <c r="M61" s="395"/>
      <c r="N61" s="543"/>
      <c r="O61" s="395"/>
      <c r="P61" s="532">
        <f>SUM(P53:P60)</f>
        <v>44796000</v>
      </c>
      <c r="Q61" s="395">
        <f t="shared" ref="Q61:S61" si="41">SUM(Q53:Q60)</f>
        <v>-126871999</v>
      </c>
      <c r="R61" s="395">
        <f t="shared" si="41"/>
        <v>0</v>
      </c>
      <c r="S61" s="395">
        <f t="shared" si="41"/>
        <v>-82075999</v>
      </c>
      <c r="T61" s="530"/>
      <c r="U61" s="76"/>
    </row>
    <row r="62" spans="1:21" x14ac:dyDescent="0.2">
      <c r="C62" s="529"/>
      <c r="D62" s="76"/>
      <c r="E62" s="76"/>
      <c r="F62" s="555"/>
      <c r="G62" s="76"/>
      <c r="H62" s="529"/>
      <c r="K62" s="76"/>
      <c r="L62" s="93"/>
      <c r="M62" s="93"/>
      <c r="N62" s="530"/>
      <c r="O62" s="76"/>
      <c r="P62" s="529"/>
      <c r="Q62" s="75"/>
      <c r="R62" s="75"/>
      <c r="S62" s="75"/>
      <c r="T62" s="530"/>
      <c r="U62" s="76"/>
    </row>
    <row r="63" spans="1:21" x14ac:dyDescent="0.2">
      <c r="C63" s="529"/>
      <c r="D63" s="76"/>
      <c r="E63" s="76"/>
      <c r="F63" s="555"/>
      <c r="G63" s="76"/>
      <c r="H63" s="529"/>
      <c r="K63" s="76"/>
      <c r="L63" s="93"/>
      <c r="M63" s="93"/>
      <c r="N63" s="530"/>
      <c r="O63" s="76"/>
      <c r="P63" s="529"/>
      <c r="Q63" s="75"/>
      <c r="R63" s="75"/>
      <c r="S63" s="75"/>
      <c r="T63" s="530"/>
      <c r="U63" s="76"/>
    </row>
    <row r="64" spans="1:21" x14ac:dyDescent="0.2">
      <c r="A64" s="346" t="s">
        <v>111</v>
      </c>
      <c r="B64" s="346" t="str">
        <f>+'3. Önk. Kiadások'!B81</f>
        <v>Elláttotak pénzpeli juttatásai</v>
      </c>
      <c r="C64" s="529"/>
      <c r="D64" s="76"/>
      <c r="E64" s="76"/>
      <c r="F64" s="555"/>
      <c r="G64" s="76"/>
      <c r="H64" s="529"/>
      <c r="K64" s="76"/>
      <c r="L64" s="93"/>
      <c r="M64" s="93"/>
      <c r="N64" s="530"/>
      <c r="O64" s="76"/>
      <c r="P64" s="529"/>
      <c r="Q64" s="75"/>
      <c r="R64" s="75"/>
      <c r="S64" s="75"/>
      <c r="T64" s="530"/>
      <c r="U64" s="76"/>
    </row>
    <row r="65" spans="1:21" x14ac:dyDescent="0.2">
      <c r="B65" s="58" t="str">
        <f t="shared" ref="B65:B71" si="42">+B53</f>
        <v>Sülysáp Város Önkormányzat</v>
      </c>
      <c r="C65" s="529">
        <f>+'3. Önk. Kiadások'!C81</f>
        <v>19500000</v>
      </c>
      <c r="D65" s="75">
        <f>+'3. Önk. Kiadások'!D81</f>
        <v>20000000</v>
      </c>
      <c r="E65" s="75">
        <f>+'3. Önk. Kiadások'!E81</f>
        <v>0</v>
      </c>
      <c r="F65" s="489">
        <f>+'3. Önk. Kiadások'!F81</f>
        <v>0</v>
      </c>
      <c r="G65" s="76"/>
      <c r="H65" s="529">
        <f>+'3. Önk. Kiadások'!H81</f>
        <v>8657425</v>
      </c>
      <c r="I65" s="75">
        <f>+'3. Önk. Kiadások'!I81</f>
        <v>0</v>
      </c>
      <c r="J65" s="75">
        <f>+'3. Önk. Kiadások'!J81</f>
        <v>0</v>
      </c>
      <c r="K65" s="76"/>
      <c r="L65" s="93"/>
      <c r="M65" s="93"/>
      <c r="N65" s="530"/>
      <c r="O65" s="76"/>
      <c r="P65" s="529">
        <f>+'3. Önk. Kiadások'!P81</f>
        <v>500000</v>
      </c>
      <c r="Q65" s="75">
        <f>+'3. Önk. Kiadások'!Q81</f>
        <v>0</v>
      </c>
      <c r="R65" s="75">
        <f>+'3. Önk. Kiadások'!R81</f>
        <v>0</v>
      </c>
      <c r="S65" s="75">
        <f>+'3. Önk. Kiadások'!S81</f>
        <v>500000</v>
      </c>
      <c r="T65" s="530"/>
      <c r="U65" s="76"/>
    </row>
    <row r="66" spans="1:21" x14ac:dyDescent="0.2">
      <c r="A66" s="58"/>
      <c r="B66" s="58" t="str">
        <f t="shared" si="42"/>
        <v>Gondozási Központ</v>
      </c>
      <c r="C66" s="529"/>
      <c r="D66" s="75"/>
      <c r="E66" s="75"/>
      <c r="F66" s="489"/>
      <c r="G66" s="75"/>
      <c r="H66" s="529"/>
      <c r="I66" s="75"/>
      <c r="J66" s="75"/>
      <c r="K66" s="75"/>
      <c r="L66" s="75"/>
      <c r="M66" s="75"/>
      <c r="N66" s="489"/>
      <c r="O66" s="75"/>
      <c r="P66" s="529"/>
      <c r="Q66" s="75"/>
      <c r="R66" s="75"/>
      <c r="S66" s="75"/>
      <c r="T66" s="530"/>
      <c r="U66" s="76"/>
    </row>
    <row r="67" spans="1:21" x14ac:dyDescent="0.2">
      <c r="B67" s="58" t="str">
        <f t="shared" si="42"/>
        <v>Csicsergő Napköziotthonos Óvoda</v>
      </c>
      <c r="C67" s="529"/>
      <c r="D67" s="75"/>
      <c r="E67" s="75"/>
      <c r="F67" s="489"/>
      <c r="G67" s="75"/>
      <c r="H67" s="529"/>
      <c r="I67" s="75"/>
      <c r="J67" s="75"/>
      <c r="K67" s="75"/>
      <c r="L67" s="75"/>
      <c r="M67" s="75"/>
      <c r="N67" s="489"/>
      <c r="O67" s="75"/>
      <c r="P67" s="529"/>
      <c r="Q67" s="75"/>
      <c r="R67" s="75"/>
      <c r="S67" s="75"/>
      <c r="T67" s="530"/>
      <c r="U67" s="76"/>
    </row>
    <row r="68" spans="1:21" x14ac:dyDescent="0.2">
      <c r="B68" s="58" t="str">
        <f t="shared" si="42"/>
        <v>Gólyahír Bőlcsőde</v>
      </c>
      <c r="C68" s="529"/>
      <c r="D68" s="75"/>
      <c r="E68" s="75"/>
      <c r="F68" s="489"/>
      <c r="G68" s="75"/>
      <c r="H68" s="529"/>
      <c r="I68" s="75"/>
      <c r="J68" s="75"/>
      <c r="K68" s="75"/>
      <c r="L68" s="75"/>
      <c r="M68" s="75"/>
      <c r="N68" s="489"/>
      <c r="O68" s="75"/>
      <c r="P68" s="529"/>
      <c r="Q68" s="75"/>
      <c r="R68" s="75"/>
      <c r="S68" s="75"/>
      <c r="T68" s="530"/>
      <c r="U68" s="76"/>
    </row>
    <row r="69" spans="1:21" x14ac:dyDescent="0.2">
      <c r="B69" s="58" t="str">
        <f t="shared" si="42"/>
        <v>Polgármesteri Hivatal</v>
      </c>
      <c r="C69" s="529"/>
      <c r="D69" s="75"/>
      <c r="E69" s="75"/>
      <c r="F69" s="489"/>
      <c r="G69" s="75"/>
      <c r="H69" s="529"/>
      <c r="I69" s="75"/>
      <c r="J69" s="75"/>
      <c r="K69" s="75"/>
      <c r="L69" s="75"/>
      <c r="M69" s="75"/>
      <c r="N69" s="489"/>
      <c r="O69" s="75"/>
      <c r="P69" s="529"/>
      <c r="Q69" s="75"/>
      <c r="R69" s="75"/>
      <c r="S69" s="75"/>
      <c r="T69" s="530"/>
      <c r="U69" s="76"/>
    </row>
    <row r="70" spans="1:21" x14ac:dyDescent="0.2">
      <c r="B70" s="58" t="str">
        <f t="shared" si="42"/>
        <v>Wass Albert Művelődési Központ és Könyvtár</v>
      </c>
      <c r="C70" s="529"/>
      <c r="D70" s="75"/>
      <c r="E70" s="75"/>
      <c r="F70" s="489"/>
      <c r="G70" s="75"/>
      <c r="H70" s="529"/>
      <c r="I70" s="75"/>
      <c r="J70" s="75"/>
      <c r="K70" s="75"/>
      <c r="L70" s="75"/>
      <c r="M70" s="75"/>
      <c r="N70" s="489"/>
      <c r="O70" s="75"/>
      <c r="P70" s="529"/>
      <c r="Q70" s="75"/>
      <c r="R70" s="75"/>
      <c r="S70" s="75"/>
      <c r="T70" s="530"/>
      <c r="U70" s="76"/>
    </row>
    <row r="71" spans="1:21" x14ac:dyDescent="0.2">
      <c r="B71" s="58" t="str">
        <f t="shared" si="42"/>
        <v>Központi Konyha</v>
      </c>
      <c r="C71" s="529"/>
      <c r="D71" s="75"/>
      <c r="E71" s="75"/>
      <c r="F71" s="489"/>
      <c r="G71" s="75"/>
      <c r="H71" s="529"/>
      <c r="I71" s="75"/>
      <c r="J71" s="75"/>
      <c r="K71" s="75"/>
      <c r="L71" s="75"/>
      <c r="M71" s="75"/>
      <c r="N71" s="489"/>
      <c r="O71" s="75"/>
      <c r="P71" s="529"/>
      <c r="Q71" s="75"/>
      <c r="R71" s="75"/>
      <c r="S71" s="75"/>
      <c r="T71" s="530"/>
      <c r="U71" s="76"/>
    </row>
    <row r="72" spans="1:21" ht="8.1" customHeight="1" x14ac:dyDescent="0.2">
      <c r="B72" s="413" t="s">
        <v>459</v>
      </c>
      <c r="C72" s="531"/>
      <c r="D72" s="412"/>
      <c r="E72" s="412"/>
      <c r="F72" s="542"/>
      <c r="G72" s="412"/>
      <c r="H72" s="531"/>
      <c r="I72" s="412"/>
      <c r="J72" s="412"/>
      <c r="K72" s="412"/>
      <c r="L72" s="412"/>
      <c r="M72" s="412"/>
      <c r="N72" s="542"/>
      <c r="O72" s="412"/>
      <c r="P72" s="531"/>
      <c r="Q72" s="412"/>
      <c r="R72" s="412"/>
      <c r="S72" s="412"/>
      <c r="T72" s="530"/>
      <c r="U72" s="76"/>
    </row>
    <row r="73" spans="1:21" x14ac:dyDescent="0.2">
      <c r="A73" s="414" t="str">
        <f>+A64</f>
        <v>K4</v>
      </c>
      <c r="B73" s="394" t="s">
        <v>452</v>
      </c>
      <c r="C73" s="532">
        <f>SUM(C65:C72)</f>
        <v>19500000</v>
      </c>
      <c r="D73" s="395">
        <f t="shared" ref="D73:F73" si="43">SUM(D65:D72)</f>
        <v>20000000</v>
      </c>
      <c r="E73" s="395">
        <f t="shared" si="43"/>
        <v>0</v>
      </c>
      <c r="F73" s="543">
        <f t="shared" si="43"/>
        <v>0</v>
      </c>
      <c r="G73" s="395"/>
      <c r="H73" s="532">
        <f>SUM(H65:H72)</f>
        <v>8657425</v>
      </c>
      <c r="I73" s="395">
        <f t="shared" ref="I73:J73" si="44">SUM(I65:I72)</f>
        <v>0</v>
      </c>
      <c r="J73" s="395">
        <f t="shared" si="44"/>
        <v>0</v>
      </c>
      <c r="K73" s="395"/>
      <c r="L73" s="395"/>
      <c r="M73" s="395"/>
      <c r="N73" s="543"/>
      <c r="O73" s="395"/>
      <c r="P73" s="532">
        <f>SUM(P65:P72)</f>
        <v>500000</v>
      </c>
      <c r="Q73" s="395">
        <f t="shared" ref="Q73:S73" si="45">SUM(Q65:Q72)</f>
        <v>0</v>
      </c>
      <c r="R73" s="395">
        <f t="shared" si="45"/>
        <v>0</v>
      </c>
      <c r="S73" s="395">
        <f t="shared" si="45"/>
        <v>500000</v>
      </c>
      <c r="T73" s="530"/>
      <c r="U73" s="76"/>
    </row>
    <row r="74" spans="1:21" x14ac:dyDescent="0.2">
      <c r="C74" s="533"/>
      <c r="F74" s="487"/>
      <c r="H74" s="533"/>
      <c r="N74" s="530"/>
      <c r="P74" s="533"/>
      <c r="T74" s="530"/>
    </row>
    <row r="75" spans="1:21" x14ac:dyDescent="0.2">
      <c r="C75" s="533"/>
      <c r="F75" s="487"/>
      <c r="H75" s="533"/>
      <c r="N75" s="530"/>
      <c r="P75" s="533"/>
      <c r="T75" s="530"/>
    </row>
    <row r="76" spans="1:21" x14ac:dyDescent="0.2">
      <c r="A76" s="346" t="s">
        <v>376</v>
      </c>
      <c r="B76" s="346" t="str">
        <f>+'3. Önk. Kiadások'!B106</f>
        <v>Egyéb működési célú kiadások</v>
      </c>
      <c r="C76" s="529"/>
      <c r="D76" s="76"/>
      <c r="E76" s="76"/>
      <c r="F76" s="555"/>
      <c r="G76" s="76"/>
      <c r="H76" s="529"/>
      <c r="K76" s="76"/>
      <c r="L76" s="93"/>
      <c r="M76" s="93"/>
      <c r="N76" s="530"/>
      <c r="O76" s="76"/>
      <c r="P76" s="529"/>
      <c r="Q76" s="75"/>
      <c r="R76" s="75"/>
      <c r="S76" s="75"/>
      <c r="T76" s="530"/>
      <c r="U76" s="76"/>
    </row>
    <row r="77" spans="1:21" x14ac:dyDescent="0.2">
      <c r="B77" s="58" t="str">
        <f t="shared" ref="B77:B83" si="46">+B65</f>
        <v>Sülysáp Város Önkormányzat</v>
      </c>
      <c r="C77" s="529">
        <f>+'3. Önk. Kiadások'!C106</f>
        <v>174456925</v>
      </c>
      <c r="D77" s="75">
        <f>+'3. Önk. Kiadások'!D106</f>
        <v>144494000</v>
      </c>
      <c r="E77" s="75">
        <f>+'3. Önk. Kiadások'!E106</f>
        <v>0</v>
      </c>
      <c r="F77" s="489">
        <f>+'3. Önk. Kiadások'!F106</f>
        <v>0</v>
      </c>
      <c r="G77" s="76"/>
      <c r="H77" s="529">
        <f>+'3. Önk. Kiadások'!H106</f>
        <v>97482764</v>
      </c>
      <c r="I77" s="75">
        <f>+'3. Önk. Kiadások'!I106</f>
        <v>0</v>
      </c>
      <c r="J77" s="75">
        <f>+'3. Önk. Kiadások'!J106</f>
        <v>0</v>
      </c>
      <c r="K77" s="76"/>
      <c r="L77" s="93"/>
      <c r="M77" s="93"/>
      <c r="N77" s="530"/>
      <c r="O77" s="76"/>
      <c r="P77" s="529">
        <f>+'3. Önk. Kiadások'!P106</f>
        <v>-29962925</v>
      </c>
      <c r="Q77" s="75">
        <f>+'3. Önk. Kiadások'!Q106</f>
        <v>0</v>
      </c>
      <c r="R77" s="75">
        <f>+'3. Önk. Kiadások'!R106</f>
        <v>0</v>
      </c>
      <c r="S77" s="75">
        <f>+'3. Önk. Kiadások'!S106</f>
        <v>-29962925</v>
      </c>
      <c r="T77" s="530"/>
      <c r="U77" s="76"/>
    </row>
    <row r="78" spans="1:21" x14ac:dyDescent="0.2">
      <c r="A78" s="58"/>
      <c r="B78" s="58" t="str">
        <f t="shared" si="46"/>
        <v>Gondozási Központ</v>
      </c>
      <c r="C78" s="529"/>
      <c r="D78" s="75"/>
      <c r="E78" s="75"/>
      <c r="F78" s="489"/>
      <c r="G78" s="75"/>
      <c r="H78" s="529"/>
      <c r="I78" s="75"/>
      <c r="J78" s="75"/>
      <c r="K78" s="75"/>
      <c r="L78" s="75"/>
      <c r="M78" s="75"/>
      <c r="N78" s="489"/>
      <c r="O78" s="75"/>
      <c r="P78" s="529"/>
      <c r="Q78" s="75"/>
      <c r="R78" s="75"/>
      <c r="S78" s="75"/>
      <c r="T78" s="530"/>
      <c r="U78" s="76"/>
    </row>
    <row r="79" spans="1:21" x14ac:dyDescent="0.2">
      <c r="B79" s="58" t="str">
        <f t="shared" si="46"/>
        <v>Csicsergő Napköziotthonos Óvoda</v>
      </c>
      <c r="C79" s="529"/>
      <c r="D79" s="75"/>
      <c r="E79" s="75"/>
      <c r="F79" s="489"/>
      <c r="G79" s="75"/>
      <c r="H79" s="529"/>
      <c r="I79" s="75"/>
      <c r="J79" s="75"/>
      <c r="K79" s="75"/>
      <c r="L79" s="75"/>
      <c r="M79" s="75"/>
      <c r="N79" s="489"/>
      <c r="O79" s="75"/>
      <c r="P79" s="529"/>
      <c r="Q79" s="75"/>
      <c r="R79" s="75"/>
      <c r="S79" s="75"/>
      <c r="T79" s="530"/>
      <c r="U79" s="76"/>
    </row>
    <row r="80" spans="1:21" x14ac:dyDescent="0.2">
      <c r="B80" s="58" t="str">
        <f t="shared" si="46"/>
        <v>Gólyahír Bőlcsőde</v>
      </c>
      <c r="C80" s="529"/>
      <c r="D80" s="75"/>
      <c r="E80" s="75"/>
      <c r="F80" s="489"/>
      <c r="G80" s="75"/>
      <c r="H80" s="529"/>
      <c r="I80" s="75"/>
      <c r="J80" s="75"/>
      <c r="K80" s="75"/>
      <c r="L80" s="75"/>
      <c r="M80" s="75"/>
      <c r="N80" s="489"/>
      <c r="O80" s="75"/>
      <c r="P80" s="529"/>
      <c r="Q80" s="75"/>
      <c r="R80" s="75"/>
      <c r="S80" s="75"/>
      <c r="T80" s="530"/>
      <c r="U80" s="76"/>
    </row>
    <row r="81" spans="1:21" x14ac:dyDescent="0.2">
      <c r="B81" s="58" t="str">
        <f t="shared" si="46"/>
        <v>Polgármesteri Hivatal</v>
      </c>
      <c r="C81" s="529"/>
      <c r="D81" s="75"/>
      <c r="E81" s="75"/>
      <c r="F81" s="489"/>
      <c r="G81" s="75"/>
      <c r="H81" s="529"/>
      <c r="I81" s="75"/>
      <c r="J81" s="75"/>
      <c r="K81" s="75"/>
      <c r="L81" s="75"/>
      <c r="M81" s="75"/>
      <c r="N81" s="489"/>
      <c r="O81" s="75"/>
      <c r="P81" s="529"/>
      <c r="Q81" s="75"/>
      <c r="R81" s="75"/>
      <c r="S81" s="75"/>
      <c r="T81" s="530"/>
      <c r="U81" s="76"/>
    </row>
    <row r="82" spans="1:21" x14ac:dyDescent="0.2">
      <c r="B82" s="58" t="str">
        <f t="shared" si="46"/>
        <v>Wass Albert Művelődési Központ és Könyvtár</v>
      </c>
      <c r="C82" s="529"/>
      <c r="D82" s="75"/>
      <c r="E82" s="75"/>
      <c r="F82" s="489"/>
      <c r="G82" s="75"/>
      <c r="H82" s="529"/>
      <c r="I82" s="75"/>
      <c r="J82" s="75"/>
      <c r="K82" s="75"/>
      <c r="L82" s="75"/>
      <c r="M82" s="75"/>
      <c r="N82" s="489"/>
      <c r="O82" s="75"/>
      <c r="P82" s="529"/>
      <c r="Q82" s="75"/>
      <c r="R82" s="75"/>
      <c r="S82" s="75"/>
      <c r="T82" s="530"/>
      <c r="U82" s="76"/>
    </row>
    <row r="83" spans="1:21" x14ac:dyDescent="0.2">
      <c r="B83" s="58" t="str">
        <f t="shared" si="46"/>
        <v>Központi Konyha</v>
      </c>
      <c r="C83" s="529"/>
      <c r="D83" s="75"/>
      <c r="E83" s="75"/>
      <c r="F83" s="489"/>
      <c r="G83" s="75"/>
      <c r="H83" s="529"/>
      <c r="I83" s="75"/>
      <c r="J83" s="75"/>
      <c r="K83" s="75"/>
      <c r="L83" s="75"/>
      <c r="M83" s="75"/>
      <c r="N83" s="489"/>
      <c r="O83" s="75"/>
      <c r="P83" s="529"/>
      <c r="Q83" s="75"/>
      <c r="R83" s="75"/>
      <c r="S83" s="75"/>
      <c r="T83" s="530"/>
      <c r="U83" s="76"/>
    </row>
    <row r="84" spans="1:21" ht="8.1" customHeight="1" x14ac:dyDescent="0.2">
      <c r="B84" s="413" t="s">
        <v>459</v>
      </c>
      <c r="C84" s="531"/>
      <c r="D84" s="412"/>
      <c r="E84" s="412"/>
      <c r="F84" s="542"/>
      <c r="G84" s="412"/>
      <c r="H84" s="531"/>
      <c r="I84" s="412"/>
      <c r="J84" s="412"/>
      <c r="K84" s="412"/>
      <c r="L84" s="412"/>
      <c r="M84" s="412"/>
      <c r="N84" s="542"/>
      <c r="O84" s="412"/>
      <c r="P84" s="531"/>
      <c r="Q84" s="412"/>
      <c r="R84" s="412"/>
      <c r="S84" s="412"/>
      <c r="T84" s="530"/>
      <c r="U84" s="76"/>
    </row>
    <row r="85" spans="1:21" x14ac:dyDescent="0.2">
      <c r="A85" s="414" t="str">
        <f>+A76</f>
        <v>K5</v>
      </c>
      <c r="B85" s="394" t="s">
        <v>452</v>
      </c>
      <c r="C85" s="532">
        <f>SUM(C77:C84)</f>
        <v>174456925</v>
      </c>
      <c r="D85" s="395">
        <f t="shared" ref="D85:F85" si="47">SUM(D77:D84)</f>
        <v>144494000</v>
      </c>
      <c r="E85" s="395">
        <f t="shared" si="47"/>
        <v>0</v>
      </c>
      <c r="F85" s="543">
        <f t="shared" si="47"/>
        <v>0</v>
      </c>
      <c r="G85" s="395"/>
      <c r="H85" s="532">
        <f>SUM(H77:H84)</f>
        <v>97482764</v>
      </c>
      <c r="I85" s="395">
        <f t="shared" ref="I85:J85" si="48">SUM(I77:I84)</f>
        <v>0</v>
      </c>
      <c r="J85" s="395">
        <f t="shared" si="48"/>
        <v>0</v>
      </c>
      <c r="K85" s="395"/>
      <c r="L85" s="395"/>
      <c r="M85" s="395"/>
      <c r="N85" s="543"/>
      <c r="O85" s="395"/>
      <c r="P85" s="532">
        <f>SUM(P77:P84)</f>
        <v>-29962925</v>
      </c>
      <c r="Q85" s="395">
        <f t="shared" ref="Q85:S85" si="49">SUM(Q77:Q84)</f>
        <v>0</v>
      </c>
      <c r="R85" s="395">
        <f t="shared" si="49"/>
        <v>0</v>
      </c>
      <c r="S85" s="395">
        <f t="shared" si="49"/>
        <v>-29962925</v>
      </c>
      <c r="T85" s="530"/>
      <c r="U85" s="76"/>
    </row>
    <row r="86" spans="1:21" x14ac:dyDescent="0.2">
      <c r="C86" s="533"/>
      <c r="F86" s="487"/>
      <c r="H86" s="533"/>
      <c r="N86" s="530"/>
      <c r="P86" s="533"/>
      <c r="T86" s="530"/>
    </row>
    <row r="87" spans="1:21" x14ac:dyDescent="0.2">
      <c r="C87" s="533"/>
      <c r="F87" s="487"/>
      <c r="H87" s="533"/>
      <c r="N87" s="530"/>
      <c r="P87" s="533"/>
      <c r="T87" s="530"/>
    </row>
    <row r="88" spans="1:21" x14ac:dyDescent="0.2">
      <c r="A88" s="346" t="s">
        <v>158</v>
      </c>
      <c r="B88" s="346" t="str">
        <f>+'3. Önk. Kiadások'!B120</f>
        <v>Beruházások</v>
      </c>
      <c r="C88" s="529"/>
      <c r="D88" s="76"/>
      <c r="E88" s="76"/>
      <c r="F88" s="555"/>
      <c r="G88" s="76"/>
      <c r="H88" s="529"/>
      <c r="K88" s="76"/>
      <c r="L88" s="93"/>
      <c r="M88" s="93"/>
      <c r="N88" s="530"/>
      <c r="O88" s="76"/>
      <c r="P88" s="529"/>
      <c r="Q88" s="75"/>
      <c r="R88" s="75"/>
      <c r="S88" s="75"/>
      <c r="T88" s="530"/>
      <c r="U88" s="76"/>
    </row>
    <row r="89" spans="1:21" x14ac:dyDescent="0.2">
      <c r="B89" s="58" t="str">
        <f t="shared" ref="B89:B95" si="50">+B77</f>
        <v>Sülysáp Város Önkormányzat</v>
      </c>
      <c r="C89" s="529">
        <f>+'3. Önk. Kiadások'!C120</f>
        <v>211500000</v>
      </c>
      <c r="D89" s="75">
        <f>+'3. Önk. Kiadások'!D120</f>
        <v>425525752</v>
      </c>
      <c r="E89" s="75">
        <f>+'3. Önk. Kiadások'!E120</f>
        <v>0</v>
      </c>
      <c r="F89" s="489">
        <f>+'3. Önk. Kiadások'!F120</f>
        <v>0</v>
      </c>
      <c r="G89" s="76"/>
      <c r="H89" s="529">
        <f>+'3. Önk. Kiadások'!H120</f>
        <v>7083713</v>
      </c>
      <c r="I89" s="75">
        <f>+'3. Önk. Kiadások'!I120</f>
        <v>0</v>
      </c>
      <c r="J89" s="75">
        <f>+'3. Önk. Kiadások'!J120</f>
        <v>0</v>
      </c>
      <c r="K89" s="76"/>
      <c r="L89" s="93"/>
      <c r="M89" s="93"/>
      <c r="N89" s="530"/>
      <c r="O89" s="76"/>
      <c r="P89" s="529">
        <f>+'3. Önk. Kiadások'!P120</f>
        <v>214025752</v>
      </c>
      <c r="Q89" s="75">
        <f>+'3. Önk. Kiadások'!Q120</f>
        <v>0</v>
      </c>
      <c r="R89" s="75">
        <f>+'3. Önk. Kiadások'!R120</f>
        <v>0</v>
      </c>
      <c r="S89" s="75">
        <f>+'3. Önk. Kiadások'!S120</f>
        <v>214025752</v>
      </c>
      <c r="T89" s="530"/>
      <c r="U89" s="76"/>
    </row>
    <row r="90" spans="1:21" x14ac:dyDescent="0.2">
      <c r="A90" s="58"/>
      <c r="B90" s="58" t="str">
        <f t="shared" si="50"/>
        <v>Gondozási Központ</v>
      </c>
      <c r="C90" s="529">
        <f>+'4. Dr Gáspár HSZK'!C83</f>
        <v>52000</v>
      </c>
      <c r="D90" s="75">
        <f>+'4. Dr Gáspár HSZK'!D83</f>
        <v>52000</v>
      </c>
      <c r="E90" s="75">
        <f>+'4. Dr Gáspár HSZK'!E83</f>
        <v>0</v>
      </c>
      <c r="F90" s="489">
        <f>+'4. Dr Gáspár HSZK'!F83</f>
        <v>0</v>
      </c>
      <c r="G90" s="75"/>
      <c r="H90" s="529">
        <f>+'4. Dr Gáspár HSZK'!H83</f>
        <v>0</v>
      </c>
      <c r="I90" s="75">
        <f>+'4. Dr Gáspár HSZK'!I83</f>
        <v>0</v>
      </c>
      <c r="J90" s="75">
        <f>+'4. Dr Gáspár HSZK'!J83</f>
        <v>0</v>
      </c>
      <c r="K90" s="75"/>
      <c r="L90" s="75"/>
      <c r="M90" s="75"/>
      <c r="N90" s="489"/>
      <c r="O90" s="75"/>
      <c r="P90" s="529">
        <f>+'4. Dr Gáspár HSZK'!P83</f>
        <v>0</v>
      </c>
      <c r="Q90" s="75">
        <f>+'4. Dr Gáspár HSZK'!Q83</f>
        <v>-52000</v>
      </c>
      <c r="R90" s="75">
        <f>+'4. Dr Gáspár HSZK'!R83</f>
        <v>0</v>
      </c>
      <c r="S90" s="75">
        <f>+'4. Dr Gáspár HSZK'!S83</f>
        <v>-52000</v>
      </c>
      <c r="T90" s="530"/>
      <c r="U90" s="76"/>
    </row>
    <row r="91" spans="1:21" x14ac:dyDescent="0.2">
      <c r="B91" s="58" t="str">
        <f t="shared" si="50"/>
        <v>Csicsergő Napköziotthonos Óvoda</v>
      </c>
      <c r="C91" s="529">
        <f>+'5. Csicsergő'!C84</f>
        <v>1070000</v>
      </c>
      <c r="D91" s="75">
        <f>+'5. Csicsergő'!D84</f>
        <v>619000</v>
      </c>
      <c r="E91" s="75">
        <f>+'5. Csicsergő'!E84</f>
        <v>0</v>
      </c>
      <c r="F91" s="489">
        <f>+'5. Csicsergő'!F84</f>
        <v>0</v>
      </c>
      <c r="G91" s="75"/>
      <c r="H91" s="529">
        <f>+'5. Csicsergő'!H84</f>
        <v>31989</v>
      </c>
      <c r="I91" s="75">
        <f>+'5. Csicsergő'!I84</f>
        <v>0</v>
      </c>
      <c r="J91" s="75">
        <f>+'5. Csicsergő'!J84</f>
        <v>0</v>
      </c>
      <c r="K91" s="75"/>
      <c r="L91" s="75"/>
      <c r="M91" s="75"/>
      <c r="N91" s="489"/>
      <c r="O91" s="75"/>
      <c r="P91" s="529">
        <f>+'5. Csicsergő'!P84</f>
        <v>-451000</v>
      </c>
      <c r="Q91" s="75">
        <f>+'5. Csicsergő'!Q84</f>
        <v>-619000</v>
      </c>
      <c r="R91" s="75">
        <f>+'5. Csicsergő'!R84</f>
        <v>0</v>
      </c>
      <c r="S91" s="75">
        <f>+'5. Csicsergő'!S84</f>
        <v>-1070000</v>
      </c>
      <c r="T91" s="530"/>
      <c r="U91" s="76"/>
    </row>
    <row r="92" spans="1:21" x14ac:dyDescent="0.2">
      <c r="B92" s="58" t="str">
        <f t="shared" si="50"/>
        <v>Gólyahír Bőlcsőde</v>
      </c>
      <c r="C92" s="529">
        <f>+'6. Gólyahír'!C83</f>
        <v>14000</v>
      </c>
      <c r="D92" s="75">
        <f>+'6. Gólyahír'!D83</f>
        <v>14000</v>
      </c>
      <c r="E92" s="75">
        <f>+'6. Gólyahír'!E83</f>
        <v>0</v>
      </c>
      <c r="F92" s="489">
        <f>+'6. Gólyahír'!F83</f>
        <v>0</v>
      </c>
      <c r="G92" s="75"/>
      <c r="H92" s="529">
        <f>+'6. Gólyahír'!H83</f>
        <v>0</v>
      </c>
      <c r="I92" s="75">
        <f>+'6. Gólyahír'!I83</f>
        <v>0</v>
      </c>
      <c r="J92" s="75">
        <f>+'6. Gólyahír'!J83</f>
        <v>0</v>
      </c>
      <c r="K92" s="75"/>
      <c r="L92" s="75"/>
      <c r="M92" s="75"/>
      <c r="N92" s="489"/>
      <c r="O92" s="75"/>
      <c r="P92" s="529">
        <f>+'6. Gólyahír'!P83</f>
        <v>0</v>
      </c>
      <c r="Q92" s="75">
        <f>+'6. Gólyahír'!Q83</f>
        <v>-14000</v>
      </c>
      <c r="R92" s="75">
        <f>+'6. Gólyahír'!R83</f>
        <v>0</v>
      </c>
      <c r="S92" s="75">
        <f>+'6. Gólyahír'!S83</f>
        <v>-14000</v>
      </c>
      <c r="T92" s="530"/>
      <c r="U92" s="76"/>
    </row>
    <row r="93" spans="1:21" x14ac:dyDescent="0.2">
      <c r="B93" s="352" t="str">
        <f t="shared" si="50"/>
        <v>Polgármesteri Hivatal</v>
      </c>
      <c r="C93" s="529">
        <f>+'7. Polg.Hiv.'!C83</f>
        <v>1324900</v>
      </c>
      <c r="D93" s="75">
        <f>+'7. Polg.Hiv.'!D83</f>
        <v>1324900</v>
      </c>
      <c r="E93" s="75">
        <f>+'7. Polg.Hiv.'!E83</f>
        <v>0</v>
      </c>
      <c r="F93" s="489">
        <f>+'7. Polg.Hiv.'!F83</f>
        <v>0</v>
      </c>
      <c r="G93" s="75"/>
      <c r="H93" s="529">
        <f>+'7. Polg.Hiv.'!H83</f>
        <v>700659</v>
      </c>
      <c r="I93" s="75">
        <f>+'7. Polg.Hiv.'!I83</f>
        <v>0</v>
      </c>
      <c r="J93" s="75">
        <f>+'7. Polg.Hiv.'!J83</f>
        <v>0</v>
      </c>
      <c r="K93" s="75"/>
      <c r="L93" s="75"/>
      <c r="M93" s="75"/>
      <c r="N93" s="489"/>
      <c r="O93" s="75"/>
      <c r="P93" s="529">
        <f>+'7. Polg.Hiv.'!P83</f>
        <v>0</v>
      </c>
      <c r="Q93" s="75">
        <f>+'7. Polg.Hiv.'!Q83</f>
        <v>-1324900</v>
      </c>
      <c r="R93" s="75">
        <f>+'7. Polg.Hiv.'!R83</f>
        <v>0</v>
      </c>
      <c r="S93" s="75">
        <f>+'7. Polg.Hiv.'!S83</f>
        <v>-1324900</v>
      </c>
      <c r="T93" s="530"/>
      <c r="U93" s="76"/>
    </row>
    <row r="94" spans="1:21" x14ac:dyDescent="0.2">
      <c r="B94" s="58" t="str">
        <f t="shared" si="50"/>
        <v>Wass Albert Művelődési Központ és Könyvtár</v>
      </c>
      <c r="C94" s="529">
        <f>+'8. WAMKK'!C83</f>
        <v>350000</v>
      </c>
      <c r="D94" s="75">
        <f>+'8. WAMKK'!D83</f>
        <v>364000</v>
      </c>
      <c r="E94" s="75">
        <f>+'8. WAMKK'!E83</f>
        <v>0</v>
      </c>
      <c r="F94" s="489">
        <f>+'8. WAMKK'!F83</f>
        <v>0</v>
      </c>
      <c r="G94" s="75"/>
      <c r="H94" s="529">
        <f>+'8. WAMKK'!H83</f>
        <v>362960</v>
      </c>
      <c r="I94" s="75">
        <f>+'8. WAMKK'!I83</f>
        <v>0</v>
      </c>
      <c r="J94" s="75">
        <f>+'8. WAMKK'!J83</f>
        <v>0</v>
      </c>
      <c r="K94" s="75"/>
      <c r="L94" s="75"/>
      <c r="M94" s="75"/>
      <c r="N94" s="489"/>
      <c r="O94" s="75"/>
      <c r="P94" s="529">
        <f>+'8. WAMKK'!P83</f>
        <v>14000</v>
      </c>
      <c r="Q94" s="75">
        <f>+'8. WAMKK'!Q83</f>
        <v>-364000</v>
      </c>
      <c r="R94" s="75">
        <f>+'8. WAMKK'!R83</f>
        <v>0</v>
      </c>
      <c r="S94" s="75">
        <f>+'8. WAMKK'!S83</f>
        <v>-350000</v>
      </c>
      <c r="T94" s="530"/>
      <c r="U94" s="76"/>
    </row>
    <row r="95" spans="1:21" x14ac:dyDescent="0.2">
      <c r="B95" s="58" t="str">
        <f t="shared" si="50"/>
        <v>Központi Konyha</v>
      </c>
      <c r="C95" s="529">
        <f>+'9. Közp. Konyha'!C83</f>
        <v>800000</v>
      </c>
      <c r="D95" s="75">
        <f>+'9. Közp. Konyha'!D83</f>
        <v>800000</v>
      </c>
      <c r="E95" s="75">
        <f>+'9. Közp. Konyha'!E83</f>
        <v>0</v>
      </c>
      <c r="F95" s="489">
        <f>+'9. Közp. Konyha'!F83</f>
        <v>0</v>
      </c>
      <c r="G95" s="75"/>
      <c r="H95" s="529">
        <f>+'9. Közp. Konyha'!H83</f>
        <v>201042</v>
      </c>
      <c r="I95" s="75">
        <f>+'9. Közp. Konyha'!I83</f>
        <v>0</v>
      </c>
      <c r="J95" s="75">
        <f>+'9. Közp. Konyha'!J83</f>
        <v>0</v>
      </c>
      <c r="K95" s="75"/>
      <c r="L95" s="75"/>
      <c r="M95" s="75"/>
      <c r="N95" s="489"/>
      <c r="O95" s="75"/>
      <c r="P95" s="529">
        <f>+'9. Közp. Konyha'!P83</f>
        <v>0</v>
      </c>
      <c r="Q95" s="75">
        <f>+'9. Közp. Konyha'!Q83</f>
        <v>-800000</v>
      </c>
      <c r="R95" s="75">
        <f>+'9. Közp. Konyha'!R83</f>
        <v>0</v>
      </c>
      <c r="S95" s="75">
        <f>+'9. Közp. Konyha'!S83</f>
        <v>-800000</v>
      </c>
      <c r="T95" s="530"/>
      <c r="U95" s="76"/>
    </row>
    <row r="96" spans="1:21" ht="8.1" customHeight="1" x14ac:dyDescent="0.2">
      <c r="B96" s="413" t="s">
        <v>459</v>
      </c>
      <c r="C96" s="531"/>
      <c r="D96" s="412"/>
      <c r="E96" s="412"/>
      <c r="F96" s="542"/>
      <c r="G96" s="412"/>
      <c r="H96" s="531"/>
      <c r="I96" s="412"/>
      <c r="J96" s="412"/>
      <c r="K96" s="412"/>
      <c r="L96" s="412"/>
      <c r="M96" s="412"/>
      <c r="N96" s="542"/>
      <c r="O96" s="412"/>
      <c r="P96" s="531"/>
      <c r="Q96" s="412"/>
      <c r="R96" s="412"/>
      <c r="S96" s="412"/>
      <c r="T96" s="530"/>
      <c r="U96" s="76"/>
    </row>
    <row r="97" spans="1:21" x14ac:dyDescent="0.2">
      <c r="A97" s="414" t="str">
        <f>+A88</f>
        <v>K6</v>
      </c>
      <c r="B97" s="394" t="s">
        <v>452</v>
      </c>
      <c r="C97" s="532">
        <f>SUM(C89:C96)</f>
        <v>215110900</v>
      </c>
      <c r="D97" s="395">
        <f t="shared" ref="D97:F97" si="51">SUM(D89:D96)</f>
        <v>428699652</v>
      </c>
      <c r="E97" s="395">
        <f t="shared" si="51"/>
        <v>0</v>
      </c>
      <c r="F97" s="543">
        <f t="shared" si="51"/>
        <v>0</v>
      </c>
      <c r="G97" s="395"/>
      <c r="H97" s="532">
        <f>SUM(H89:H96)</f>
        <v>8380363</v>
      </c>
      <c r="I97" s="395">
        <f t="shared" ref="I97:J97" si="52">SUM(I89:I96)</f>
        <v>0</v>
      </c>
      <c r="J97" s="395">
        <f t="shared" si="52"/>
        <v>0</v>
      </c>
      <c r="K97" s="395"/>
      <c r="L97" s="395"/>
      <c r="M97" s="395"/>
      <c r="N97" s="543"/>
      <c r="O97" s="395"/>
      <c r="P97" s="532">
        <f>SUM(P89:P96)</f>
        <v>213588752</v>
      </c>
      <c r="Q97" s="395">
        <f t="shared" ref="Q97:S97" si="53">SUM(Q89:Q96)</f>
        <v>-3173900</v>
      </c>
      <c r="R97" s="395">
        <f t="shared" si="53"/>
        <v>0</v>
      </c>
      <c r="S97" s="395">
        <f t="shared" si="53"/>
        <v>210414852</v>
      </c>
      <c r="T97" s="530"/>
      <c r="U97" s="76"/>
    </row>
    <row r="98" spans="1:21" x14ac:dyDescent="0.2">
      <c r="C98" s="533"/>
      <c r="F98" s="487"/>
      <c r="H98" s="533"/>
      <c r="N98" s="530"/>
      <c r="P98" s="533"/>
      <c r="T98" s="530"/>
    </row>
    <row r="99" spans="1:21" x14ac:dyDescent="0.2">
      <c r="C99" s="533"/>
      <c r="F99" s="487"/>
      <c r="H99" s="533"/>
      <c r="N99" s="530"/>
      <c r="P99" s="533"/>
      <c r="T99" s="530"/>
    </row>
    <row r="100" spans="1:21" x14ac:dyDescent="0.2">
      <c r="A100" s="346" t="s">
        <v>173</v>
      </c>
      <c r="B100" s="346" t="str">
        <f>+'3. Önk. Kiadások'!B129</f>
        <v>Felújítások</v>
      </c>
      <c r="C100" s="529"/>
      <c r="D100" s="76"/>
      <c r="E100" s="76"/>
      <c r="F100" s="555"/>
      <c r="G100" s="76"/>
      <c r="H100" s="529"/>
      <c r="K100" s="76"/>
      <c r="L100" s="93"/>
      <c r="M100" s="93"/>
      <c r="N100" s="530"/>
      <c r="O100" s="76"/>
      <c r="P100" s="529"/>
      <c r="Q100" s="75"/>
      <c r="R100" s="75"/>
      <c r="S100" s="75"/>
      <c r="T100" s="530"/>
      <c r="U100" s="76"/>
    </row>
    <row r="101" spans="1:21" x14ac:dyDescent="0.2">
      <c r="B101" s="58" t="str">
        <f t="shared" ref="B101:B107" si="54">+B89</f>
        <v>Sülysáp Város Önkormányzat</v>
      </c>
      <c r="C101" s="529">
        <f>+'3. Önk. Kiadások'!C129</f>
        <v>108480000</v>
      </c>
      <c r="D101" s="75">
        <f>+'3. Önk. Kiadások'!D129</f>
        <v>296686866</v>
      </c>
      <c r="E101" s="75">
        <f>+'3. Önk. Kiadások'!E129</f>
        <v>0</v>
      </c>
      <c r="F101" s="489">
        <f>+'3. Önk. Kiadások'!F129</f>
        <v>0</v>
      </c>
      <c r="G101" s="76"/>
      <c r="H101" s="529">
        <f>+'3. Önk. Kiadások'!H129</f>
        <v>3723918</v>
      </c>
      <c r="I101" s="75">
        <f>+'3. Önk. Kiadások'!I129</f>
        <v>0</v>
      </c>
      <c r="J101" s="75">
        <f>+'3. Önk. Kiadások'!J129</f>
        <v>0</v>
      </c>
      <c r="K101" s="76"/>
      <c r="L101" s="93"/>
      <c r="M101" s="93"/>
      <c r="N101" s="530"/>
      <c r="O101" s="76"/>
      <c r="P101" s="529">
        <f>+'3. Önk. Kiadások'!P129</f>
        <v>188206866</v>
      </c>
      <c r="Q101" s="75">
        <f>+'3. Önk. Kiadások'!Q129</f>
        <v>0</v>
      </c>
      <c r="R101" s="75">
        <f>+'3. Önk. Kiadások'!R129</f>
        <v>0</v>
      </c>
      <c r="S101" s="75">
        <f>+'3. Önk. Kiadások'!S129</f>
        <v>188206866</v>
      </c>
      <c r="T101" s="530"/>
      <c r="U101" s="76"/>
    </row>
    <row r="102" spans="1:21" x14ac:dyDescent="0.2">
      <c r="A102" s="58"/>
      <c r="B102" s="58" t="str">
        <f t="shared" si="54"/>
        <v>Gondozási Központ</v>
      </c>
      <c r="C102" s="529">
        <f>+'4. Dr Gáspár HSZK'!C86</f>
        <v>0</v>
      </c>
      <c r="D102" s="75">
        <f>+'4. Dr Gáspár HSZK'!D86</f>
        <v>0</v>
      </c>
      <c r="E102" s="75">
        <f>+'4. Dr Gáspár HSZK'!E86</f>
        <v>0</v>
      </c>
      <c r="F102" s="489">
        <f>+'4. Dr Gáspár HSZK'!F86</f>
        <v>0</v>
      </c>
      <c r="G102" s="75"/>
      <c r="H102" s="529">
        <f>+'4. Dr Gáspár HSZK'!H86</f>
        <v>0</v>
      </c>
      <c r="I102" s="75">
        <f>+'4. Dr Gáspár HSZK'!I86</f>
        <v>0</v>
      </c>
      <c r="J102" s="75">
        <f>+'4. Dr Gáspár HSZK'!J86</f>
        <v>0</v>
      </c>
      <c r="K102" s="75"/>
      <c r="L102" s="75"/>
      <c r="M102" s="75"/>
      <c r="N102" s="489"/>
      <c r="O102" s="75"/>
      <c r="P102" s="529">
        <f>+'4. Dr Gáspár HSZK'!P86</f>
        <v>0</v>
      </c>
      <c r="Q102" s="75">
        <f>+'4. Dr Gáspár HSZK'!Q86</f>
        <v>0</v>
      </c>
      <c r="R102" s="75">
        <f>+'4. Dr Gáspár HSZK'!R86</f>
        <v>0</v>
      </c>
      <c r="S102" s="75">
        <f>+'4. Dr Gáspár HSZK'!S86</f>
        <v>0</v>
      </c>
      <c r="T102" s="530"/>
      <c r="U102" s="76"/>
    </row>
    <row r="103" spans="1:21" x14ac:dyDescent="0.2">
      <c r="B103" s="58" t="str">
        <f t="shared" si="54"/>
        <v>Csicsergő Napköziotthonos Óvoda</v>
      </c>
      <c r="C103" s="529">
        <f>+'5. Csicsergő'!C87</f>
        <v>0</v>
      </c>
      <c r="D103" s="75">
        <f>+'5. Csicsergő'!D87</f>
        <v>0</v>
      </c>
      <c r="E103" s="75">
        <f>+'5. Csicsergő'!E87</f>
        <v>0</v>
      </c>
      <c r="F103" s="489">
        <f>+'5. Csicsergő'!F87</f>
        <v>0</v>
      </c>
      <c r="G103" s="75"/>
      <c r="H103" s="529">
        <f>+'5. Csicsergő'!H87</f>
        <v>0</v>
      </c>
      <c r="I103" s="75">
        <f>+'5. Csicsergő'!I87</f>
        <v>0</v>
      </c>
      <c r="J103" s="75">
        <f>+'5. Csicsergő'!J87</f>
        <v>0</v>
      </c>
      <c r="K103" s="75"/>
      <c r="L103" s="75"/>
      <c r="M103" s="75"/>
      <c r="N103" s="489"/>
      <c r="O103" s="75"/>
      <c r="P103" s="529">
        <f>+'5. Csicsergő'!P87</f>
        <v>0</v>
      </c>
      <c r="Q103" s="75">
        <f>+'5. Csicsergő'!Q87</f>
        <v>0</v>
      </c>
      <c r="R103" s="75">
        <f>+'5. Csicsergő'!R87</f>
        <v>0</v>
      </c>
      <c r="S103" s="75">
        <f>+'5. Csicsergő'!S87</f>
        <v>0</v>
      </c>
      <c r="T103" s="530"/>
      <c r="U103" s="76"/>
    </row>
    <row r="104" spans="1:21" x14ac:dyDescent="0.2">
      <c r="B104" s="58" t="str">
        <f t="shared" si="54"/>
        <v>Gólyahír Bőlcsőde</v>
      </c>
      <c r="C104" s="529">
        <f>+'6. Gólyahír'!C86</f>
        <v>0</v>
      </c>
      <c r="D104" s="75">
        <f>+'6. Gólyahír'!D86</f>
        <v>0</v>
      </c>
      <c r="E104" s="75">
        <f>+'6. Gólyahír'!E86</f>
        <v>0</v>
      </c>
      <c r="F104" s="489">
        <f>+'6. Gólyahír'!F86</f>
        <v>0</v>
      </c>
      <c r="G104" s="75"/>
      <c r="H104" s="529">
        <f>+'6. Gólyahír'!H86</f>
        <v>0</v>
      </c>
      <c r="I104" s="75">
        <f>+'6. Gólyahír'!I86</f>
        <v>0</v>
      </c>
      <c r="J104" s="75">
        <f>+'6. Gólyahír'!J86</f>
        <v>0</v>
      </c>
      <c r="K104" s="75"/>
      <c r="L104" s="75"/>
      <c r="M104" s="75"/>
      <c r="N104" s="489"/>
      <c r="O104" s="75"/>
      <c r="P104" s="529">
        <f>+'6. Gólyahír'!P86</f>
        <v>0</v>
      </c>
      <c r="Q104" s="75">
        <f>+'6. Gólyahír'!Q86</f>
        <v>0</v>
      </c>
      <c r="R104" s="75">
        <f>+'6. Gólyahír'!R86</f>
        <v>0</v>
      </c>
      <c r="S104" s="75">
        <f>+'6. Gólyahír'!S86</f>
        <v>0</v>
      </c>
      <c r="T104" s="530"/>
      <c r="U104" s="76"/>
    </row>
    <row r="105" spans="1:21" x14ac:dyDescent="0.2">
      <c r="B105" s="58" t="str">
        <f t="shared" si="54"/>
        <v>Polgármesteri Hivatal</v>
      </c>
      <c r="C105" s="529">
        <f>+'7. Polg.Hiv.'!C86</f>
        <v>0</v>
      </c>
      <c r="D105" s="75">
        <f>+'7. Polg.Hiv.'!D86</f>
        <v>0</v>
      </c>
      <c r="E105" s="75">
        <f>+'7. Polg.Hiv.'!E86</f>
        <v>0</v>
      </c>
      <c r="F105" s="489">
        <f>+'7. Polg.Hiv.'!F86</f>
        <v>0</v>
      </c>
      <c r="G105" s="75"/>
      <c r="H105" s="529">
        <f>+'7. Polg.Hiv.'!H86</f>
        <v>0</v>
      </c>
      <c r="I105" s="75">
        <f>+'7. Polg.Hiv.'!I86</f>
        <v>0</v>
      </c>
      <c r="J105" s="75">
        <f>+'7. Polg.Hiv.'!J86</f>
        <v>0</v>
      </c>
      <c r="K105" s="75"/>
      <c r="L105" s="75"/>
      <c r="M105" s="75"/>
      <c r="N105" s="489"/>
      <c r="O105" s="75"/>
      <c r="P105" s="529">
        <f>+'7. Polg.Hiv.'!P86</f>
        <v>0</v>
      </c>
      <c r="Q105" s="75">
        <f>+'7. Polg.Hiv.'!Q86</f>
        <v>0</v>
      </c>
      <c r="R105" s="75">
        <f>+'7. Polg.Hiv.'!R86</f>
        <v>0</v>
      </c>
      <c r="S105" s="75">
        <f>+'7. Polg.Hiv.'!S86</f>
        <v>0</v>
      </c>
      <c r="T105" s="530"/>
      <c r="U105" s="76"/>
    </row>
    <row r="106" spans="1:21" x14ac:dyDescent="0.2">
      <c r="B106" s="58" t="str">
        <f t="shared" si="54"/>
        <v>Wass Albert Művelődési Központ és Könyvtár</v>
      </c>
      <c r="C106" s="529">
        <f>+'8. WAMKK'!C86</f>
        <v>0</v>
      </c>
      <c r="D106" s="75">
        <f>+'8. WAMKK'!D86</f>
        <v>0</v>
      </c>
      <c r="E106" s="75">
        <f>+'8. WAMKK'!E86</f>
        <v>0</v>
      </c>
      <c r="F106" s="489">
        <f>+'8. WAMKK'!F86</f>
        <v>0</v>
      </c>
      <c r="G106" s="75"/>
      <c r="H106" s="529">
        <f>+'8. WAMKK'!H86</f>
        <v>0</v>
      </c>
      <c r="I106" s="75">
        <f>+'8. WAMKK'!I86</f>
        <v>0</v>
      </c>
      <c r="J106" s="75">
        <f>+'8. WAMKK'!J86</f>
        <v>0</v>
      </c>
      <c r="K106" s="75"/>
      <c r="L106" s="75"/>
      <c r="M106" s="75"/>
      <c r="N106" s="489"/>
      <c r="O106" s="75"/>
      <c r="P106" s="529">
        <f>+'8. WAMKK'!P86</f>
        <v>0</v>
      </c>
      <c r="Q106" s="75">
        <f>+'8. WAMKK'!Q86</f>
        <v>0</v>
      </c>
      <c r="R106" s="75">
        <f>+'8. WAMKK'!R86</f>
        <v>0</v>
      </c>
      <c r="S106" s="75">
        <f>+'8. WAMKK'!S86</f>
        <v>0</v>
      </c>
      <c r="T106" s="530"/>
      <c r="U106" s="76"/>
    </row>
    <row r="107" spans="1:21" x14ac:dyDescent="0.2">
      <c r="B107" s="58" t="str">
        <f t="shared" si="54"/>
        <v>Központi Konyha</v>
      </c>
      <c r="C107" s="529">
        <f>+'9. Közp. Konyha'!C86</f>
        <v>0</v>
      </c>
      <c r="D107" s="75">
        <f>+'9. Közp. Konyha'!D86</f>
        <v>0</v>
      </c>
      <c r="E107" s="75">
        <f>+'9. Közp. Konyha'!E86</f>
        <v>0</v>
      </c>
      <c r="F107" s="489">
        <f>+'9. Közp. Konyha'!F86</f>
        <v>0</v>
      </c>
      <c r="G107" s="75"/>
      <c r="H107" s="529">
        <f>+'9. Közp. Konyha'!H86</f>
        <v>0</v>
      </c>
      <c r="I107" s="75">
        <f>+'9. Közp. Konyha'!I86</f>
        <v>0</v>
      </c>
      <c r="J107" s="75">
        <f>+'9. Közp. Konyha'!J86</f>
        <v>0</v>
      </c>
      <c r="K107" s="75"/>
      <c r="L107" s="75"/>
      <c r="M107" s="75"/>
      <c r="N107" s="489"/>
      <c r="O107" s="75"/>
      <c r="P107" s="529">
        <f>+'9. Közp. Konyha'!P86</f>
        <v>0</v>
      </c>
      <c r="Q107" s="75">
        <f>+'9. Közp. Konyha'!Q86</f>
        <v>0</v>
      </c>
      <c r="R107" s="75">
        <f>+'9. Közp. Konyha'!R86</f>
        <v>0</v>
      </c>
      <c r="S107" s="75">
        <f>+'9. Közp. Konyha'!S86</f>
        <v>0</v>
      </c>
      <c r="T107" s="530"/>
      <c r="U107" s="76"/>
    </row>
    <row r="108" spans="1:21" ht="8.1" customHeight="1" x14ac:dyDescent="0.2">
      <c r="B108" s="413" t="s">
        <v>459</v>
      </c>
      <c r="C108" s="531"/>
      <c r="D108" s="412"/>
      <c r="E108" s="412"/>
      <c r="F108" s="542"/>
      <c r="G108" s="412"/>
      <c r="H108" s="531"/>
      <c r="I108" s="412"/>
      <c r="J108" s="412"/>
      <c r="K108" s="412"/>
      <c r="L108" s="412"/>
      <c r="M108" s="412"/>
      <c r="N108" s="542"/>
      <c r="O108" s="412"/>
      <c r="P108" s="531"/>
      <c r="Q108" s="412"/>
      <c r="R108" s="412"/>
      <c r="S108" s="412"/>
      <c r="T108" s="530"/>
      <c r="U108" s="76"/>
    </row>
    <row r="109" spans="1:21" x14ac:dyDescent="0.2">
      <c r="A109" s="414" t="str">
        <f>+A100</f>
        <v>K7</v>
      </c>
      <c r="B109" s="394" t="s">
        <v>452</v>
      </c>
      <c r="C109" s="532">
        <f>SUM(C101:C108)</f>
        <v>108480000</v>
      </c>
      <c r="D109" s="395">
        <f t="shared" ref="D109:F109" si="55">SUM(D101:D108)</f>
        <v>296686866</v>
      </c>
      <c r="E109" s="395">
        <f t="shared" si="55"/>
        <v>0</v>
      </c>
      <c r="F109" s="543">
        <f t="shared" si="55"/>
        <v>0</v>
      </c>
      <c r="G109" s="395"/>
      <c r="H109" s="532">
        <f>SUM(H101:H108)</f>
        <v>3723918</v>
      </c>
      <c r="I109" s="395">
        <f t="shared" ref="I109:J109" si="56">SUM(I101:I108)</f>
        <v>0</v>
      </c>
      <c r="J109" s="395">
        <f t="shared" si="56"/>
        <v>0</v>
      </c>
      <c r="K109" s="395"/>
      <c r="L109" s="395"/>
      <c r="M109" s="395"/>
      <c r="N109" s="543"/>
      <c r="O109" s="395"/>
      <c r="P109" s="532">
        <f>SUM(P101:P108)</f>
        <v>188206866</v>
      </c>
      <c r="Q109" s="395">
        <f t="shared" ref="Q109:S109" si="57">SUM(Q101:Q108)</f>
        <v>0</v>
      </c>
      <c r="R109" s="395">
        <f t="shared" si="57"/>
        <v>0</v>
      </c>
      <c r="S109" s="395">
        <f t="shared" si="57"/>
        <v>188206866</v>
      </c>
      <c r="T109" s="530"/>
      <c r="U109" s="76"/>
    </row>
    <row r="110" spans="1:21" x14ac:dyDescent="0.2">
      <c r="C110" s="533"/>
      <c r="F110" s="487"/>
      <c r="H110" s="533"/>
      <c r="N110" s="530"/>
      <c r="P110" s="533"/>
      <c r="T110" s="530"/>
    </row>
    <row r="111" spans="1:21" x14ac:dyDescent="0.2">
      <c r="C111" s="533"/>
      <c r="F111" s="487"/>
      <c r="H111" s="533"/>
      <c r="N111" s="530"/>
      <c r="P111" s="533"/>
      <c r="T111" s="530"/>
    </row>
    <row r="112" spans="1:21" x14ac:dyDescent="0.2">
      <c r="A112" s="346" t="s">
        <v>183</v>
      </c>
      <c r="B112" s="346" t="str">
        <f>+'3. Önk. Kiadások'!B135</f>
        <v>Egyéb felhalmozási célú kiadások</v>
      </c>
      <c r="C112" s="529"/>
      <c r="D112" s="76"/>
      <c r="E112" s="76"/>
      <c r="F112" s="555"/>
      <c r="G112" s="76"/>
      <c r="H112" s="529"/>
      <c r="K112" s="76"/>
      <c r="L112" s="93"/>
      <c r="M112" s="93"/>
      <c r="N112" s="530"/>
      <c r="O112" s="76"/>
      <c r="P112" s="529"/>
      <c r="Q112" s="75"/>
      <c r="R112" s="75"/>
      <c r="S112" s="75"/>
      <c r="T112" s="530"/>
      <c r="U112" s="76"/>
    </row>
    <row r="113" spans="1:21" x14ac:dyDescent="0.2">
      <c r="B113" s="58" t="str">
        <f t="shared" ref="B113:B119" si="58">+B101</f>
        <v>Sülysáp Város Önkormányzat</v>
      </c>
      <c r="C113" s="529">
        <f>+'3. Önk. Kiadások'!C135</f>
        <v>0</v>
      </c>
      <c r="D113" s="75">
        <f>+'3. Önk. Kiadások'!D135</f>
        <v>0</v>
      </c>
      <c r="E113" s="75">
        <f>+'3. Önk. Kiadások'!E135</f>
        <v>0</v>
      </c>
      <c r="F113" s="489">
        <f>+'3. Önk. Kiadások'!F135</f>
        <v>0</v>
      </c>
      <c r="G113" s="76"/>
      <c r="H113" s="529">
        <f>+'3. Önk. Kiadások'!H135</f>
        <v>0</v>
      </c>
      <c r="I113" s="75">
        <f>+'3. Önk. Kiadások'!I135</f>
        <v>0</v>
      </c>
      <c r="J113" s="75">
        <f>+'3. Önk. Kiadások'!J135</f>
        <v>0</v>
      </c>
      <c r="K113" s="76"/>
      <c r="L113" s="93"/>
      <c r="M113" s="93"/>
      <c r="N113" s="530"/>
      <c r="O113" s="76"/>
      <c r="P113" s="529">
        <f>+'3. Önk. Kiadások'!P135</f>
        <v>0</v>
      </c>
      <c r="Q113" s="75">
        <f>+'3. Önk. Kiadások'!Q135</f>
        <v>0</v>
      </c>
      <c r="R113" s="75">
        <f>+'3. Önk. Kiadások'!R135</f>
        <v>0</v>
      </c>
      <c r="S113" s="75">
        <f>+'3. Önk. Kiadások'!S135</f>
        <v>0</v>
      </c>
      <c r="T113" s="530"/>
      <c r="U113" s="76"/>
    </row>
    <row r="114" spans="1:21" x14ac:dyDescent="0.2">
      <c r="A114" s="58"/>
      <c r="B114" s="58" t="str">
        <f t="shared" si="58"/>
        <v>Gondozási Központ</v>
      </c>
      <c r="C114" s="529"/>
      <c r="D114" s="75"/>
      <c r="E114" s="75"/>
      <c r="F114" s="489"/>
      <c r="G114" s="75"/>
      <c r="H114" s="529"/>
      <c r="I114" s="75"/>
      <c r="J114" s="75"/>
      <c r="K114" s="75"/>
      <c r="L114" s="75"/>
      <c r="M114" s="75"/>
      <c r="N114" s="489"/>
      <c r="O114" s="75"/>
      <c r="P114" s="529"/>
      <c r="Q114" s="75"/>
      <c r="R114" s="75"/>
      <c r="S114" s="75"/>
      <c r="T114" s="530"/>
      <c r="U114" s="76"/>
    </row>
    <row r="115" spans="1:21" x14ac:dyDescent="0.2">
      <c r="B115" s="58" t="str">
        <f t="shared" si="58"/>
        <v>Csicsergő Napköziotthonos Óvoda</v>
      </c>
      <c r="C115" s="529"/>
      <c r="D115" s="75"/>
      <c r="E115" s="75"/>
      <c r="F115" s="489"/>
      <c r="G115" s="75"/>
      <c r="H115" s="529"/>
      <c r="I115" s="75"/>
      <c r="J115" s="75"/>
      <c r="K115" s="75"/>
      <c r="L115" s="75"/>
      <c r="M115" s="75"/>
      <c r="N115" s="489"/>
      <c r="O115" s="75"/>
      <c r="P115" s="529"/>
      <c r="Q115" s="75"/>
      <c r="R115" s="75"/>
      <c r="S115" s="75"/>
      <c r="T115" s="530"/>
      <c r="U115" s="76"/>
    </row>
    <row r="116" spans="1:21" x14ac:dyDescent="0.2">
      <c r="B116" s="58" t="str">
        <f t="shared" si="58"/>
        <v>Gólyahír Bőlcsőde</v>
      </c>
      <c r="C116" s="529"/>
      <c r="D116" s="75"/>
      <c r="E116" s="75"/>
      <c r="F116" s="489"/>
      <c r="G116" s="75"/>
      <c r="H116" s="529"/>
      <c r="I116" s="75"/>
      <c r="J116" s="75"/>
      <c r="K116" s="75"/>
      <c r="L116" s="75"/>
      <c r="M116" s="75"/>
      <c r="N116" s="489"/>
      <c r="O116" s="75"/>
      <c r="P116" s="529"/>
      <c r="Q116" s="75"/>
      <c r="R116" s="75"/>
      <c r="S116" s="75"/>
      <c r="T116" s="530"/>
      <c r="U116" s="76"/>
    </row>
    <row r="117" spans="1:21" x14ac:dyDescent="0.2">
      <c r="B117" s="58" t="str">
        <f t="shared" si="58"/>
        <v>Polgármesteri Hivatal</v>
      </c>
      <c r="C117" s="529"/>
      <c r="D117" s="75"/>
      <c r="E117" s="75"/>
      <c r="F117" s="489"/>
      <c r="G117" s="75"/>
      <c r="H117" s="529"/>
      <c r="I117" s="75"/>
      <c r="J117" s="75"/>
      <c r="K117" s="75"/>
      <c r="L117" s="75"/>
      <c r="M117" s="75"/>
      <c r="N117" s="489"/>
      <c r="O117" s="75"/>
      <c r="P117" s="529"/>
      <c r="Q117" s="75"/>
      <c r="R117" s="75"/>
      <c r="S117" s="75"/>
      <c r="T117" s="530"/>
      <c r="U117" s="76"/>
    </row>
    <row r="118" spans="1:21" x14ac:dyDescent="0.2">
      <c r="B118" s="58" t="str">
        <f t="shared" si="58"/>
        <v>Wass Albert Művelődési Központ és Könyvtár</v>
      </c>
      <c r="C118" s="529"/>
      <c r="D118" s="75"/>
      <c r="E118" s="75"/>
      <c r="F118" s="489"/>
      <c r="G118" s="75"/>
      <c r="H118" s="529"/>
      <c r="I118" s="75"/>
      <c r="J118" s="75"/>
      <c r="K118" s="75"/>
      <c r="L118" s="75"/>
      <c r="M118" s="75"/>
      <c r="N118" s="489"/>
      <c r="O118" s="75"/>
      <c r="P118" s="529"/>
      <c r="Q118" s="75"/>
      <c r="R118" s="75"/>
      <c r="S118" s="75"/>
      <c r="T118" s="530"/>
      <c r="U118" s="76"/>
    </row>
    <row r="119" spans="1:21" x14ac:dyDescent="0.2">
      <c r="B119" s="58" t="str">
        <f t="shared" si="58"/>
        <v>Központi Konyha</v>
      </c>
      <c r="C119" s="529"/>
      <c r="D119" s="75"/>
      <c r="E119" s="75"/>
      <c r="F119" s="489"/>
      <c r="G119" s="75"/>
      <c r="H119" s="529"/>
      <c r="I119" s="75"/>
      <c r="J119" s="75"/>
      <c r="K119" s="75"/>
      <c r="L119" s="75"/>
      <c r="M119" s="75"/>
      <c r="N119" s="489"/>
      <c r="O119" s="75"/>
      <c r="P119" s="529"/>
      <c r="Q119" s="75"/>
      <c r="R119" s="75"/>
      <c r="S119" s="75"/>
      <c r="T119" s="530"/>
      <c r="U119" s="76"/>
    </row>
    <row r="120" spans="1:21" ht="8.1" customHeight="1" x14ac:dyDescent="0.2">
      <c r="B120" s="413" t="s">
        <v>459</v>
      </c>
      <c r="C120" s="531"/>
      <c r="D120" s="412"/>
      <c r="E120" s="412"/>
      <c r="F120" s="542"/>
      <c r="G120" s="412"/>
      <c r="H120" s="531"/>
      <c r="I120" s="412"/>
      <c r="J120" s="412"/>
      <c r="K120" s="412"/>
      <c r="L120" s="412"/>
      <c r="M120" s="412"/>
      <c r="N120" s="542"/>
      <c r="O120" s="412"/>
      <c r="P120" s="531"/>
      <c r="Q120" s="412"/>
      <c r="R120" s="412"/>
      <c r="S120" s="412"/>
      <c r="T120" s="530"/>
      <c r="U120" s="76"/>
    </row>
    <row r="121" spans="1:21" x14ac:dyDescent="0.2">
      <c r="A121" s="414" t="str">
        <f>+A112</f>
        <v>K8</v>
      </c>
      <c r="B121" s="394" t="s">
        <v>452</v>
      </c>
      <c r="C121" s="532">
        <f>SUM(C113:C120)</f>
        <v>0</v>
      </c>
      <c r="D121" s="395">
        <f t="shared" ref="D121:F121" si="59">SUM(D113:D120)</f>
        <v>0</v>
      </c>
      <c r="E121" s="395">
        <f t="shared" si="59"/>
        <v>0</v>
      </c>
      <c r="F121" s="543">
        <f t="shared" si="59"/>
        <v>0</v>
      </c>
      <c r="G121" s="395"/>
      <c r="H121" s="532">
        <f>SUM(H113:H120)</f>
        <v>0</v>
      </c>
      <c r="I121" s="395">
        <f t="shared" ref="I121:J121" si="60">SUM(I113:I120)</f>
        <v>0</v>
      </c>
      <c r="J121" s="395">
        <f t="shared" si="60"/>
        <v>0</v>
      </c>
      <c r="K121" s="395"/>
      <c r="L121" s="395"/>
      <c r="M121" s="395"/>
      <c r="N121" s="543"/>
      <c r="O121" s="395"/>
      <c r="P121" s="532">
        <f>SUM(P113:P120)</f>
        <v>0</v>
      </c>
      <c r="Q121" s="395">
        <f t="shared" ref="Q121:S121" si="61">SUM(Q113:Q120)</f>
        <v>0</v>
      </c>
      <c r="R121" s="395">
        <f t="shared" si="61"/>
        <v>0</v>
      </c>
      <c r="S121" s="395">
        <f t="shared" si="61"/>
        <v>0</v>
      </c>
      <c r="T121" s="530"/>
      <c r="U121" s="76"/>
    </row>
    <row r="122" spans="1:21" x14ac:dyDescent="0.2">
      <c r="C122" s="533"/>
      <c r="F122" s="487"/>
      <c r="H122" s="533"/>
      <c r="N122" s="530"/>
      <c r="P122" s="533"/>
      <c r="T122" s="530"/>
    </row>
    <row r="123" spans="1:21" x14ac:dyDescent="0.2">
      <c r="C123" s="533"/>
      <c r="F123" s="487"/>
      <c r="H123" s="533"/>
      <c r="N123" s="530"/>
      <c r="P123" s="533"/>
      <c r="T123" s="530"/>
    </row>
    <row r="124" spans="1:21" x14ac:dyDescent="0.2">
      <c r="A124" s="346" t="s">
        <v>201</v>
      </c>
      <c r="B124" s="346" t="str">
        <f>+'3. Önk. Kiadások'!B145</f>
        <v>Finanszírozási kiadások</v>
      </c>
      <c r="C124" s="529"/>
      <c r="D124" s="76"/>
      <c r="E124" s="76"/>
      <c r="F124" s="555"/>
      <c r="G124" s="76"/>
      <c r="H124" s="529"/>
      <c r="K124" s="76"/>
      <c r="L124" s="93"/>
      <c r="M124" s="93"/>
      <c r="N124" s="530"/>
      <c r="O124" s="76"/>
      <c r="P124" s="529"/>
      <c r="Q124" s="75"/>
      <c r="R124" s="75"/>
      <c r="S124" s="75"/>
      <c r="T124" s="530"/>
      <c r="U124" s="76"/>
    </row>
    <row r="125" spans="1:21" x14ac:dyDescent="0.2">
      <c r="B125" s="58" t="str">
        <f t="shared" ref="B125:B131" si="62">+B113</f>
        <v>Sülysáp Város Önkormányzat</v>
      </c>
      <c r="C125" s="529">
        <f>+'3. Önk. Kiadások'!C145</f>
        <v>454166162</v>
      </c>
      <c r="D125" s="75">
        <f>+'3. Önk. Kiadások'!D145</f>
        <v>474740182</v>
      </c>
      <c r="E125" s="75">
        <f>+'3. Önk. Kiadások'!E145</f>
        <v>0</v>
      </c>
      <c r="F125" s="489">
        <f>+'3. Önk. Kiadások'!F145</f>
        <v>0</v>
      </c>
      <c r="G125" s="76"/>
      <c r="H125" s="529">
        <f>+'3. Önk. Kiadások'!H145</f>
        <v>254833995</v>
      </c>
      <c r="I125" s="75">
        <f>+'3. Önk. Kiadások'!I145</f>
        <v>0</v>
      </c>
      <c r="J125" s="75">
        <f>+'3. Önk. Kiadások'!J145</f>
        <v>0</v>
      </c>
      <c r="K125" s="76"/>
      <c r="L125" s="93"/>
      <c r="M125" s="93"/>
      <c r="N125" s="530"/>
      <c r="O125" s="76"/>
      <c r="P125" s="529">
        <f>+'3. Önk. Kiadások'!P145</f>
        <v>20574020</v>
      </c>
      <c r="Q125" s="75">
        <f>+'3. Önk. Kiadások'!Q145</f>
        <v>0</v>
      </c>
      <c r="R125" s="75">
        <f>+'3. Önk. Kiadások'!R145</f>
        <v>0</v>
      </c>
      <c r="S125" s="75">
        <f>+'3. Önk. Kiadások'!S145</f>
        <v>20574020</v>
      </c>
      <c r="T125" s="530"/>
      <c r="U125" s="76"/>
    </row>
    <row r="126" spans="1:21" x14ac:dyDescent="0.2">
      <c r="A126" s="58"/>
      <c r="B126" s="58" t="str">
        <f t="shared" si="62"/>
        <v>Gondozási Központ</v>
      </c>
      <c r="C126" s="529"/>
      <c r="D126" s="75"/>
      <c r="E126" s="75"/>
      <c r="F126" s="489"/>
      <c r="G126" s="75"/>
      <c r="H126" s="529"/>
      <c r="I126" s="75"/>
      <c r="J126" s="75"/>
      <c r="K126" s="75"/>
      <c r="L126" s="75"/>
      <c r="M126" s="75"/>
      <c r="N126" s="489"/>
      <c r="O126" s="75"/>
      <c r="P126" s="529"/>
      <c r="Q126" s="75"/>
      <c r="R126" s="75"/>
      <c r="S126" s="75"/>
      <c r="T126" s="530"/>
      <c r="U126" s="76"/>
    </row>
    <row r="127" spans="1:21" x14ac:dyDescent="0.2">
      <c r="B127" s="58" t="str">
        <f t="shared" si="62"/>
        <v>Csicsergő Napköziotthonos Óvoda</v>
      </c>
      <c r="C127" s="529"/>
      <c r="D127" s="75"/>
      <c r="E127" s="75"/>
      <c r="F127" s="489"/>
      <c r="G127" s="75"/>
      <c r="H127" s="529"/>
      <c r="I127" s="75"/>
      <c r="J127" s="75"/>
      <c r="K127" s="75"/>
      <c r="L127" s="75"/>
      <c r="M127" s="75"/>
      <c r="N127" s="489"/>
      <c r="O127" s="75"/>
      <c r="P127" s="529"/>
      <c r="Q127" s="75"/>
      <c r="R127" s="75"/>
      <c r="S127" s="75"/>
      <c r="T127" s="530"/>
      <c r="U127" s="76"/>
    </row>
    <row r="128" spans="1:21" x14ac:dyDescent="0.2">
      <c r="B128" s="58" t="str">
        <f t="shared" si="62"/>
        <v>Gólyahír Bőlcsőde</v>
      </c>
      <c r="C128" s="529"/>
      <c r="D128" s="75"/>
      <c r="E128" s="75"/>
      <c r="F128" s="489"/>
      <c r="G128" s="75"/>
      <c r="H128" s="529"/>
      <c r="I128" s="75"/>
      <c r="J128" s="75"/>
      <c r="K128" s="75"/>
      <c r="L128" s="75"/>
      <c r="M128" s="75"/>
      <c r="N128" s="489"/>
      <c r="O128" s="75"/>
      <c r="P128" s="529"/>
      <c r="Q128" s="75"/>
      <c r="R128" s="75"/>
      <c r="S128" s="75"/>
      <c r="T128" s="530"/>
      <c r="U128" s="76"/>
    </row>
    <row r="129" spans="1:21" x14ac:dyDescent="0.2">
      <c r="B129" s="58" t="str">
        <f t="shared" si="62"/>
        <v>Polgármesteri Hivatal</v>
      </c>
      <c r="C129" s="529"/>
      <c r="D129" s="75"/>
      <c r="E129" s="75"/>
      <c r="F129" s="489"/>
      <c r="G129" s="75"/>
      <c r="H129" s="529"/>
      <c r="I129" s="75"/>
      <c r="J129" s="75"/>
      <c r="K129" s="75"/>
      <c r="L129" s="75"/>
      <c r="M129" s="75"/>
      <c r="N129" s="489"/>
      <c r="O129" s="75"/>
      <c r="P129" s="529"/>
      <c r="Q129" s="75"/>
      <c r="R129" s="75"/>
      <c r="S129" s="75"/>
      <c r="T129" s="530"/>
      <c r="U129" s="76"/>
    </row>
    <row r="130" spans="1:21" x14ac:dyDescent="0.2">
      <c r="B130" s="58" t="str">
        <f t="shared" si="62"/>
        <v>Wass Albert Művelődési Központ és Könyvtár</v>
      </c>
      <c r="C130" s="529"/>
      <c r="D130" s="75"/>
      <c r="E130" s="75"/>
      <c r="F130" s="489"/>
      <c r="G130" s="75"/>
      <c r="H130" s="529"/>
      <c r="I130" s="75"/>
      <c r="J130" s="75"/>
      <c r="K130" s="75"/>
      <c r="L130" s="75"/>
      <c r="M130" s="75"/>
      <c r="N130" s="489"/>
      <c r="O130" s="75"/>
      <c r="P130" s="529"/>
      <c r="Q130" s="75"/>
      <c r="R130" s="75"/>
      <c r="S130" s="75"/>
      <c r="T130" s="530"/>
      <c r="U130" s="76"/>
    </row>
    <row r="131" spans="1:21" x14ac:dyDescent="0.2">
      <c r="B131" s="58" t="str">
        <f t="shared" si="62"/>
        <v>Központi Konyha</v>
      </c>
      <c r="C131" s="529"/>
      <c r="D131" s="75"/>
      <c r="E131" s="75"/>
      <c r="F131" s="489"/>
      <c r="G131" s="75"/>
      <c r="H131" s="529"/>
      <c r="I131" s="75"/>
      <c r="J131" s="75"/>
      <c r="K131" s="75"/>
      <c r="L131" s="75"/>
      <c r="M131" s="75"/>
      <c r="N131" s="489"/>
      <c r="O131" s="75"/>
      <c r="P131" s="529"/>
      <c r="Q131" s="75"/>
      <c r="R131" s="75"/>
      <c r="S131" s="75"/>
      <c r="T131" s="530"/>
      <c r="U131" s="76"/>
    </row>
    <row r="132" spans="1:21" ht="8.1" customHeight="1" x14ac:dyDescent="0.2">
      <c r="B132" s="413" t="s">
        <v>459</v>
      </c>
      <c r="C132" s="531"/>
      <c r="D132" s="412"/>
      <c r="E132" s="412"/>
      <c r="F132" s="542"/>
      <c r="G132" s="412"/>
      <c r="H132" s="531"/>
      <c r="I132" s="412"/>
      <c r="J132" s="412"/>
      <c r="K132" s="412"/>
      <c r="L132" s="412"/>
      <c r="M132" s="412"/>
      <c r="N132" s="542"/>
      <c r="O132" s="412"/>
      <c r="P132" s="531"/>
      <c r="Q132" s="412"/>
      <c r="R132" s="412"/>
      <c r="S132" s="412"/>
      <c r="T132" s="530"/>
      <c r="U132" s="76"/>
    </row>
    <row r="133" spans="1:21" x14ac:dyDescent="0.2">
      <c r="A133" s="414" t="str">
        <f>+A124</f>
        <v>K9</v>
      </c>
      <c r="B133" s="394" t="s">
        <v>452</v>
      </c>
      <c r="C133" s="532">
        <f>SUM(C125:C132)</f>
        <v>454166162</v>
      </c>
      <c r="D133" s="395">
        <f t="shared" ref="D133:F133" si="63">SUM(D125:D132)</f>
        <v>474740182</v>
      </c>
      <c r="E133" s="395">
        <f t="shared" si="63"/>
        <v>0</v>
      </c>
      <c r="F133" s="543">
        <f t="shared" si="63"/>
        <v>0</v>
      </c>
      <c r="G133" s="395"/>
      <c r="H133" s="532">
        <f>SUM(H125:H132)</f>
        <v>254833995</v>
      </c>
      <c r="I133" s="395">
        <f t="shared" ref="I133:J133" si="64">SUM(I125:I132)</f>
        <v>0</v>
      </c>
      <c r="J133" s="395">
        <f t="shared" si="64"/>
        <v>0</v>
      </c>
      <c r="K133" s="395"/>
      <c r="L133" s="395"/>
      <c r="M133" s="395"/>
      <c r="N133" s="543"/>
      <c r="O133" s="395"/>
      <c r="P133" s="532">
        <f>SUM(P125:P132)</f>
        <v>20574020</v>
      </c>
      <c r="Q133" s="395">
        <f t="shared" ref="Q133:S133" si="65">SUM(Q125:Q132)</f>
        <v>0</v>
      </c>
      <c r="R133" s="395">
        <f t="shared" si="65"/>
        <v>0</v>
      </c>
      <c r="S133" s="395">
        <f t="shared" si="65"/>
        <v>20574020</v>
      </c>
      <c r="T133" s="530"/>
      <c r="U133" s="76"/>
    </row>
    <row r="134" spans="1:21" x14ac:dyDescent="0.2">
      <c r="C134" s="533"/>
      <c r="F134" s="487"/>
      <c r="H134" s="533"/>
      <c r="N134" s="530"/>
      <c r="P134" s="533"/>
      <c r="T134" s="530"/>
    </row>
    <row r="135" spans="1:21" x14ac:dyDescent="0.2">
      <c r="C135" s="533"/>
      <c r="F135" s="487"/>
      <c r="H135" s="533"/>
      <c r="N135" s="530"/>
      <c r="P135" s="533"/>
      <c r="T135" s="530"/>
    </row>
    <row r="136" spans="1:21" x14ac:dyDescent="0.2">
      <c r="A136" s="346" t="s">
        <v>359</v>
      </c>
      <c r="B136" s="346" t="str">
        <f>+'4. Dr Gáspár HSZK'!B100</f>
        <v>Központi, irányító szervi támogatás</v>
      </c>
      <c r="C136" s="556" t="s">
        <v>455</v>
      </c>
      <c r="D136" s="76"/>
      <c r="E136" s="76"/>
      <c r="F136" s="555"/>
      <c r="G136" s="76"/>
      <c r="H136" s="529"/>
      <c r="K136" s="76"/>
      <c r="L136" s="93"/>
      <c r="M136" s="93"/>
      <c r="N136" s="530"/>
      <c r="O136" s="76"/>
      <c r="P136" s="529"/>
      <c r="Q136" s="75"/>
      <c r="R136" s="75"/>
      <c r="S136" s="75"/>
      <c r="T136" s="530"/>
      <c r="U136" s="76"/>
    </row>
    <row r="137" spans="1:21" x14ac:dyDescent="0.2">
      <c r="B137" s="58" t="str">
        <f t="shared" ref="B137:B143" si="66">+B125</f>
        <v>Sülysáp Város Önkormányzat</v>
      </c>
      <c r="C137" s="529"/>
      <c r="D137" s="75"/>
      <c r="E137" s="75"/>
      <c r="F137" s="489"/>
      <c r="G137" s="76"/>
      <c r="H137" s="529"/>
      <c r="I137" s="75"/>
      <c r="J137" s="75"/>
      <c r="K137" s="76"/>
      <c r="L137" s="93"/>
      <c r="M137" s="93"/>
      <c r="N137" s="530"/>
      <c r="O137" s="76"/>
      <c r="P137" s="529"/>
      <c r="Q137" s="75"/>
      <c r="R137" s="75"/>
      <c r="S137" s="75"/>
      <c r="T137" s="530"/>
      <c r="U137" s="76"/>
    </row>
    <row r="138" spans="1:21" x14ac:dyDescent="0.2">
      <c r="A138" s="58"/>
      <c r="B138" s="58" t="str">
        <f t="shared" si="66"/>
        <v>Gondozási Központ</v>
      </c>
      <c r="C138" s="529">
        <f>+'4. Dr Gáspár HSZK'!C100</f>
        <v>27728761</v>
      </c>
      <c r="D138" s="75">
        <f>+'4. Dr Gáspár HSZK'!D100</f>
        <v>28137761</v>
      </c>
      <c r="E138" s="75">
        <f>+'4. Dr Gáspár HSZK'!E100</f>
        <v>0</v>
      </c>
      <c r="F138" s="489">
        <f>+'4. Dr Gáspár HSZK'!F100</f>
        <v>0</v>
      </c>
      <c r="G138" s="75"/>
      <c r="H138" s="529">
        <f>+'4. Dr Gáspár HSZK'!H100</f>
        <v>15590607</v>
      </c>
      <c r="I138" s="75">
        <f>+'4. Dr Gáspár HSZK'!I100</f>
        <v>0</v>
      </c>
      <c r="J138" s="75">
        <f>+'4. Dr Gáspár HSZK'!J100</f>
        <v>0</v>
      </c>
      <c r="K138" s="75"/>
      <c r="L138" s="75"/>
      <c r="M138" s="75"/>
      <c r="N138" s="489"/>
      <c r="O138" s="75"/>
      <c r="P138" s="529">
        <f>+'4. Dr Gáspár HSZK'!P100</f>
        <v>409000</v>
      </c>
      <c r="Q138" s="75">
        <f>+'4. Dr Gáspár HSZK'!Q100</f>
        <v>-28137761</v>
      </c>
      <c r="R138" s="75">
        <f>+'4. Dr Gáspár HSZK'!R100</f>
        <v>0</v>
      </c>
      <c r="S138" s="75">
        <f>+'4. Dr Gáspár HSZK'!S100</f>
        <v>-27728761</v>
      </c>
      <c r="T138" s="530"/>
      <c r="U138" s="76"/>
    </row>
    <row r="139" spans="1:21" x14ac:dyDescent="0.2">
      <c r="B139" s="58" t="str">
        <f t="shared" si="66"/>
        <v>Csicsergő Napköziotthonos Óvoda</v>
      </c>
      <c r="C139" s="529">
        <f>+'5. Csicsergő'!C100</f>
        <v>171295092</v>
      </c>
      <c r="D139" s="75">
        <f>+'5. Csicsergő'!D100</f>
        <v>172739092</v>
      </c>
      <c r="E139" s="75">
        <f>+'5. Csicsergő'!E100</f>
        <v>0</v>
      </c>
      <c r="F139" s="489">
        <f>+'5. Csicsergő'!F100</f>
        <v>0</v>
      </c>
      <c r="G139" s="75"/>
      <c r="H139" s="529">
        <f>+'5. Csicsergő'!H100</f>
        <v>91148272</v>
      </c>
      <c r="I139" s="75">
        <f>+'5. Csicsergő'!I100</f>
        <v>0</v>
      </c>
      <c r="J139" s="75">
        <f>+'5. Csicsergő'!J100</f>
        <v>0</v>
      </c>
      <c r="K139" s="75"/>
      <c r="L139" s="75"/>
      <c r="M139" s="75"/>
      <c r="N139" s="489"/>
      <c r="O139" s="75"/>
      <c r="P139" s="529">
        <f>+'5. Csicsergő'!P100</f>
        <v>1444000</v>
      </c>
      <c r="Q139" s="75">
        <f>+'5. Csicsergő'!Q100</f>
        <v>-172739092</v>
      </c>
      <c r="R139" s="75">
        <f>+'5. Csicsergő'!R100</f>
        <v>0</v>
      </c>
      <c r="S139" s="75">
        <f>+'5. Csicsergő'!S100</f>
        <v>-171295092</v>
      </c>
      <c r="T139" s="530"/>
      <c r="U139" s="76"/>
    </row>
    <row r="140" spans="1:21" x14ac:dyDescent="0.2">
      <c r="B140" s="58" t="str">
        <f t="shared" si="66"/>
        <v>Gólyahír Bőlcsőde</v>
      </c>
      <c r="C140" s="529">
        <f>+'6. Gólyahír'!C100</f>
        <v>48881766</v>
      </c>
      <c r="D140" s="75">
        <f>+'6. Gólyahír'!D100</f>
        <v>48881766</v>
      </c>
      <c r="E140" s="75">
        <f>+'6. Gólyahír'!E100</f>
        <v>0</v>
      </c>
      <c r="F140" s="489">
        <f>+'6. Gólyahír'!F100</f>
        <v>0</v>
      </c>
      <c r="G140" s="75"/>
      <c r="H140" s="529">
        <f>+'6. Gólyahír'!H100</f>
        <v>25458650</v>
      </c>
      <c r="I140" s="75">
        <f>+'6. Gólyahír'!I100</f>
        <v>0</v>
      </c>
      <c r="J140" s="75">
        <f>+'6. Gólyahír'!J100</f>
        <v>0</v>
      </c>
      <c r="K140" s="75"/>
      <c r="L140" s="75"/>
      <c r="M140" s="75"/>
      <c r="N140" s="489"/>
      <c r="O140" s="75"/>
      <c r="P140" s="529">
        <f>+'6. Gólyahír'!P100</f>
        <v>0</v>
      </c>
      <c r="Q140" s="75">
        <f>+'6. Gólyahír'!Q100</f>
        <v>-48881766</v>
      </c>
      <c r="R140" s="75">
        <f>+'6. Gólyahír'!R100</f>
        <v>0</v>
      </c>
      <c r="S140" s="75">
        <f>+'6. Gólyahír'!S100</f>
        <v>-48881766</v>
      </c>
      <c r="T140" s="530"/>
      <c r="U140" s="76"/>
    </row>
    <row r="141" spans="1:21" x14ac:dyDescent="0.2">
      <c r="B141" s="58" t="str">
        <f t="shared" si="66"/>
        <v>Polgármesteri Hivatal</v>
      </c>
      <c r="C141" s="529">
        <f>+'7. Polg.Hiv.'!C100</f>
        <v>111124591</v>
      </c>
      <c r="D141" s="75">
        <f>+'7. Polg.Hiv.'!D100</f>
        <v>111124591</v>
      </c>
      <c r="E141" s="75">
        <f>+'7. Polg.Hiv.'!E100</f>
        <v>0</v>
      </c>
      <c r="F141" s="489">
        <f>+'7. Polg.Hiv.'!F100</f>
        <v>0</v>
      </c>
      <c r="G141" s="75"/>
      <c r="H141" s="529">
        <f>+'7. Polg.Hiv.'!H100</f>
        <v>55828164</v>
      </c>
      <c r="I141" s="75">
        <f>+'7. Polg.Hiv.'!I100</f>
        <v>0</v>
      </c>
      <c r="J141" s="75">
        <f>+'7. Polg.Hiv.'!J100</f>
        <v>0</v>
      </c>
      <c r="K141" s="75"/>
      <c r="L141" s="75"/>
      <c r="M141" s="75"/>
      <c r="N141" s="489"/>
      <c r="O141" s="75"/>
      <c r="P141" s="529">
        <f>+'7. Polg.Hiv.'!P100</f>
        <v>0</v>
      </c>
      <c r="Q141" s="75">
        <f>+'7. Polg.Hiv.'!Q100</f>
        <v>-111124591</v>
      </c>
      <c r="R141" s="75">
        <f>+'7. Polg.Hiv.'!R100</f>
        <v>0</v>
      </c>
      <c r="S141" s="75">
        <f>+'7. Polg.Hiv.'!S100</f>
        <v>-111124591</v>
      </c>
      <c r="T141" s="530"/>
      <c r="U141" s="76"/>
    </row>
    <row r="142" spans="1:21" x14ac:dyDescent="0.2">
      <c r="B142" s="58" t="str">
        <f t="shared" si="66"/>
        <v>Wass Albert Művelődési Központ és Könyvtár</v>
      </c>
      <c r="C142" s="529">
        <f>+'8. WAMKK'!C100</f>
        <v>29366179</v>
      </c>
      <c r="D142" s="75">
        <f>+'8. WAMKK'!D100</f>
        <v>30966179</v>
      </c>
      <c r="E142" s="75">
        <f>+'8. WAMKK'!E100</f>
        <v>0</v>
      </c>
      <c r="F142" s="489">
        <f>+'8. WAMKK'!F100</f>
        <v>0</v>
      </c>
      <c r="G142" s="75"/>
      <c r="H142" s="529">
        <f>+'8. WAMKK'!H100</f>
        <v>16263376</v>
      </c>
      <c r="I142" s="75">
        <f>+'8. WAMKK'!I100</f>
        <v>0</v>
      </c>
      <c r="J142" s="75">
        <f>+'8. WAMKK'!J100</f>
        <v>0</v>
      </c>
      <c r="K142" s="75"/>
      <c r="L142" s="75"/>
      <c r="M142" s="75"/>
      <c r="N142" s="489"/>
      <c r="O142" s="75"/>
      <c r="P142" s="529">
        <f>+'8. WAMKK'!P100</f>
        <v>1600000</v>
      </c>
      <c r="Q142" s="75">
        <f>+'8. WAMKK'!Q100</f>
        <v>-30966179</v>
      </c>
      <c r="R142" s="75">
        <f>+'8. WAMKK'!R100</f>
        <v>0</v>
      </c>
      <c r="S142" s="75">
        <f>+'8. WAMKK'!S100</f>
        <v>-29366179</v>
      </c>
      <c r="T142" s="530"/>
      <c r="U142" s="76"/>
    </row>
    <row r="143" spans="1:21" x14ac:dyDescent="0.2">
      <c r="B143" s="58" t="str">
        <f t="shared" si="66"/>
        <v>Központi Konyha</v>
      </c>
      <c r="C143" s="529">
        <f>+'9. Közp. Konyha'!C100</f>
        <v>65769773</v>
      </c>
      <c r="D143" s="75">
        <f>+'9. Közp. Konyha'!D100</f>
        <v>65769773</v>
      </c>
      <c r="E143" s="75">
        <f>+'9. Közp. Konyha'!E100</f>
        <v>0</v>
      </c>
      <c r="F143" s="489">
        <f>+'9. Közp. Konyha'!F100</f>
        <v>0</v>
      </c>
      <c r="G143" s="75"/>
      <c r="H143" s="529">
        <f>+'9. Közp. Konyha'!H100</f>
        <v>33423906</v>
      </c>
      <c r="I143" s="75">
        <f>+'9. Közp. Konyha'!I100</f>
        <v>0</v>
      </c>
      <c r="J143" s="75">
        <f>+'9. Közp. Konyha'!J100</f>
        <v>0</v>
      </c>
      <c r="K143" s="75"/>
      <c r="L143" s="75"/>
      <c r="M143" s="75"/>
      <c r="N143" s="489"/>
      <c r="O143" s="75"/>
      <c r="P143" s="529">
        <f>+'9. Közp. Konyha'!P100</f>
        <v>0</v>
      </c>
      <c r="Q143" s="75">
        <f>+'9. Közp. Konyha'!Q100</f>
        <v>-65769773</v>
      </c>
      <c r="R143" s="75">
        <f>+'9. Közp. Konyha'!R100</f>
        <v>0</v>
      </c>
      <c r="S143" s="75">
        <f>+'9. Közp. Konyha'!S100</f>
        <v>-65769773</v>
      </c>
      <c r="T143" s="530"/>
      <c r="U143" s="76"/>
    </row>
    <row r="144" spans="1:21" ht="8.1" customHeight="1" x14ac:dyDescent="0.2">
      <c r="B144" s="413" t="s">
        <v>459</v>
      </c>
      <c r="C144" s="531"/>
      <c r="D144" s="412"/>
      <c r="E144" s="412"/>
      <c r="F144" s="542"/>
      <c r="G144" s="412"/>
      <c r="H144" s="531"/>
      <c r="I144" s="412"/>
      <c r="J144" s="412"/>
      <c r="K144" s="412"/>
      <c r="L144" s="412"/>
      <c r="M144" s="412"/>
      <c r="N144" s="542"/>
      <c r="O144" s="412"/>
      <c r="P144" s="531"/>
      <c r="Q144" s="412"/>
      <c r="R144" s="412"/>
      <c r="S144" s="412"/>
      <c r="T144" s="530"/>
      <c r="U144" s="76"/>
    </row>
    <row r="145" spans="1:21" x14ac:dyDescent="0.2">
      <c r="A145" s="414" t="str">
        <f>+A136</f>
        <v>B816</v>
      </c>
      <c r="B145" s="394" t="s">
        <v>452</v>
      </c>
      <c r="C145" s="532">
        <f>SUM(C137:C144)</f>
        <v>454166162</v>
      </c>
      <c r="D145" s="395">
        <f t="shared" ref="D145:F145" si="67">SUM(D137:D144)</f>
        <v>457619162</v>
      </c>
      <c r="E145" s="395">
        <f t="shared" si="67"/>
        <v>0</v>
      </c>
      <c r="F145" s="543">
        <f t="shared" si="67"/>
        <v>0</v>
      </c>
      <c r="G145" s="395"/>
      <c r="H145" s="532">
        <f>SUM(H137:H144)</f>
        <v>237712975</v>
      </c>
      <c r="I145" s="395">
        <f t="shared" ref="I145:J145" si="68">SUM(I137:I144)</f>
        <v>0</v>
      </c>
      <c r="J145" s="395">
        <f t="shared" si="68"/>
        <v>0</v>
      </c>
      <c r="K145" s="395"/>
      <c r="L145" s="395"/>
      <c r="M145" s="395"/>
      <c r="N145" s="543"/>
      <c r="O145" s="395"/>
      <c r="P145" s="532">
        <f>SUM(P137:P144)</f>
        <v>3453000</v>
      </c>
      <c r="Q145" s="395">
        <f t="shared" ref="Q145:S145" si="69">SUM(Q137:Q144)</f>
        <v>-457619162</v>
      </c>
      <c r="R145" s="395">
        <f t="shared" si="69"/>
        <v>0</v>
      </c>
      <c r="S145" s="395">
        <f t="shared" si="69"/>
        <v>-454166162</v>
      </c>
      <c r="T145" s="530"/>
      <c r="U145" s="76"/>
    </row>
    <row r="146" spans="1:21" x14ac:dyDescent="0.2">
      <c r="C146" s="534"/>
      <c r="D146" s="544"/>
      <c r="E146" s="544"/>
      <c r="F146" s="557"/>
      <c r="H146" s="534"/>
      <c r="I146" s="544"/>
      <c r="J146" s="544"/>
      <c r="K146" s="544"/>
      <c r="L146" s="535"/>
      <c r="M146" s="535"/>
      <c r="N146" s="536"/>
      <c r="P146" s="534"/>
      <c r="Q146" s="535"/>
      <c r="R146" s="535"/>
      <c r="S146" s="535"/>
      <c r="T146" s="536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8" scale="79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zoomScaleNormal="75" zoomScaleSheetLayoutView="100" workbookViewId="0">
      <selection activeCell="F26" sqref="F26"/>
    </sheetView>
  </sheetViews>
  <sheetFormatPr defaultRowHeight="12.75" x14ac:dyDescent="0.2"/>
  <cols>
    <col min="1" max="1" width="8.5703125" style="25" customWidth="1"/>
    <col min="2" max="2" width="55.85546875" style="13" customWidth="1"/>
    <col min="3" max="6" width="15.42578125" style="13" customWidth="1"/>
    <col min="7" max="7" width="0.85546875" style="13" customWidth="1"/>
    <col min="8" max="10" width="15.42578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2.5703125" customWidth="1"/>
    <col min="22" max="22" width="3.42578125" customWidth="1"/>
    <col min="23" max="23" width="12.5703125" bestFit="1" customWidth="1"/>
  </cols>
  <sheetData>
    <row r="1" spans="1:26" ht="26.25" x14ac:dyDescent="0.4">
      <c r="A1" s="325" t="s">
        <v>433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FÉLÉVES BESZÁMOLÓ</v>
      </c>
      <c r="K1" s="251"/>
      <c r="L1" s="251"/>
      <c r="M1" s="247"/>
      <c r="N1" s="247"/>
      <c r="O1" s="251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113342899</v>
      </c>
      <c r="D5" s="273">
        <f t="shared" ref="D5:E5" si="0">+D89</f>
        <v>113342899</v>
      </c>
      <c r="E5" s="273">
        <f t="shared" si="0"/>
        <v>0</v>
      </c>
      <c r="F5" s="273">
        <f>+F89</f>
        <v>0</v>
      </c>
      <c r="G5" s="273"/>
      <c r="H5" s="273">
        <f>+H89</f>
        <v>53128260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0.46873920173861089</v>
      </c>
      <c r="M5" s="32">
        <f t="shared" si="2"/>
        <v>0</v>
      </c>
      <c r="N5" s="32">
        <f t="shared" si="2"/>
        <v>0</v>
      </c>
      <c r="O5" s="95"/>
      <c r="P5" s="273">
        <f>+P89</f>
        <v>0</v>
      </c>
      <c r="Q5" s="273">
        <f>+Q89</f>
        <v>-113342899</v>
      </c>
      <c r="R5" s="273">
        <f>+R89</f>
        <v>0</v>
      </c>
      <c r="S5" s="273">
        <f>+S89</f>
        <v>-113342899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113342899</v>
      </c>
      <c r="D6" s="275">
        <f t="shared" ref="D6:F6" si="4">+D102</f>
        <v>113342899</v>
      </c>
      <c r="E6" s="275">
        <f t="shared" si="4"/>
        <v>0</v>
      </c>
      <c r="F6" s="275">
        <f t="shared" si="4"/>
        <v>0</v>
      </c>
      <c r="G6" s="275"/>
      <c r="H6" s="275">
        <f>+H102</f>
        <v>58050294</v>
      </c>
      <c r="I6" s="275">
        <f t="shared" ref="I6:J6" si="5">+I102</f>
        <v>0</v>
      </c>
      <c r="J6" s="275">
        <f t="shared" si="5"/>
        <v>0</v>
      </c>
      <c r="K6" s="69"/>
      <c r="L6" s="32">
        <f t="shared" si="2"/>
        <v>0.51216524821727027</v>
      </c>
      <c r="M6" s="32">
        <f t="shared" si="2"/>
        <v>0</v>
      </c>
      <c r="N6" s="32">
        <f t="shared" si="2"/>
        <v>0</v>
      </c>
      <c r="O6" s="69"/>
      <c r="P6" s="275">
        <f>+P102</f>
        <v>0</v>
      </c>
      <c r="Q6" s="275">
        <f t="shared" ref="Q6:S6" si="6">+Q102</f>
        <v>-113342899</v>
      </c>
      <c r="R6" s="275">
        <f t="shared" si="6"/>
        <v>0</v>
      </c>
      <c r="S6" s="275">
        <f t="shared" si="6"/>
        <v>-113342899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6" ht="20.100000000000001" customHeight="1" x14ac:dyDescent="0.25">
      <c r="A7" s="274"/>
      <c r="B7" s="274" t="s">
        <v>413</v>
      </c>
      <c r="C7" s="275">
        <f>+C6-C5</f>
        <v>0</v>
      </c>
      <c r="D7" s="275">
        <f t="shared" ref="D7:H7" si="7">+D6-D5</f>
        <v>0</v>
      </c>
      <c r="E7" s="275">
        <f t="shared" si="7"/>
        <v>0</v>
      </c>
      <c r="F7" s="275">
        <f t="shared" si="7"/>
        <v>0</v>
      </c>
      <c r="G7" s="275"/>
      <c r="H7" s="275">
        <f t="shared" si="7"/>
        <v>4922034</v>
      </c>
      <c r="I7" s="275">
        <f>+I6-I5</f>
        <v>0</v>
      </c>
      <c r="J7" s="275">
        <f t="shared" ref="J7" si="8">+J6-J5</f>
        <v>0</v>
      </c>
      <c r="K7" s="69"/>
      <c r="L7" s="32"/>
      <c r="M7" s="32"/>
      <c r="N7" s="32"/>
      <c r="O7" s="69"/>
      <c r="P7" s="275">
        <f t="shared" ref="P7:S7" si="9">+P6-P5</f>
        <v>0</v>
      </c>
      <c r="Q7" s="275">
        <f t="shared" si="9"/>
        <v>0</v>
      </c>
      <c r="R7" s="275">
        <f t="shared" si="9"/>
        <v>0</v>
      </c>
      <c r="S7" s="275">
        <f t="shared" si="9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716" t="s">
        <v>412</v>
      </c>
      <c r="D9" s="721"/>
      <c r="E9" s="721"/>
      <c r="F9" s="722"/>
      <c r="G9" s="165"/>
      <c r="H9" s="716" t="s">
        <v>411</v>
      </c>
      <c r="I9" s="721"/>
      <c r="J9" s="721"/>
      <c r="K9" s="721"/>
      <c r="L9" s="721"/>
      <c r="M9" s="721"/>
      <c r="N9" s="722"/>
      <c r="O9" s="165"/>
      <c r="P9" s="716" t="s">
        <v>408</v>
      </c>
      <c r="Q9" s="721"/>
      <c r="R9" s="721"/>
      <c r="S9" s="721"/>
      <c r="T9" s="722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713" t="s">
        <v>425</v>
      </c>
      <c r="I10" s="723"/>
      <c r="J10" s="724"/>
      <c r="K10" s="140"/>
      <c r="L10" s="713" t="s">
        <v>424</v>
      </c>
      <c r="M10" s="723"/>
      <c r="N10" s="724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373</v>
      </c>
      <c r="B11" s="27" t="s">
        <v>371</v>
      </c>
      <c r="C11" s="551" t="s">
        <v>483</v>
      </c>
      <c r="D11" s="388" t="s">
        <v>484</v>
      </c>
      <c r="E11" s="388" t="s">
        <v>485</v>
      </c>
      <c r="F11" s="552" t="s">
        <v>486</v>
      </c>
      <c r="G11" s="388"/>
      <c r="H11" s="525" t="s">
        <v>487</v>
      </c>
      <c r="I11" s="389" t="s">
        <v>488</v>
      </c>
      <c r="J11" s="389" t="s">
        <v>489</v>
      </c>
      <c r="K11" s="388"/>
      <c r="L11" s="390" t="s">
        <v>490</v>
      </c>
      <c r="M11" s="390" t="s">
        <v>494</v>
      </c>
      <c r="N11" s="526" t="s">
        <v>495</v>
      </c>
      <c r="O11" s="388"/>
      <c r="P11" s="525" t="s">
        <v>491</v>
      </c>
      <c r="Q11" s="389" t="s">
        <v>493</v>
      </c>
      <c r="R11" s="389" t="s">
        <v>492</v>
      </c>
      <c r="S11" s="389" t="s">
        <v>409</v>
      </c>
      <c r="T11" s="526" t="s">
        <v>410</v>
      </c>
      <c r="U11" s="202"/>
      <c r="V11" s="138" t="s">
        <v>414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295"/>
      <c r="Q12" s="295"/>
      <c r="R12" s="295"/>
      <c r="S12" s="295"/>
      <c r="T12" s="70"/>
      <c r="U12" s="70"/>
      <c r="V12" s="278"/>
    </row>
    <row r="13" spans="1:26" x14ac:dyDescent="0.2">
      <c r="A13" s="5" t="s">
        <v>0</v>
      </c>
      <c r="B13" s="5" t="s">
        <v>3</v>
      </c>
      <c r="C13" s="203">
        <f>+C14+C24</f>
        <v>82838000</v>
      </c>
      <c r="D13" s="203">
        <f>+D14+D24</f>
        <v>82838000</v>
      </c>
      <c r="E13" s="203">
        <f>SUM(E14:E28)</f>
        <v>0</v>
      </c>
      <c r="F13" s="203">
        <f t="shared" ref="F13:J13" si="10">SUM(F14:F28)</f>
        <v>0</v>
      </c>
      <c r="G13" s="203"/>
      <c r="H13" s="203">
        <f>+H14+H24</f>
        <v>36864685</v>
      </c>
      <c r="I13" s="203">
        <f t="shared" si="10"/>
        <v>0</v>
      </c>
      <c r="J13" s="203">
        <f t="shared" si="10"/>
        <v>0</v>
      </c>
      <c r="K13" s="10"/>
      <c r="L13" s="89">
        <f t="shared" ref="L13" si="11">+H13/C13</f>
        <v>0.4450214273642531</v>
      </c>
      <c r="M13" s="89">
        <f>+I13/D13</f>
        <v>0</v>
      </c>
      <c r="N13" s="89" t="e">
        <f t="shared" ref="N13" si="12">+J13/E13</f>
        <v>#DIV/0!</v>
      </c>
      <c r="O13" s="10"/>
      <c r="P13" s="322">
        <f t="shared" ref="P13:P76" si="13">+(D13-C13)*P$10</f>
        <v>0</v>
      </c>
      <c r="Q13" s="322">
        <f t="shared" ref="Q13:Q76" si="14">+(E13-D13)*Q$10</f>
        <v>-82838000</v>
      </c>
      <c r="R13" s="322">
        <f t="shared" ref="R13:R76" si="15">+(F13-E13)*R$10</f>
        <v>0</v>
      </c>
      <c r="S13" s="322">
        <f t="shared" ref="S13:S76" si="16">SUM(P13:R13)</f>
        <v>-82838000</v>
      </c>
      <c r="T13" s="305">
        <f t="shared" ref="T13:T76" si="17">IF(C13=0,0,+S13/C13)</f>
        <v>-1</v>
      </c>
      <c r="U13" s="126"/>
      <c r="V13" s="208">
        <f t="shared" ref="V13:V15" si="18">+S13-E13+C13</f>
        <v>0</v>
      </c>
    </row>
    <row r="14" spans="1:26" x14ac:dyDescent="0.2">
      <c r="A14" s="20" t="s">
        <v>1</v>
      </c>
      <c r="B14" s="20"/>
      <c r="C14" s="404">
        <f>SUM(C15:C23)</f>
        <v>82838000</v>
      </c>
      <c r="D14" s="404">
        <f>SUM(D15:D23)</f>
        <v>82617600</v>
      </c>
      <c r="E14" s="70"/>
      <c r="F14" s="70"/>
      <c r="G14" s="70"/>
      <c r="H14" s="404">
        <f>SUM(H15:H23)</f>
        <v>36664937</v>
      </c>
      <c r="I14" s="70"/>
      <c r="J14" s="70"/>
      <c r="K14" s="16"/>
      <c r="L14" s="142"/>
      <c r="M14" s="142"/>
      <c r="N14" s="142"/>
      <c r="O14" s="16"/>
      <c r="P14" s="295">
        <f>+(D14-C14)*P$10</f>
        <v>-220400</v>
      </c>
      <c r="Q14" s="295">
        <f>+(E14-D14)*Q$10</f>
        <v>-82617600</v>
      </c>
      <c r="R14" s="295">
        <f>+(F14-E14)*R$10</f>
        <v>0</v>
      </c>
      <c r="S14" s="295">
        <f t="shared" si="16"/>
        <v>-82838000</v>
      </c>
      <c r="T14" s="304">
        <f>IF(C14=0,0,+S14/C14)</f>
        <v>-1</v>
      </c>
      <c r="U14" s="126"/>
      <c r="V14" s="208">
        <f>+S14-E14+C14</f>
        <v>0</v>
      </c>
    </row>
    <row r="15" spans="1:26" x14ac:dyDescent="0.2">
      <c r="A15" s="20" t="s">
        <v>2</v>
      </c>
      <c r="B15" s="513" t="s">
        <v>362</v>
      </c>
      <c r="C15" s="614">
        <v>74183000</v>
      </c>
      <c r="D15" s="70">
        <v>73962600</v>
      </c>
      <c r="E15" s="70">
        <v>0</v>
      </c>
      <c r="F15" s="70"/>
      <c r="G15" s="70"/>
      <c r="H15" s="70">
        <v>31506504</v>
      </c>
      <c r="I15" s="70">
        <v>0</v>
      </c>
      <c r="J15" s="70"/>
      <c r="K15" s="16"/>
      <c r="L15" s="143">
        <f t="shared" ref="L15" si="19">+H15/C15</f>
        <v>0.42471326314654301</v>
      </c>
      <c r="M15" s="143">
        <f>+I15/D15</f>
        <v>0</v>
      </c>
      <c r="N15" s="143" t="e">
        <f t="shared" ref="N15" si="20">+J15/E15</f>
        <v>#DIV/0!</v>
      </c>
      <c r="O15" s="16"/>
      <c r="P15" s="83">
        <f t="shared" si="13"/>
        <v>-220400</v>
      </c>
      <c r="Q15" s="83">
        <f t="shared" si="14"/>
        <v>-73962600</v>
      </c>
      <c r="R15" s="83">
        <f t="shared" si="15"/>
        <v>0</v>
      </c>
      <c r="S15" s="83">
        <f t="shared" si="16"/>
        <v>-74183000</v>
      </c>
      <c r="T15" s="304">
        <f t="shared" si="17"/>
        <v>-1</v>
      </c>
      <c r="U15" s="126"/>
      <c r="V15" s="208">
        <f t="shared" si="18"/>
        <v>0</v>
      </c>
    </row>
    <row r="16" spans="1:26" x14ac:dyDescent="0.2">
      <c r="A16" s="20" t="s">
        <v>12</v>
      </c>
      <c r="B16" s="20" t="s">
        <v>4</v>
      </c>
      <c r="C16" s="102"/>
      <c r="D16" s="70"/>
      <c r="E16" s="70"/>
      <c r="F16" s="70"/>
      <c r="G16" s="70"/>
      <c r="H16" s="70"/>
      <c r="I16" s="70"/>
      <c r="J16" s="70"/>
      <c r="K16" s="16"/>
      <c r="L16" s="142"/>
      <c r="M16" s="142"/>
      <c r="N16" s="142"/>
      <c r="O16" s="16"/>
      <c r="P16" s="83">
        <f t="shared" si="13"/>
        <v>0</v>
      </c>
      <c r="Q16" s="83">
        <f t="shared" si="14"/>
        <v>0</v>
      </c>
      <c r="R16" s="83">
        <f t="shared" si="15"/>
        <v>0</v>
      </c>
      <c r="S16" s="83">
        <f t="shared" si="16"/>
        <v>0</v>
      </c>
      <c r="T16" s="304">
        <f t="shared" si="17"/>
        <v>0</v>
      </c>
      <c r="U16" s="126"/>
      <c r="V16" s="208">
        <f t="shared" ref="V16:V76" si="21">+S16-E16+C16</f>
        <v>0</v>
      </c>
    </row>
    <row r="17" spans="1:23" x14ac:dyDescent="0.2">
      <c r="A17" s="20" t="s">
        <v>13</v>
      </c>
      <c r="B17" s="20" t="s">
        <v>5</v>
      </c>
      <c r="C17" s="102">
        <v>0</v>
      </c>
      <c r="D17" s="70">
        <v>0</v>
      </c>
      <c r="E17" s="70">
        <v>0</v>
      </c>
      <c r="F17" s="70"/>
      <c r="G17" s="70"/>
      <c r="H17" s="70">
        <v>0</v>
      </c>
      <c r="I17" s="70"/>
      <c r="J17" s="70"/>
      <c r="K17" s="16"/>
      <c r="L17" s="143"/>
      <c r="M17" s="143"/>
      <c r="N17" s="143"/>
      <c r="O17" s="16"/>
      <c r="P17" s="83">
        <f t="shared" si="13"/>
        <v>0</v>
      </c>
      <c r="Q17" s="83">
        <f t="shared" si="14"/>
        <v>0</v>
      </c>
      <c r="R17" s="83">
        <f t="shared" si="15"/>
        <v>0</v>
      </c>
      <c r="S17" s="83">
        <f t="shared" si="16"/>
        <v>0</v>
      </c>
      <c r="T17" s="304">
        <f t="shared" si="17"/>
        <v>0</v>
      </c>
      <c r="U17" s="126"/>
      <c r="V17" s="208">
        <f t="shared" si="21"/>
        <v>0</v>
      </c>
    </row>
    <row r="18" spans="1:23" x14ac:dyDescent="0.2">
      <c r="A18" s="513" t="s">
        <v>386</v>
      </c>
      <c r="B18" s="20" t="s">
        <v>6</v>
      </c>
      <c r="C18" s="102">
        <v>1060000</v>
      </c>
      <c r="D18" s="70">
        <v>1060000</v>
      </c>
      <c r="E18" s="70">
        <v>0</v>
      </c>
      <c r="F18" s="70"/>
      <c r="G18" s="70"/>
      <c r="H18" s="70">
        <v>531000</v>
      </c>
      <c r="I18" s="70">
        <v>0</v>
      </c>
      <c r="J18" s="70"/>
      <c r="K18" s="16"/>
      <c r="L18" s="142"/>
      <c r="M18" s="142"/>
      <c r="N18" s="142"/>
      <c r="O18" s="16"/>
      <c r="P18" s="83">
        <f t="shared" si="13"/>
        <v>0</v>
      </c>
      <c r="Q18" s="83">
        <f t="shared" si="14"/>
        <v>-1060000</v>
      </c>
      <c r="R18" s="83">
        <f t="shared" si="15"/>
        <v>0</v>
      </c>
      <c r="S18" s="83">
        <f t="shared" si="16"/>
        <v>-1060000</v>
      </c>
      <c r="T18" s="304">
        <f t="shared" si="17"/>
        <v>-1</v>
      </c>
      <c r="U18" s="126"/>
      <c r="V18" s="208">
        <f t="shared" si="21"/>
        <v>0</v>
      </c>
      <c r="W18" s="2"/>
    </row>
    <row r="19" spans="1:23" x14ac:dyDescent="0.2">
      <c r="A19" s="20" t="s">
        <v>14</v>
      </c>
      <c r="B19" s="20" t="s">
        <v>7</v>
      </c>
      <c r="C19" s="102">
        <f>26*200000</f>
        <v>5200000</v>
      </c>
      <c r="D19" s="70">
        <v>5200000</v>
      </c>
      <c r="E19" s="70">
        <v>0</v>
      </c>
      <c r="F19" s="70"/>
      <c r="G19" s="70"/>
      <c r="H19" s="70">
        <v>2687481</v>
      </c>
      <c r="I19" s="70">
        <v>0</v>
      </c>
      <c r="J19" s="70"/>
      <c r="K19" s="16"/>
      <c r="L19" s="143">
        <f t="shared" ref="L19" si="22">+H19/C19</f>
        <v>0.51682326923076927</v>
      </c>
      <c r="M19" s="143">
        <f>+I19/D19</f>
        <v>0</v>
      </c>
      <c r="N19" s="143" t="e">
        <f t="shared" ref="N19" si="23">+J19/E19</f>
        <v>#DIV/0!</v>
      </c>
      <c r="O19" s="16"/>
      <c r="P19" s="83">
        <f t="shared" si="13"/>
        <v>0</v>
      </c>
      <c r="Q19" s="83">
        <f t="shared" si="14"/>
        <v>-5200000</v>
      </c>
      <c r="R19" s="83">
        <f t="shared" si="15"/>
        <v>0</v>
      </c>
      <c r="S19" s="83">
        <f t="shared" si="16"/>
        <v>-5200000</v>
      </c>
      <c r="T19" s="304">
        <f t="shared" si="17"/>
        <v>-1</v>
      </c>
      <c r="U19" s="126"/>
      <c r="V19" s="208">
        <f t="shared" si="21"/>
        <v>0</v>
      </c>
    </row>
    <row r="20" spans="1:23" x14ac:dyDescent="0.2">
      <c r="A20" s="20" t="s">
        <v>15</v>
      </c>
      <c r="B20" s="20" t="s">
        <v>8</v>
      </c>
      <c r="C20" s="102">
        <v>0</v>
      </c>
      <c r="D20" s="70">
        <v>0</v>
      </c>
      <c r="E20" s="70">
        <v>0</v>
      </c>
      <c r="F20" s="70"/>
      <c r="G20" s="70"/>
      <c r="H20" s="70">
        <v>0</v>
      </c>
      <c r="I20" s="70">
        <v>0</v>
      </c>
      <c r="J20" s="70"/>
      <c r="K20" s="16"/>
      <c r="L20" s="142"/>
      <c r="M20" s="142"/>
      <c r="N20" s="142"/>
      <c r="O20" s="16"/>
      <c r="P20" s="83">
        <f t="shared" si="13"/>
        <v>0</v>
      </c>
      <c r="Q20" s="83">
        <f t="shared" si="14"/>
        <v>0</v>
      </c>
      <c r="R20" s="83">
        <f t="shared" si="15"/>
        <v>0</v>
      </c>
      <c r="S20" s="83">
        <f t="shared" si="16"/>
        <v>0</v>
      </c>
      <c r="T20" s="304">
        <f t="shared" si="17"/>
        <v>0</v>
      </c>
      <c r="U20" s="126"/>
      <c r="V20" s="208">
        <f t="shared" si="21"/>
        <v>0</v>
      </c>
    </row>
    <row r="21" spans="1:23" x14ac:dyDescent="0.2">
      <c r="A21" s="20" t="s">
        <v>16</v>
      </c>
      <c r="B21" s="20" t="s">
        <v>9</v>
      </c>
      <c r="C21" s="102">
        <v>410000</v>
      </c>
      <c r="D21" s="70">
        <v>410000</v>
      </c>
      <c r="E21" s="70">
        <v>0</v>
      </c>
      <c r="F21" s="70"/>
      <c r="G21" s="70"/>
      <c r="H21" s="70">
        <v>263786</v>
      </c>
      <c r="I21" s="70">
        <v>0</v>
      </c>
      <c r="J21" s="70"/>
      <c r="K21" s="16"/>
      <c r="L21" s="143">
        <f t="shared" ref="L21:L23" si="24">+H21/C21</f>
        <v>0.643380487804878</v>
      </c>
      <c r="M21" s="143">
        <f t="shared" ref="M21:M23" si="25">+I21/D21</f>
        <v>0</v>
      </c>
      <c r="N21" s="143" t="e">
        <f t="shared" ref="N21:N23" si="26">+J21/E21</f>
        <v>#DIV/0!</v>
      </c>
      <c r="O21" s="16"/>
      <c r="P21" s="83">
        <f t="shared" si="13"/>
        <v>0</v>
      </c>
      <c r="Q21" s="83">
        <f t="shared" si="14"/>
        <v>-410000</v>
      </c>
      <c r="R21" s="83">
        <f t="shared" si="15"/>
        <v>0</v>
      </c>
      <c r="S21" s="83">
        <f t="shared" si="16"/>
        <v>-410000</v>
      </c>
      <c r="T21" s="304">
        <f t="shared" si="17"/>
        <v>-1</v>
      </c>
      <c r="U21" s="126"/>
      <c r="V21" s="208">
        <f t="shared" si="21"/>
        <v>0</v>
      </c>
    </row>
    <row r="22" spans="1:23" x14ac:dyDescent="0.2">
      <c r="A22" s="20" t="s">
        <v>17</v>
      </c>
      <c r="B22" s="20" t="s">
        <v>10</v>
      </c>
      <c r="C22" s="102">
        <v>0</v>
      </c>
      <c r="D22" s="70">
        <v>0</v>
      </c>
      <c r="E22" s="70">
        <v>0</v>
      </c>
      <c r="F22" s="70"/>
      <c r="G22" s="70"/>
      <c r="H22" s="70">
        <v>0</v>
      </c>
      <c r="I22" s="70">
        <v>0</v>
      </c>
      <c r="J22" s="70"/>
      <c r="K22" s="16"/>
      <c r="L22" s="143" t="e">
        <f t="shared" si="24"/>
        <v>#DIV/0!</v>
      </c>
      <c r="M22" s="143" t="e">
        <f t="shared" si="25"/>
        <v>#DIV/0!</v>
      </c>
      <c r="N22" s="143" t="e">
        <f t="shared" si="26"/>
        <v>#DIV/0!</v>
      </c>
      <c r="O22" s="16"/>
      <c r="P22" s="83">
        <f t="shared" si="13"/>
        <v>0</v>
      </c>
      <c r="Q22" s="83">
        <f t="shared" si="14"/>
        <v>0</v>
      </c>
      <c r="R22" s="83">
        <f t="shared" si="15"/>
        <v>0</v>
      </c>
      <c r="S22" s="83">
        <f t="shared" si="16"/>
        <v>0</v>
      </c>
      <c r="T22" s="304">
        <f t="shared" si="17"/>
        <v>0</v>
      </c>
      <c r="U22" s="126"/>
      <c r="V22" s="208">
        <f t="shared" si="21"/>
        <v>0</v>
      </c>
    </row>
    <row r="23" spans="1:23" x14ac:dyDescent="0.2">
      <c r="A23" s="20" t="s">
        <v>18</v>
      </c>
      <c r="B23" s="20" t="s">
        <v>11</v>
      </c>
      <c r="C23" s="102">
        <v>1985000</v>
      </c>
      <c r="D23" s="70">
        <v>1985000</v>
      </c>
      <c r="E23" s="70">
        <v>0</v>
      </c>
      <c r="F23" s="70"/>
      <c r="G23" s="70"/>
      <c r="H23" s="70">
        <v>1676166</v>
      </c>
      <c r="I23" s="70">
        <v>0</v>
      </c>
      <c r="J23" s="70"/>
      <c r="K23" s="16"/>
      <c r="L23" s="143">
        <f t="shared" si="24"/>
        <v>0.84441612090680096</v>
      </c>
      <c r="M23" s="143">
        <f t="shared" si="25"/>
        <v>0</v>
      </c>
      <c r="N23" s="143" t="e">
        <f t="shared" si="26"/>
        <v>#DIV/0!</v>
      </c>
      <c r="O23" s="16"/>
      <c r="P23" s="83">
        <f t="shared" si="13"/>
        <v>0</v>
      </c>
      <c r="Q23" s="83">
        <f t="shared" si="14"/>
        <v>-1985000</v>
      </c>
      <c r="R23" s="83">
        <f t="shared" si="15"/>
        <v>0</v>
      </c>
      <c r="S23" s="83">
        <f t="shared" si="16"/>
        <v>-1985000</v>
      </c>
      <c r="T23" s="304">
        <f t="shared" si="17"/>
        <v>-1</v>
      </c>
      <c r="U23" s="126"/>
      <c r="V23" s="208">
        <f t="shared" si="21"/>
        <v>0</v>
      </c>
    </row>
    <row r="24" spans="1:23" x14ac:dyDescent="0.2">
      <c r="A24" s="20" t="s">
        <v>19</v>
      </c>
      <c r="B24" s="20"/>
      <c r="C24" s="404">
        <f>SUM(C25:C27)</f>
        <v>0</v>
      </c>
      <c r="D24" s="404">
        <f>SUM(D25:D27)</f>
        <v>220400</v>
      </c>
      <c r="E24" s="70"/>
      <c r="F24" s="70"/>
      <c r="G24" s="70"/>
      <c r="H24" s="404">
        <f>SUM(H25:H27)</f>
        <v>199748</v>
      </c>
      <c r="I24" s="70"/>
      <c r="J24" s="70"/>
      <c r="K24" s="16"/>
      <c r="L24" s="142"/>
      <c r="M24" s="142"/>
      <c r="N24" s="142"/>
      <c r="O24" s="16"/>
      <c r="P24" s="83">
        <f t="shared" si="13"/>
        <v>220400</v>
      </c>
      <c r="Q24" s="83">
        <f t="shared" si="14"/>
        <v>-220400</v>
      </c>
      <c r="R24" s="83">
        <f t="shared" si="15"/>
        <v>0</v>
      </c>
      <c r="S24" s="83">
        <f t="shared" si="16"/>
        <v>0</v>
      </c>
      <c r="T24" s="304">
        <f t="shared" si="17"/>
        <v>0</v>
      </c>
      <c r="U24" s="126"/>
      <c r="V24" s="208">
        <f t="shared" ref="V24:V34" si="27">+S24-E24+C24</f>
        <v>0</v>
      </c>
    </row>
    <row r="25" spans="1:23" ht="25.5" x14ac:dyDescent="0.2">
      <c r="A25" s="20" t="s">
        <v>20</v>
      </c>
      <c r="B25" s="20" t="s">
        <v>107</v>
      </c>
      <c r="C25" s="102">
        <v>0</v>
      </c>
      <c r="D25" s="70">
        <v>0</v>
      </c>
      <c r="E25" s="70">
        <v>0</v>
      </c>
      <c r="F25" s="70"/>
      <c r="G25" s="70"/>
      <c r="H25" s="70">
        <v>0</v>
      </c>
      <c r="I25" s="70">
        <v>0</v>
      </c>
      <c r="J25" s="70"/>
      <c r="K25" s="16"/>
      <c r="L25" s="143" t="e">
        <f t="shared" ref="L25" si="28">+H25/C25</f>
        <v>#DIV/0!</v>
      </c>
      <c r="M25" s="143" t="e">
        <f>+I25/D25</f>
        <v>#DIV/0!</v>
      </c>
      <c r="N25" s="143" t="e">
        <f t="shared" ref="N25:N26" si="29">+J25/E25</f>
        <v>#DIV/0!</v>
      </c>
      <c r="O25" s="16"/>
      <c r="P25" s="83">
        <f t="shared" si="13"/>
        <v>0</v>
      </c>
      <c r="Q25" s="83">
        <f t="shared" si="14"/>
        <v>0</v>
      </c>
      <c r="R25" s="83">
        <f t="shared" si="15"/>
        <v>0</v>
      </c>
      <c r="S25" s="83">
        <f t="shared" si="16"/>
        <v>0</v>
      </c>
      <c r="T25" s="304">
        <f t="shared" si="17"/>
        <v>0</v>
      </c>
      <c r="U25" s="126"/>
      <c r="V25" s="208">
        <f t="shared" si="27"/>
        <v>0</v>
      </c>
    </row>
    <row r="26" spans="1:23" x14ac:dyDescent="0.2">
      <c r="A26" s="20" t="s">
        <v>22</v>
      </c>
      <c r="B26" s="20" t="s">
        <v>23</v>
      </c>
      <c r="C26" s="102"/>
      <c r="D26" s="70">
        <v>190460</v>
      </c>
      <c r="E26" s="70">
        <v>0</v>
      </c>
      <c r="F26" s="70"/>
      <c r="G26" s="70"/>
      <c r="H26" s="70">
        <v>190460</v>
      </c>
      <c r="I26" s="70">
        <v>0</v>
      </c>
      <c r="J26" s="70"/>
      <c r="K26" s="16"/>
      <c r="L26" s="142"/>
      <c r="M26" s="142">
        <f>+I26/D26</f>
        <v>0</v>
      </c>
      <c r="N26" s="142" t="e">
        <f t="shared" si="29"/>
        <v>#DIV/0!</v>
      </c>
      <c r="O26" s="16"/>
      <c r="P26" s="83">
        <f t="shared" si="13"/>
        <v>190460</v>
      </c>
      <c r="Q26" s="83">
        <f t="shared" si="14"/>
        <v>-190460</v>
      </c>
      <c r="R26" s="83">
        <f t="shared" si="15"/>
        <v>0</v>
      </c>
      <c r="S26" s="83">
        <f t="shared" si="16"/>
        <v>0</v>
      </c>
      <c r="T26" s="304">
        <f t="shared" si="17"/>
        <v>0</v>
      </c>
      <c r="U26" s="126"/>
      <c r="V26" s="208">
        <f t="shared" si="27"/>
        <v>0</v>
      </c>
    </row>
    <row r="27" spans="1:23" x14ac:dyDescent="0.2">
      <c r="A27" s="20" t="s">
        <v>24</v>
      </c>
      <c r="B27" s="20" t="s">
        <v>25</v>
      </c>
      <c r="C27" s="102">
        <v>0</v>
      </c>
      <c r="D27" s="70">
        <v>29940</v>
      </c>
      <c r="E27" s="70">
        <v>0</v>
      </c>
      <c r="F27" s="70"/>
      <c r="G27" s="70"/>
      <c r="H27" s="70">
        <v>9288</v>
      </c>
      <c r="I27" s="70">
        <v>0</v>
      </c>
      <c r="J27" s="70"/>
      <c r="K27" s="16"/>
      <c r="L27" s="143" t="e">
        <f t="shared" ref="L27" si="30">+H27/C27</f>
        <v>#DIV/0!</v>
      </c>
      <c r="M27" s="143">
        <f>+I27/D27</f>
        <v>0</v>
      </c>
      <c r="N27" s="143" t="e">
        <f t="shared" ref="N27" si="31">+J27/E27</f>
        <v>#DIV/0!</v>
      </c>
      <c r="O27" s="16"/>
      <c r="P27" s="83">
        <f t="shared" si="13"/>
        <v>29940</v>
      </c>
      <c r="Q27" s="83">
        <f t="shared" si="14"/>
        <v>-29940</v>
      </c>
      <c r="R27" s="83">
        <f t="shared" si="15"/>
        <v>0</v>
      </c>
      <c r="S27" s="83">
        <f t="shared" si="16"/>
        <v>0</v>
      </c>
      <c r="T27" s="304">
        <f t="shared" si="17"/>
        <v>0</v>
      </c>
      <c r="U27" s="126"/>
      <c r="V27" s="208">
        <f t="shared" si="27"/>
        <v>0</v>
      </c>
    </row>
    <row r="28" spans="1:23" x14ac:dyDescent="0.2">
      <c r="A28" s="11"/>
      <c r="B28" s="12"/>
      <c r="C28" s="317"/>
      <c r="D28" s="70"/>
      <c r="E28" s="70"/>
      <c r="F28" s="70"/>
      <c r="G28" s="70"/>
      <c r="H28" s="70"/>
      <c r="I28" s="70"/>
      <c r="J28" s="70"/>
      <c r="K28" s="16"/>
      <c r="L28" s="161"/>
      <c r="M28" s="161"/>
      <c r="N28" s="161"/>
      <c r="O28" s="16"/>
      <c r="P28" s="83"/>
      <c r="Q28" s="83"/>
      <c r="R28" s="83"/>
      <c r="S28" s="83"/>
      <c r="T28" s="304"/>
      <c r="U28" s="126"/>
      <c r="V28" s="208"/>
    </row>
    <row r="29" spans="1:23" x14ac:dyDescent="0.2">
      <c r="A29" s="5" t="s">
        <v>26</v>
      </c>
      <c r="B29" s="5" t="s">
        <v>27</v>
      </c>
      <c r="C29" s="203">
        <f>SUM(C30:C31)</f>
        <v>18770000</v>
      </c>
      <c r="D29" s="203">
        <f t="shared" ref="D29:J29" si="32">SUM(D30:D31)</f>
        <v>18770000</v>
      </c>
      <c r="E29" s="203">
        <f t="shared" si="32"/>
        <v>0</v>
      </c>
      <c r="F29" s="203">
        <f t="shared" si="32"/>
        <v>0</v>
      </c>
      <c r="G29" s="203"/>
      <c r="H29" s="203">
        <f t="shared" si="32"/>
        <v>9993764</v>
      </c>
      <c r="I29" s="203">
        <f t="shared" si="32"/>
        <v>0</v>
      </c>
      <c r="J29" s="203">
        <f t="shared" si="32"/>
        <v>0</v>
      </c>
      <c r="K29" s="10"/>
      <c r="L29" s="89">
        <f t="shared" ref="L29:L30" si="33">+H29/C29</f>
        <v>0.53243281832711775</v>
      </c>
      <c r="M29" s="89">
        <f>+I29/D29</f>
        <v>0</v>
      </c>
      <c r="N29" s="89" t="e">
        <f t="shared" ref="N29:N30" si="34">+J29/E29</f>
        <v>#DIV/0!</v>
      </c>
      <c r="O29" s="10"/>
      <c r="P29" s="322">
        <f t="shared" si="13"/>
        <v>0</v>
      </c>
      <c r="Q29" s="322">
        <f t="shared" si="14"/>
        <v>-18770000</v>
      </c>
      <c r="R29" s="322">
        <f t="shared" si="15"/>
        <v>0</v>
      </c>
      <c r="S29" s="322">
        <f t="shared" si="16"/>
        <v>-18770000</v>
      </c>
      <c r="T29" s="305">
        <f t="shared" si="17"/>
        <v>-1</v>
      </c>
      <c r="U29" s="126"/>
      <c r="V29" s="208">
        <f t="shared" si="27"/>
        <v>0</v>
      </c>
    </row>
    <row r="30" spans="1:23" x14ac:dyDescent="0.2">
      <c r="A30" s="20"/>
      <c r="B30" s="20" t="s">
        <v>28</v>
      </c>
      <c r="C30" s="102">
        <v>18770000</v>
      </c>
      <c r="D30" s="70">
        <v>18770000</v>
      </c>
      <c r="E30" s="70">
        <v>0</v>
      </c>
      <c r="F30" s="70"/>
      <c r="G30" s="70"/>
      <c r="H30" s="70">
        <v>9993764</v>
      </c>
      <c r="I30" s="70">
        <v>0</v>
      </c>
      <c r="J30" s="70"/>
      <c r="K30" s="16"/>
      <c r="L30" s="143">
        <f t="shared" si="33"/>
        <v>0.53243281832711775</v>
      </c>
      <c r="M30" s="143">
        <f>+I30/D30</f>
        <v>0</v>
      </c>
      <c r="N30" s="143" t="e">
        <f t="shared" si="34"/>
        <v>#DIV/0!</v>
      </c>
      <c r="O30" s="16"/>
      <c r="P30" s="83">
        <f t="shared" si="13"/>
        <v>0</v>
      </c>
      <c r="Q30" s="83">
        <f t="shared" si="14"/>
        <v>-18770000</v>
      </c>
      <c r="R30" s="83">
        <f t="shared" si="15"/>
        <v>0</v>
      </c>
      <c r="S30" s="83">
        <f t="shared" si="16"/>
        <v>-18770000</v>
      </c>
      <c r="T30" s="304">
        <f t="shared" si="17"/>
        <v>-1</v>
      </c>
      <c r="U30" s="126"/>
      <c r="V30" s="208">
        <f t="shared" si="27"/>
        <v>0</v>
      </c>
    </row>
    <row r="31" spans="1:23" x14ac:dyDescent="0.2">
      <c r="A31" s="20"/>
      <c r="B31" s="14"/>
      <c r="C31" s="102"/>
      <c r="D31" s="70"/>
      <c r="E31" s="70"/>
      <c r="F31" s="70"/>
      <c r="G31" s="70"/>
      <c r="H31" s="70"/>
      <c r="I31" s="70"/>
      <c r="J31" s="70"/>
      <c r="K31" s="16"/>
      <c r="L31" s="161"/>
      <c r="M31" s="161"/>
      <c r="N31" s="161"/>
      <c r="O31" s="16"/>
      <c r="P31" s="83"/>
      <c r="Q31" s="83"/>
      <c r="R31" s="83"/>
      <c r="S31" s="83"/>
      <c r="T31" s="304"/>
      <c r="U31" s="126"/>
      <c r="V31" s="208"/>
    </row>
    <row r="32" spans="1:23" x14ac:dyDescent="0.2">
      <c r="A32" s="5" t="s">
        <v>29</v>
      </c>
      <c r="B32" s="5" t="s">
        <v>30</v>
      </c>
      <c r="C32" s="203">
        <f>+C33+C41+C48+C66+C71</f>
        <v>10409999</v>
      </c>
      <c r="D32" s="203">
        <f>+D33+D41+D48+D66+D71</f>
        <v>10409999</v>
      </c>
      <c r="E32" s="203">
        <f t="shared" ref="E32:J32" si="35">+E33+E41+E48+E66+E71</f>
        <v>0</v>
      </c>
      <c r="F32" s="203">
        <f t="shared" si="35"/>
        <v>0</v>
      </c>
      <c r="G32" s="203"/>
      <c r="H32" s="203">
        <f t="shared" si="35"/>
        <v>5569152</v>
      </c>
      <c r="I32" s="203">
        <f t="shared" si="35"/>
        <v>0</v>
      </c>
      <c r="J32" s="203">
        <f t="shared" si="35"/>
        <v>0</v>
      </c>
      <c r="K32" s="10"/>
      <c r="L32" s="89">
        <f t="shared" ref="L32" si="36">+H32/C32</f>
        <v>0.53498103121815865</v>
      </c>
      <c r="M32" s="89">
        <f>+I32/D32</f>
        <v>0</v>
      </c>
      <c r="N32" s="89" t="e">
        <f t="shared" ref="N32" si="37">+J32/E32</f>
        <v>#DIV/0!</v>
      </c>
      <c r="O32" s="10"/>
      <c r="P32" s="322">
        <f t="shared" si="13"/>
        <v>0</v>
      </c>
      <c r="Q32" s="322">
        <f t="shared" si="14"/>
        <v>-10409999</v>
      </c>
      <c r="R32" s="322">
        <f t="shared" si="15"/>
        <v>0</v>
      </c>
      <c r="S32" s="322">
        <f t="shared" si="16"/>
        <v>-10409999</v>
      </c>
      <c r="T32" s="305">
        <f t="shared" si="17"/>
        <v>-1</v>
      </c>
      <c r="U32" s="126"/>
      <c r="V32" s="208">
        <f t="shared" si="27"/>
        <v>0</v>
      </c>
    </row>
    <row r="33" spans="1:22" x14ac:dyDescent="0.2">
      <c r="A33" s="40" t="s">
        <v>31</v>
      </c>
      <c r="B33" s="40" t="s">
        <v>32</v>
      </c>
      <c r="C33" s="404">
        <f>SUM(C34:C40)</f>
        <v>2349421</v>
      </c>
      <c r="D33" s="404">
        <f t="shared" ref="D33:J33" si="38">SUM(D34:D40)</f>
        <v>2349421</v>
      </c>
      <c r="E33" s="404">
        <f t="shared" si="38"/>
        <v>0</v>
      </c>
      <c r="F33" s="404">
        <f t="shared" si="38"/>
        <v>0</v>
      </c>
      <c r="G33" s="404"/>
      <c r="H33" s="404">
        <f t="shared" si="38"/>
        <v>1704404</v>
      </c>
      <c r="I33" s="404">
        <f t="shared" si="38"/>
        <v>0</v>
      </c>
      <c r="J33" s="404">
        <f t="shared" si="38"/>
        <v>0</v>
      </c>
      <c r="K33" s="16"/>
      <c r="L33" s="161"/>
      <c r="M33" s="161"/>
      <c r="N33" s="161"/>
      <c r="O33" s="16"/>
      <c r="P33" s="83">
        <f t="shared" si="13"/>
        <v>0</v>
      </c>
      <c r="Q33" s="83">
        <f t="shared" si="14"/>
        <v>-2349421</v>
      </c>
      <c r="R33" s="83">
        <f t="shared" si="15"/>
        <v>0</v>
      </c>
      <c r="S33" s="83">
        <f t="shared" si="16"/>
        <v>-2349421</v>
      </c>
      <c r="T33" s="304">
        <f t="shared" si="17"/>
        <v>-1</v>
      </c>
      <c r="U33" s="126"/>
      <c r="V33" s="208">
        <f t="shared" si="27"/>
        <v>0</v>
      </c>
    </row>
    <row r="34" spans="1:22" x14ac:dyDescent="0.2">
      <c r="A34" s="20" t="s">
        <v>33</v>
      </c>
      <c r="B34" s="20" t="s">
        <v>35</v>
      </c>
      <c r="C34" s="102">
        <v>359012</v>
      </c>
      <c r="D34" s="70">
        <v>359012</v>
      </c>
      <c r="E34" s="70">
        <v>0</v>
      </c>
      <c r="F34" s="70"/>
      <c r="G34" s="70"/>
      <c r="H34" s="70">
        <v>294082</v>
      </c>
      <c r="I34" s="70">
        <v>0</v>
      </c>
      <c r="J34" s="70"/>
      <c r="K34" s="16"/>
      <c r="L34" s="143">
        <f t="shared" ref="L34" si="39">+H34/C34</f>
        <v>0.81914253562555017</v>
      </c>
      <c r="M34" s="143">
        <f>+I34/D34</f>
        <v>0</v>
      </c>
      <c r="N34" s="143" t="e">
        <f t="shared" ref="N34" si="40">+J34/E34</f>
        <v>#DIV/0!</v>
      </c>
      <c r="O34" s="16"/>
      <c r="P34" s="83">
        <f t="shared" si="13"/>
        <v>0</v>
      </c>
      <c r="Q34" s="83">
        <f t="shared" si="14"/>
        <v>-359012</v>
      </c>
      <c r="R34" s="83">
        <f t="shared" si="15"/>
        <v>0</v>
      </c>
      <c r="S34" s="83">
        <f t="shared" si="16"/>
        <v>-359012</v>
      </c>
      <c r="T34" s="304">
        <f t="shared" si="17"/>
        <v>-1</v>
      </c>
      <c r="U34" s="126"/>
      <c r="V34" s="208">
        <f t="shared" si="27"/>
        <v>0</v>
      </c>
    </row>
    <row r="35" spans="1:22" x14ac:dyDescent="0.2">
      <c r="A35" s="20"/>
      <c r="B35" s="20" t="s">
        <v>89</v>
      </c>
      <c r="C35" s="102"/>
      <c r="D35" s="70"/>
      <c r="E35" s="70"/>
      <c r="F35" s="70"/>
      <c r="G35" s="70"/>
      <c r="H35" s="70"/>
      <c r="I35" s="70"/>
      <c r="J35" s="70"/>
      <c r="K35" s="16"/>
      <c r="L35" s="142"/>
      <c r="M35" s="142"/>
      <c r="N35" s="142"/>
      <c r="O35" s="16"/>
      <c r="P35" s="83">
        <f t="shared" si="13"/>
        <v>0</v>
      </c>
      <c r="Q35" s="83">
        <f t="shared" si="14"/>
        <v>0</v>
      </c>
      <c r="R35" s="83">
        <f t="shared" si="15"/>
        <v>0</v>
      </c>
      <c r="S35" s="83">
        <f t="shared" si="16"/>
        <v>0</v>
      </c>
      <c r="T35" s="304">
        <f t="shared" si="17"/>
        <v>0</v>
      </c>
      <c r="U35" s="126"/>
      <c r="V35" s="208">
        <f t="shared" si="21"/>
        <v>0</v>
      </c>
    </row>
    <row r="36" spans="1:22" x14ac:dyDescent="0.2">
      <c r="A36" s="20" t="s">
        <v>34</v>
      </c>
      <c r="B36" s="20" t="s">
        <v>36</v>
      </c>
      <c r="C36" s="102">
        <f>1550409+20000*20+40000</f>
        <v>1990409</v>
      </c>
      <c r="D36" s="70">
        <v>1990409</v>
      </c>
      <c r="E36" s="70">
        <v>0</v>
      </c>
      <c r="F36" s="70"/>
      <c r="G36" s="70"/>
      <c r="H36" s="70">
        <v>1410322</v>
      </c>
      <c r="I36" s="70">
        <v>0</v>
      </c>
      <c r="J36" s="70"/>
      <c r="K36" s="16"/>
      <c r="L36" s="143">
        <f t="shared" ref="L36" si="41">+H36/C36</f>
        <v>0.70855889417702589</v>
      </c>
      <c r="M36" s="143">
        <f>+I36/D36</f>
        <v>0</v>
      </c>
      <c r="N36" s="143" t="e">
        <f t="shared" ref="N36" si="42">+J36/E36</f>
        <v>#DIV/0!</v>
      </c>
      <c r="O36" s="16"/>
      <c r="P36" s="83">
        <f t="shared" si="13"/>
        <v>0</v>
      </c>
      <c r="Q36" s="83">
        <f t="shared" si="14"/>
        <v>-1990409</v>
      </c>
      <c r="R36" s="83">
        <f t="shared" si="15"/>
        <v>0</v>
      </c>
      <c r="S36" s="83">
        <f t="shared" si="16"/>
        <v>-1990409</v>
      </c>
      <c r="T36" s="304">
        <f t="shared" si="17"/>
        <v>-1</v>
      </c>
      <c r="U36" s="126"/>
      <c r="V36" s="208">
        <f t="shared" si="21"/>
        <v>0</v>
      </c>
    </row>
    <row r="37" spans="1:22" x14ac:dyDescent="0.2">
      <c r="A37" s="20"/>
      <c r="B37" s="20" t="s">
        <v>105</v>
      </c>
      <c r="C37" s="102"/>
      <c r="D37" s="70"/>
      <c r="E37" s="70"/>
      <c r="F37" s="70"/>
      <c r="G37" s="70"/>
      <c r="H37" s="70"/>
      <c r="I37" s="70"/>
      <c r="J37" s="70"/>
      <c r="K37" s="16"/>
      <c r="L37" s="142"/>
      <c r="M37" s="142"/>
      <c r="N37" s="142"/>
      <c r="O37" s="16"/>
      <c r="P37" s="83">
        <f t="shared" si="13"/>
        <v>0</v>
      </c>
      <c r="Q37" s="83">
        <f t="shared" si="14"/>
        <v>0</v>
      </c>
      <c r="R37" s="83">
        <f t="shared" si="15"/>
        <v>0</v>
      </c>
      <c r="S37" s="83">
        <f t="shared" si="16"/>
        <v>0</v>
      </c>
      <c r="T37" s="304">
        <f t="shared" si="17"/>
        <v>0</v>
      </c>
      <c r="U37" s="126"/>
      <c r="V37" s="208">
        <f t="shared" si="21"/>
        <v>0</v>
      </c>
    </row>
    <row r="38" spans="1:22" x14ac:dyDescent="0.2">
      <c r="A38" s="20"/>
      <c r="B38" s="20" t="s">
        <v>95</v>
      </c>
      <c r="C38" s="102"/>
      <c r="D38" s="70"/>
      <c r="E38" s="70"/>
      <c r="F38" s="70"/>
      <c r="G38" s="70"/>
      <c r="H38" s="70"/>
      <c r="I38" s="70"/>
      <c r="J38" s="70"/>
      <c r="K38" s="16"/>
      <c r="L38" s="142"/>
      <c r="M38" s="142"/>
      <c r="N38" s="142"/>
      <c r="O38" s="16"/>
      <c r="P38" s="83">
        <f t="shared" si="13"/>
        <v>0</v>
      </c>
      <c r="Q38" s="83">
        <f t="shared" si="14"/>
        <v>0</v>
      </c>
      <c r="R38" s="83">
        <f t="shared" si="15"/>
        <v>0</v>
      </c>
      <c r="S38" s="83">
        <f t="shared" si="16"/>
        <v>0</v>
      </c>
      <c r="T38" s="304">
        <f t="shared" si="17"/>
        <v>0</v>
      </c>
      <c r="U38" s="126"/>
      <c r="V38" s="208">
        <f t="shared" si="21"/>
        <v>0</v>
      </c>
    </row>
    <row r="39" spans="1:22" x14ac:dyDescent="0.2">
      <c r="A39" s="20"/>
      <c r="B39" s="20" t="s">
        <v>94</v>
      </c>
      <c r="C39" s="102"/>
      <c r="D39" s="70"/>
      <c r="E39" s="70"/>
      <c r="F39" s="70"/>
      <c r="G39" s="70"/>
      <c r="H39" s="70"/>
      <c r="I39" s="70"/>
      <c r="J39" s="70"/>
      <c r="K39" s="16"/>
      <c r="L39" s="142"/>
      <c r="M39" s="142"/>
      <c r="N39" s="142"/>
      <c r="O39" s="16"/>
      <c r="P39" s="83">
        <f t="shared" si="13"/>
        <v>0</v>
      </c>
      <c r="Q39" s="83">
        <f t="shared" si="14"/>
        <v>0</v>
      </c>
      <c r="R39" s="83">
        <f t="shared" si="15"/>
        <v>0</v>
      </c>
      <c r="S39" s="83">
        <f t="shared" si="16"/>
        <v>0</v>
      </c>
      <c r="T39" s="304">
        <f t="shared" si="17"/>
        <v>0</v>
      </c>
      <c r="U39" s="126"/>
      <c r="V39" s="208">
        <f t="shared" si="21"/>
        <v>0</v>
      </c>
    </row>
    <row r="40" spans="1:22" x14ac:dyDescent="0.2">
      <c r="A40" s="20"/>
      <c r="B40" s="20" t="s">
        <v>93</v>
      </c>
      <c r="C40" s="102"/>
      <c r="D40" s="70"/>
      <c r="E40" s="70"/>
      <c r="F40" s="70"/>
      <c r="G40" s="70"/>
      <c r="H40" s="70"/>
      <c r="I40" s="70"/>
      <c r="J40" s="70"/>
      <c r="K40" s="16"/>
      <c r="L40" s="142"/>
      <c r="M40" s="142"/>
      <c r="N40" s="142"/>
      <c r="O40" s="16"/>
      <c r="P40" s="83">
        <f t="shared" si="13"/>
        <v>0</v>
      </c>
      <c r="Q40" s="83">
        <f t="shared" si="14"/>
        <v>0</v>
      </c>
      <c r="R40" s="83">
        <f t="shared" si="15"/>
        <v>0</v>
      </c>
      <c r="S40" s="83">
        <f t="shared" si="16"/>
        <v>0</v>
      </c>
      <c r="T40" s="304">
        <f t="shared" si="17"/>
        <v>0</v>
      </c>
      <c r="U40" s="126"/>
      <c r="V40" s="208">
        <f t="shared" si="21"/>
        <v>0</v>
      </c>
    </row>
    <row r="41" spans="1:22" x14ac:dyDescent="0.2">
      <c r="A41" s="40" t="s">
        <v>37</v>
      </c>
      <c r="B41" s="40" t="s">
        <v>38</v>
      </c>
      <c r="C41" s="404">
        <f>SUM(C42:C47)</f>
        <v>695833</v>
      </c>
      <c r="D41" s="404">
        <f t="shared" ref="D41:J41" si="43">SUM(D42:D47)</f>
        <v>695833</v>
      </c>
      <c r="E41" s="404">
        <f t="shared" si="43"/>
        <v>0</v>
      </c>
      <c r="F41" s="404">
        <f t="shared" si="43"/>
        <v>0</v>
      </c>
      <c r="G41" s="404"/>
      <c r="H41" s="404">
        <f t="shared" si="43"/>
        <v>486401</v>
      </c>
      <c r="I41" s="404">
        <f t="shared" si="43"/>
        <v>0</v>
      </c>
      <c r="J41" s="404">
        <f t="shared" si="43"/>
        <v>0</v>
      </c>
      <c r="K41" s="405"/>
      <c r="L41" s="153"/>
      <c r="M41" s="153"/>
      <c r="N41" s="153"/>
      <c r="O41" s="405"/>
      <c r="P41" s="406">
        <f t="shared" si="13"/>
        <v>0</v>
      </c>
      <c r="Q41" s="406">
        <f t="shared" si="14"/>
        <v>-695833</v>
      </c>
      <c r="R41" s="406">
        <f t="shared" si="15"/>
        <v>0</v>
      </c>
      <c r="S41" s="406">
        <f t="shared" si="16"/>
        <v>-695833</v>
      </c>
      <c r="T41" s="304">
        <f t="shared" si="17"/>
        <v>-1</v>
      </c>
      <c r="U41" s="126"/>
      <c r="V41" s="208">
        <f t="shared" si="21"/>
        <v>0</v>
      </c>
    </row>
    <row r="42" spans="1:22" x14ac:dyDescent="0.2">
      <c r="A42" s="20" t="s">
        <v>39</v>
      </c>
      <c r="B42" s="20" t="s">
        <v>40</v>
      </c>
      <c r="C42" s="102">
        <v>494371</v>
      </c>
      <c r="D42" s="70">
        <v>494371</v>
      </c>
      <c r="E42" s="70">
        <v>0</v>
      </c>
      <c r="F42" s="70"/>
      <c r="G42" s="70"/>
      <c r="H42" s="70">
        <v>396567</v>
      </c>
      <c r="I42" s="70">
        <v>0</v>
      </c>
      <c r="J42" s="70"/>
      <c r="K42" s="16"/>
      <c r="L42" s="143">
        <f t="shared" ref="L42" si="44">+H42/C42</f>
        <v>0.80216477099182593</v>
      </c>
      <c r="M42" s="143">
        <f>+I42/D42</f>
        <v>0</v>
      </c>
      <c r="N42" s="143" t="e">
        <f t="shared" ref="N42" si="45">+J42/E42</f>
        <v>#DIV/0!</v>
      </c>
      <c r="O42" s="16"/>
      <c r="P42" s="83">
        <f t="shared" si="13"/>
        <v>0</v>
      </c>
      <c r="Q42" s="83">
        <f t="shared" si="14"/>
        <v>-494371</v>
      </c>
      <c r="R42" s="83">
        <f t="shared" si="15"/>
        <v>0</v>
      </c>
      <c r="S42" s="83">
        <f t="shared" si="16"/>
        <v>-494371</v>
      </c>
      <c r="T42" s="304">
        <f t="shared" si="17"/>
        <v>-1</v>
      </c>
      <c r="U42" s="126"/>
      <c r="V42" s="208">
        <f t="shared" si="21"/>
        <v>0</v>
      </c>
    </row>
    <row r="43" spans="1:22" x14ac:dyDescent="0.2">
      <c r="A43" s="20"/>
      <c r="B43" s="20" t="s">
        <v>41</v>
      </c>
      <c r="C43" s="102"/>
      <c r="D43" s="70"/>
      <c r="E43" s="70"/>
      <c r="F43" s="70"/>
      <c r="G43" s="70"/>
      <c r="H43" s="70"/>
      <c r="I43" s="70"/>
      <c r="J43" s="70"/>
      <c r="K43" s="16"/>
      <c r="L43" s="142"/>
      <c r="M43" s="142"/>
      <c r="N43" s="142"/>
      <c r="O43" s="16"/>
      <c r="P43" s="83">
        <f t="shared" si="13"/>
        <v>0</v>
      </c>
      <c r="Q43" s="83">
        <f t="shared" si="14"/>
        <v>0</v>
      </c>
      <c r="R43" s="83">
        <f t="shared" si="15"/>
        <v>0</v>
      </c>
      <c r="S43" s="83">
        <f t="shared" si="16"/>
        <v>0</v>
      </c>
      <c r="T43" s="304">
        <f t="shared" si="17"/>
        <v>0</v>
      </c>
      <c r="U43" s="126"/>
      <c r="V43" s="208">
        <f t="shared" si="21"/>
        <v>0</v>
      </c>
    </row>
    <row r="44" spans="1:22" x14ac:dyDescent="0.2">
      <c r="A44" s="20"/>
      <c r="B44" s="20" t="s">
        <v>42</v>
      </c>
      <c r="C44" s="102"/>
      <c r="D44" s="70"/>
      <c r="E44" s="70"/>
      <c r="F44" s="70"/>
      <c r="G44" s="70"/>
      <c r="H44" s="70"/>
      <c r="I44" s="70"/>
      <c r="J44" s="70"/>
      <c r="K44" s="16"/>
      <c r="L44" s="142"/>
      <c r="M44" s="142"/>
      <c r="N44" s="142"/>
      <c r="O44" s="16"/>
      <c r="P44" s="83">
        <f t="shared" si="13"/>
        <v>0</v>
      </c>
      <c r="Q44" s="83">
        <f t="shared" si="14"/>
        <v>0</v>
      </c>
      <c r="R44" s="83">
        <f t="shared" si="15"/>
        <v>0</v>
      </c>
      <c r="S44" s="83">
        <f t="shared" si="16"/>
        <v>0</v>
      </c>
      <c r="T44" s="304">
        <f t="shared" si="17"/>
        <v>0</v>
      </c>
      <c r="U44" s="126"/>
      <c r="V44" s="208">
        <f t="shared" si="21"/>
        <v>0</v>
      </c>
    </row>
    <row r="45" spans="1:22" x14ac:dyDescent="0.2">
      <c r="A45" s="20"/>
      <c r="B45" s="20" t="s">
        <v>43</v>
      </c>
      <c r="C45" s="102"/>
      <c r="D45" s="70"/>
      <c r="E45" s="70"/>
      <c r="F45" s="70"/>
      <c r="G45" s="70"/>
      <c r="H45" s="70">
        <v>0</v>
      </c>
      <c r="I45" s="70">
        <v>0</v>
      </c>
      <c r="J45" s="70"/>
      <c r="K45" s="16"/>
      <c r="L45" s="142"/>
      <c r="M45" s="142"/>
      <c r="N45" s="142"/>
      <c r="O45" s="16"/>
      <c r="P45" s="83">
        <f t="shared" si="13"/>
        <v>0</v>
      </c>
      <c r="Q45" s="83">
        <f t="shared" si="14"/>
        <v>0</v>
      </c>
      <c r="R45" s="83">
        <f t="shared" si="15"/>
        <v>0</v>
      </c>
      <c r="S45" s="83">
        <f t="shared" si="16"/>
        <v>0</v>
      </c>
      <c r="T45" s="304">
        <f t="shared" si="17"/>
        <v>0</v>
      </c>
      <c r="U45" s="126"/>
      <c r="V45" s="208">
        <f t="shared" si="21"/>
        <v>0</v>
      </c>
    </row>
    <row r="46" spans="1:22" x14ac:dyDescent="0.2">
      <c r="A46" s="20" t="s">
        <v>44</v>
      </c>
      <c r="B46" s="20" t="s">
        <v>45</v>
      </c>
      <c r="C46" s="102">
        <v>201462</v>
      </c>
      <c r="D46" s="70">
        <v>201462</v>
      </c>
      <c r="E46" s="70">
        <v>0</v>
      </c>
      <c r="F46" s="70"/>
      <c r="G46" s="70"/>
      <c r="H46" s="70">
        <v>89834</v>
      </c>
      <c r="I46" s="70">
        <v>0</v>
      </c>
      <c r="J46" s="70"/>
      <c r="K46" s="16"/>
      <c r="L46" s="143">
        <f t="shared" ref="L46" si="46">+H46/C46</f>
        <v>0.44591039501245894</v>
      </c>
      <c r="M46" s="143">
        <f>+I46/D46</f>
        <v>0</v>
      </c>
      <c r="N46" s="143" t="e">
        <f t="shared" ref="N46" si="47">+J46/E46</f>
        <v>#DIV/0!</v>
      </c>
      <c r="O46" s="16"/>
      <c r="P46" s="83">
        <f t="shared" si="13"/>
        <v>0</v>
      </c>
      <c r="Q46" s="83">
        <f t="shared" si="14"/>
        <v>-201462</v>
      </c>
      <c r="R46" s="83">
        <f t="shared" si="15"/>
        <v>0</v>
      </c>
      <c r="S46" s="83">
        <f t="shared" si="16"/>
        <v>-201462</v>
      </c>
      <c r="T46" s="304">
        <f t="shared" si="17"/>
        <v>-1</v>
      </c>
      <c r="U46" s="126"/>
      <c r="V46" s="208">
        <f t="shared" si="21"/>
        <v>0</v>
      </c>
    </row>
    <row r="47" spans="1:22" x14ac:dyDescent="0.2">
      <c r="A47" s="20"/>
      <c r="B47" s="20" t="s">
        <v>46</v>
      </c>
      <c r="C47" s="102"/>
      <c r="D47" s="70"/>
      <c r="E47" s="70"/>
      <c r="F47" s="70"/>
      <c r="G47" s="70"/>
      <c r="H47" s="70"/>
      <c r="I47" s="70"/>
      <c r="J47" s="70"/>
      <c r="K47" s="16"/>
      <c r="L47" s="142"/>
      <c r="M47" s="142"/>
      <c r="N47" s="142"/>
      <c r="O47" s="16"/>
      <c r="P47" s="83">
        <f t="shared" si="13"/>
        <v>0</v>
      </c>
      <c r="Q47" s="83">
        <f t="shared" si="14"/>
        <v>0</v>
      </c>
      <c r="R47" s="83">
        <f t="shared" si="15"/>
        <v>0</v>
      </c>
      <c r="S47" s="83">
        <f t="shared" si="16"/>
        <v>0</v>
      </c>
      <c r="T47" s="304">
        <f t="shared" si="17"/>
        <v>0</v>
      </c>
      <c r="U47" s="126"/>
      <c r="V47" s="208">
        <f t="shared" si="21"/>
        <v>0</v>
      </c>
    </row>
    <row r="48" spans="1:22" x14ac:dyDescent="0.2">
      <c r="A48" s="40" t="s">
        <v>47</v>
      </c>
      <c r="B48" s="40" t="s">
        <v>48</v>
      </c>
      <c r="C48" s="404">
        <f>SUM(C49:C65)</f>
        <v>4522657</v>
      </c>
      <c r="D48" s="404">
        <f t="shared" ref="D48:J48" si="48">SUM(D49:D65)</f>
        <v>5022657</v>
      </c>
      <c r="E48" s="404">
        <f t="shared" si="48"/>
        <v>0</v>
      </c>
      <c r="F48" s="404">
        <f t="shared" si="48"/>
        <v>0</v>
      </c>
      <c r="G48" s="404"/>
      <c r="H48" s="404">
        <f t="shared" si="48"/>
        <v>2309552</v>
      </c>
      <c r="I48" s="404">
        <f t="shared" si="48"/>
        <v>0</v>
      </c>
      <c r="J48" s="404">
        <f t="shared" si="48"/>
        <v>0</v>
      </c>
      <c r="K48" s="16"/>
      <c r="L48" s="142"/>
      <c r="M48" s="142"/>
      <c r="N48" s="142"/>
      <c r="O48" s="16"/>
      <c r="P48" s="83">
        <f t="shared" si="13"/>
        <v>500000</v>
      </c>
      <c r="Q48" s="83">
        <f t="shared" si="14"/>
        <v>-5022657</v>
      </c>
      <c r="R48" s="83">
        <f t="shared" si="15"/>
        <v>0</v>
      </c>
      <c r="S48" s="83">
        <f t="shared" si="16"/>
        <v>-4522657</v>
      </c>
      <c r="T48" s="304">
        <f t="shared" si="17"/>
        <v>-1</v>
      </c>
      <c r="U48" s="126"/>
      <c r="V48" s="208">
        <f t="shared" si="21"/>
        <v>0</v>
      </c>
    </row>
    <row r="49" spans="1:22" x14ac:dyDescent="0.2">
      <c r="A49" s="20" t="s">
        <v>49</v>
      </c>
      <c r="B49" s="20" t="s">
        <v>50</v>
      </c>
      <c r="C49" s="102">
        <v>1680264</v>
      </c>
      <c r="D49" s="70">
        <v>1680264</v>
      </c>
      <c r="E49" s="70">
        <v>0</v>
      </c>
      <c r="F49" s="70"/>
      <c r="G49" s="70"/>
      <c r="H49" s="70">
        <v>780570</v>
      </c>
      <c r="I49" s="70">
        <v>0</v>
      </c>
      <c r="J49" s="70"/>
      <c r="K49" s="16"/>
      <c r="L49" s="143">
        <f t="shared" ref="L49" si="49">+H49/C49</f>
        <v>0.46455199897159016</v>
      </c>
      <c r="M49" s="143">
        <f>+I49/D49</f>
        <v>0</v>
      </c>
      <c r="N49" s="143" t="e">
        <f t="shared" ref="N49" si="50">+J49/E49</f>
        <v>#DIV/0!</v>
      </c>
      <c r="O49" s="16"/>
      <c r="P49" s="83">
        <f t="shared" si="13"/>
        <v>0</v>
      </c>
      <c r="Q49" s="83">
        <f t="shared" si="14"/>
        <v>-1680264</v>
      </c>
      <c r="R49" s="83">
        <f t="shared" si="15"/>
        <v>0</v>
      </c>
      <c r="S49" s="83">
        <f t="shared" si="16"/>
        <v>-1680264</v>
      </c>
      <c r="T49" s="304">
        <f t="shared" si="17"/>
        <v>-1</v>
      </c>
      <c r="U49" s="126"/>
      <c r="V49" s="208">
        <f t="shared" si="21"/>
        <v>0</v>
      </c>
    </row>
    <row r="50" spans="1:22" x14ac:dyDescent="0.2">
      <c r="A50" s="20" t="s">
        <v>103</v>
      </c>
      <c r="B50" s="20" t="s">
        <v>97</v>
      </c>
      <c r="C50" s="102"/>
      <c r="D50" s="70"/>
      <c r="E50" s="70"/>
      <c r="F50" s="70"/>
      <c r="G50" s="70"/>
      <c r="H50" s="70"/>
      <c r="I50" s="70"/>
      <c r="J50" s="70"/>
      <c r="K50" s="16"/>
      <c r="L50" s="142"/>
      <c r="M50" s="142"/>
      <c r="N50" s="142"/>
      <c r="O50" s="16"/>
      <c r="P50" s="83">
        <f t="shared" si="13"/>
        <v>0</v>
      </c>
      <c r="Q50" s="83">
        <f t="shared" si="14"/>
        <v>0</v>
      </c>
      <c r="R50" s="83">
        <f t="shared" si="15"/>
        <v>0</v>
      </c>
      <c r="S50" s="83">
        <f t="shared" si="16"/>
        <v>0</v>
      </c>
      <c r="T50" s="304">
        <f t="shared" si="17"/>
        <v>0</v>
      </c>
      <c r="U50" s="126"/>
      <c r="V50" s="208">
        <f t="shared" si="21"/>
        <v>0</v>
      </c>
    </row>
    <row r="51" spans="1:22" x14ac:dyDescent="0.2">
      <c r="A51" s="20"/>
      <c r="B51" s="20" t="s">
        <v>98</v>
      </c>
      <c r="C51" s="102"/>
      <c r="D51" s="70"/>
      <c r="E51" s="70"/>
      <c r="F51" s="70"/>
      <c r="G51" s="70"/>
      <c r="H51" s="70"/>
      <c r="I51" s="70"/>
      <c r="J51" s="70"/>
      <c r="K51" s="16"/>
      <c r="L51" s="142"/>
      <c r="M51" s="142"/>
      <c r="N51" s="142"/>
      <c r="O51" s="16"/>
      <c r="P51" s="83">
        <f t="shared" si="13"/>
        <v>0</v>
      </c>
      <c r="Q51" s="83">
        <f t="shared" si="14"/>
        <v>0</v>
      </c>
      <c r="R51" s="83">
        <f t="shared" si="15"/>
        <v>0</v>
      </c>
      <c r="S51" s="83">
        <f t="shared" si="16"/>
        <v>0</v>
      </c>
      <c r="T51" s="304">
        <f t="shared" si="17"/>
        <v>0</v>
      </c>
      <c r="U51" s="126"/>
      <c r="V51" s="208">
        <f t="shared" si="21"/>
        <v>0</v>
      </c>
    </row>
    <row r="52" spans="1:22" x14ac:dyDescent="0.2">
      <c r="A52" s="20"/>
      <c r="B52" s="20" t="s">
        <v>99</v>
      </c>
      <c r="C52" s="102"/>
      <c r="D52" s="70"/>
      <c r="E52" s="70"/>
      <c r="F52" s="70"/>
      <c r="G52" s="70"/>
      <c r="H52" s="70"/>
      <c r="I52" s="70"/>
      <c r="J52" s="70"/>
      <c r="K52" s="16"/>
      <c r="L52" s="142"/>
      <c r="M52" s="142"/>
      <c r="N52" s="142"/>
      <c r="O52" s="16"/>
      <c r="P52" s="83">
        <f t="shared" si="13"/>
        <v>0</v>
      </c>
      <c r="Q52" s="83">
        <f t="shared" si="14"/>
        <v>0</v>
      </c>
      <c r="R52" s="83">
        <f t="shared" si="15"/>
        <v>0</v>
      </c>
      <c r="S52" s="83">
        <f t="shared" si="16"/>
        <v>0</v>
      </c>
      <c r="T52" s="304">
        <f t="shared" si="17"/>
        <v>0</v>
      </c>
      <c r="U52" s="126"/>
      <c r="V52" s="208">
        <f t="shared" si="21"/>
        <v>0</v>
      </c>
    </row>
    <row r="53" spans="1:22" x14ac:dyDescent="0.2">
      <c r="A53" s="20" t="s">
        <v>51</v>
      </c>
      <c r="B53" s="20" t="s">
        <v>52</v>
      </c>
      <c r="C53" s="102">
        <v>0</v>
      </c>
      <c r="D53" s="70">
        <v>0</v>
      </c>
      <c r="E53" s="70">
        <v>0</v>
      </c>
      <c r="F53" s="70"/>
      <c r="G53" s="70"/>
      <c r="H53" s="70">
        <v>0</v>
      </c>
      <c r="I53" s="70">
        <f>+H53</f>
        <v>0</v>
      </c>
      <c r="J53" s="70"/>
      <c r="K53" s="16"/>
      <c r="L53" s="143" t="e">
        <f t="shared" ref="L53" si="51">+H53/C53</f>
        <v>#DIV/0!</v>
      </c>
      <c r="M53" s="143" t="e">
        <f>+I53/D53</f>
        <v>#DIV/0!</v>
      </c>
      <c r="N53" s="143" t="e">
        <f t="shared" ref="N53" si="52">+J53/E53</f>
        <v>#DIV/0!</v>
      </c>
      <c r="O53" s="16"/>
      <c r="P53" s="83">
        <f t="shared" si="13"/>
        <v>0</v>
      </c>
      <c r="Q53" s="83">
        <f t="shared" si="14"/>
        <v>0</v>
      </c>
      <c r="R53" s="83">
        <f t="shared" si="15"/>
        <v>0</v>
      </c>
      <c r="S53" s="83">
        <f t="shared" si="16"/>
        <v>0</v>
      </c>
      <c r="T53" s="304">
        <f t="shared" si="17"/>
        <v>0</v>
      </c>
      <c r="U53" s="126"/>
      <c r="V53" s="208">
        <f t="shared" si="21"/>
        <v>0</v>
      </c>
    </row>
    <row r="54" spans="1:22" x14ac:dyDescent="0.2">
      <c r="A54" s="20"/>
      <c r="B54" s="20" t="s">
        <v>90</v>
      </c>
      <c r="C54" s="102"/>
      <c r="D54" s="70"/>
      <c r="E54" s="70"/>
      <c r="F54" s="70"/>
      <c r="G54" s="70"/>
      <c r="H54" s="70"/>
      <c r="I54" s="70"/>
      <c r="J54" s="70"/>
      <c r="K54" s="16"/>
      <c r="L54" s="142"/>
      <c r="M54" s="142"/>
      <c r="N54" s="142"/>
      <c r="O54" s="16"/>
      <c r="P54" s="83">
        <f t="shared" si="13"/>
        <v>0</v>
      </c>
      <c r="Q54" s="83">
        <f t="shared" si="14"/>
        <v>0</v>
      </c>
      <c r="R54" s="83">
        <f t="shared" si="15"/>
        <v>0</v>
      </c>
      <c r="S54" s="83">
        <f t="shared" si="16"/>
        <v>0</v>
      </c>
      <c r="T54" s="304">
        <f t="shared" si="17"/>
        <v>0</v>
      </c>
      <c r="U54" s="126"/>
      <c r="V54" s="208">
        <f t="shared" si="21"/>
        <v>0</v>
      </c>
    </row>
    <row r="55" spans="1:22" x14ac:dyDescent="0.2">
      <c r="A55" s="20"/>
      <c r="B55" s="20" t="s">
        <v>53</v>
      </c>
      <c r="C55" s="102"/>
      <c r="D55" s="70"/>
      <c r="E55" s="70"/>
      <c r="F55" s="70"/>
      <c r="G55" s="70"/>
      <c r="H55" s="70"/>
      <c r="I55" s="70"/>
      <c r="J55" s="70"/>
      <c r="K55" s="16"/>
      <c r="L55" s="142"/>
      <c r="M55" s="142"/>
      <c r="N55" s="142"/>
      <c r="O55" s="16"/>
      <c r="P55" s="83">
        <f t="shared" si="13"/>
        <v>0</v>
      </c>
      <c r="Q55" s="83">
        <f t="shared" si="14"/>
        <v>0</v>
      </c>
      <c r="R55" s="83">
        <f t="shared" si="15"/>
        <v>0</v>
      </c>
      <c r="S55" s="83">
        <f t="shared" si="16"/>
        <v>0</v>
      </c>
      <c r="T55" s="304">
        <f t="shared" si="17"/>
        <v>0</v>
      </c>
      <c r="U55" s="126"/>
      <c r="V55" s="208">
        <f t="shared" si="21"/>
        <v>0</v>
      </c>
    </row>
    <row r="56" spans="1:22" x14ac:dyDescent="0.2">
      <c r="A56" s="20" t="s">
        <v>54</v>
      </c>
      <c r="B56" s="20" t="s">
        <v>55</v>
      </c>
      <c r="C56" s="102">
        <v>114173</v>
      </c>
      <c r="D56" s="70">
        <v>114173</v>
      </c>
      <c r="E56" s="70"/>
      <c r="F56" s="70"/>
      <c r="G56" s="70"/>
      <c r="H56" s="70"/>
      <c r="I56" s="70"/>
      <c r="J56" s="70"/>
      <c r="K56" s="16"/>
      <c r="L56" s="142"/>
      <c r="M56" s="142"/>
      <c r="N56" s="142"/>
      <c r="O56" s="16"/>
      <c r="P56" s="83">
        <f t="shared" si="13"/>
        <v>0</v>
      </c>
      <c r="Q56" s="83">
        <f t="shared" si="14"/>
        <v>-114173</v>
      </c>
      <c r="R56" s="83">
        <f t="shared" si="15"/>
        <v>0</v>
      </c>
      <c r="S56" s="83">
        <f t="shared" si="16"/>
        <v>-114173</v>
      </c>
      <c r="T56" s="304">
        <f t="shared" si="17"/>
        <v>-1</v>
      </c>
      <c r="U56" s="126"/>
      <c r="V56" s="208">
        <f t="shared" si="21"/>
        <v>0</v>
      </c>
    </row>
    <row r="57" spans="1:22" x14ac:dyDescent="0.2">
      <c r="A57" s="20"/>
      <c r="B57" s="20" t="s">
        <v>56</v>
      </c>
      <c r="C57" s="102"/>
      <c r="D57" s="70"/>
      <c r="E57" s="70"/>
      <c r="F57" s="70"/>
      <c r="G57" s="70"/>
      <c r="H57" s="70"/>
      <c r="I57" s="70"/>
      <c r="J57" s="70"/>
      <c r="K57" s="16"/>
      <c r="L57" s="142"/>
      <c r="M57" s="142"/>
      <c r="N57" s="142"/>
      <c r="O57" s="16"/>
      <c r="P57" s="83">
        <f t="shared" si="13"/>
        <v>0</v>
      </c>
      <c r="Q57" s="83">
        <f t="shared" si="14"/>
        <v>0</v>
      </c>
      <c r="R57" s="83">
        <f t="shared" si="15"/>
        <v>0</v>
      </c>
      <c r="S57" s="83">
        <f t="shared" si="16"/>
        <v>0</v>
      </c>
      <c r="T57" s="304">
        <f t="shared" si="17"/>
        <v>0</v>
      </c>
      <c r="U57" s="126"/>
      <c r="V57" s="208">
        <f t="shared" si="21"/>
        <v>0</v>
      </c>
    </row>
    <row r="58" spans="1:22" x14ac:dyDescent="0.2">
      <c r="A58" s="20" t="s">
        <v>57</v>
      </c>
      <c r="B58" s="20" t="s">
        <v>91</v>
      </c>
      <c r="C58" s="102">
        <v>11900</v>
      </c>
      <c r="D58" s="70">
        <v>11900</v>
      </c>
      <c r="E58" s="70">
        <v>0</v>
      </c>
      <c r="F58" s="70"/>
      <c r="G58" s="70"/>
      <c r="H58" s="70">
        <v>0</v>
      </c>
      <c r="I58" s="70">
        <v>0</v>
      </c>
      <c r="J58" s="70"/>
      <c r="K58" s="16"/>
      <c r="L58" s="143">
        <f t="shared" ref="L58" si="53">+H58/C58</f>
        <v>0</v>
      </c>
      <c r="M58" s="143">
        <f>+I58/D58</f>
        <v>0</v>
      </c>
      <c r="N58" s="143" t="e">
        <f t="shared" ref="N58" si="54">+J58/E58</f>
        <v>#DIV/0!</v>
      </c>
      <c r="O58" s="16"/>
      <c r="P58" s="83">
        <f t="shared" si="13"/>
        <v>0</v>
      </c>
      <c r="Q58" s="83">
        <f t="shared" si="14"/>
        <v>-11900</v>
      </c>
      <c r="R58" s="83">
        <f t="shared" si="15"/>
        <v>0</v>
      </c>
      <c r="S58" s="83">
        <f t="shared" si="16"/>
        <v>-11900</v>
      </c>
      <c r="T58" s="304">
        <f t="shared" si="17"/>
        <v>-1</v>
      </c>
      <c r="U58" s="126"/>
      <c r="V58" s="208">
        <f t="shared" si="21"/>
        <v>0</v>
      </c>
    </row>
    <row r="59" spans="1:22" x14ac:dyDescent="0.2">
      <c r="A59" s="20"/>
      <c r="B59" s="20" t="s">
        <v>58</v>
      </c>
      <c r="C59" s="102"/>
      <c r="D59" s="70"/>
      <c r="E59" s="70"/>
      <c r="F59" s="70"/>
      <c r="G59" s="70"/>
      <c r="H59" s="70"/>
      <c r="I59" s="70"/>
      <c r="J59" s="70"/>
      <c r="K59" s="16"/>
      <c r="L59" s="142"/>
      <c r="M59" s="142"/>
      <c r="N59" s="142"/>
      <c r="O59" s="16"/>
      <c r="P59" s="83">
        <f t="shared" si="13"/>
        <v>0</v>
      </c>
      <c r="Q59" s="83">
        <f t="shared" si="14"/>
        <v>0</v>
      </c>
      <c r="R59" s="83">
        <f t="shared" si="15"/>
        <v>0</v>
      </c>
      <c r="S59" s="83">
        <f t="shared" si="16"/>
        <v>0</v>
      </c>
      <c r="T59" s="304">
        <f t="shared" si="17"/>
        <v>0</v>
      </c>
      <c r="U59" s="126"/>
      <c r="V59" s="208">
        <f t="shared" si="21"/>
        <v>0</v>
      </c>
    </row>
    <row r="60" spans="1:22" x14ac:dyDescent="0.2">
      <c r="A60" s="20" t="s">
        <v>59</v>
      </c>
      <c r="B60" s="20" t="s">
        <v>60</v>
      </c>
      <c r="C60" s="102">
        <v>0</v>
      </c>
      <c r="D60" s="70">
        <v>0</v>
      </c>
      <c r="E60" s="70"/>
      <c r="F60" s="70"/>
      <c r="G60" s="70"/>
      <c r="H60" s="70"/>
      <c r="I60" s="70"/>
      <c r="J60" s="70"/>
      <c r="K60" s="16"/>
      <c r="L60" s="142"/>
      <c r="M60" s="142"/>
      <c r="N60" s="142"/>
      <c r="O60" s="16"/>
      <c r="P60" s="83">
        <f t="shared" si="13"/>
        <v>0</v>
      </c>
      <c r="Q60" s="83">
        <f t="shared" si="14"/>
        <v>0</v>
      </c>
      <c r="R60" s="83">
        <f t="shared" si="15"/>
        <v>0</v>
      </c>
      <c r="S60" s="83">
        <f t="shared" si="16"/>
        <v>0</v>
      </c>
      <c r="T60" s="304">
        <f t="shared" si="17"/>
        <v>0</v>
      </c>
      <c r="U60" s="126"/>
      <c r="V60" s="208">
        <f t="shared" si="21"/>
        <v>0</v>
      </c>
    </row>
    <row r="61" spans="1:22" ht="25.5" x14ac:dyDescent="0.2">
      <c r="A61" s="20"/>
      <c r="B61" s="20" t="s">
        <v>61</v>
      </c>
      <c r="C61" s="102"/>
      <c r="D61" s="70"/>
      <c r="E61" s="70"/>
      <c r="F61" s="70"/>
      <c r="G61" s="70"/>
      <c r="H61" s="70"/>
      <c r="I61" s="70"/>
      <c r="J61" s="70"/>
      <c r="K61" s="16"/>
      <c r="L61" s="142"/>
      <c r="M61" s="142"/>
      <c r="N61" s="142"/>
      <c r="O61" s="16"/>
      <c r="P61" s="83">
        <f t="shared" si="13"/>
        <v>0</v>
      </c>
      <c r="Q61" s="83">
        <f t="shared" si="14"/>
        <v>0</v>
      </c>
      <c r="R61" s="83">
        <f t="shared" si="15"/>
        <v>0</v>
      </c>
      <c r="S61" s="83">
        <f t="shared" si="16"/>
        <v>0</v>
      </c>
      <c r="T61" s="304">
        <f t="shared" si="17"/>
        <v>0</v>
      </c>
      <c r="U61" s="126"/>
      <c r="V61" s="208">
        <f t="shared" si="21"/>
        <v>0</v>
      </c>
    </row>
    <row r="62" spans="1:22" x14ac:dyDescent="0.2">
      <c r="A62" s="20" t="s">
        <v>62</v>
      </c>
      <c r="B62" s="20" t="s">
        <v>63</v>
      </c>
      <c r="C62" s="102">
        <v>500684</v>
      </c>
      <c r="D62" s="70">
        <v>1000684</v>
      </c>
      <c r="E62" s="70">
        <v>0</v>
      </c>
      <c r="F62" s="70"/>
      <c r="G62" s="70"/>
      <c r="H62" s="70">
        <v>243848</v>
      </c>
      <c r="I62" s="70">
        <v>0</v>
      </c>
      <c r="J62" s="70"/>
      <c r="K62" s="16"/>
      <c r="L62" s="143">
        <f t="shared" ref="L62" si="55">+H62/C62</f>
        <v>0.48702974331115034</v>
      </c>
      <c r="M62" s="143">
        <f>+I62/D62</f>
        <v>0</v>
      </c>
      <c r="N62" s="143" t="e">
        <f t="shared" ref="N62" si="56">+J62/E62</f>
        <v>#DIV/0!</v>
      </c>
      <c r="O62" s="16"/>
      <c r="P62" s="83">
        <f t="shared" si="13"/>
        <v>500000</v>
      </c>
      <c r="Q62" s="83">
        <f t="shared" si="14"/>
        <v>-1000684</v>
      </c>
      <c r="R62" s="83">
        <f t="shared" si="15"/>
        <v>0</v>
      </c>
      <c r="S62" s="83">
        <f t="shared" si="16"/>
        <v>-500684</v>
      </c>
      <c r="T62" s="304">
        <f t="shared" si="17"/>
        <v>-1</v>
      </c>
      <c r="U62" s="126"/>
      <c r="V62" s="208">
        <f t="shared" si="21"/>
        <v>0</v>
      </c>
    </row>
    <row r="63" spans="1:22" ht="27" customHeight="1" x14ac:dyDescent="0.2">
      <c r="A63" s="20"/>
      <c r="B63" s="20" t="s">
        <v>102</v>
      </c>
      <c r="C63" s="102"/>
      <c r="D63" s="70"/>
      <c r="E63" s="70"/>
      <c r="F63" s="70"/>
      <c r="G63" s="70"/>
      <c r="H63" s="70"/>
      <c r="I63" s="70"/>
      <c r="J63" s="70"/>
      <c r="K63" s="16"/>
      <c r="L63" s="142"/>
      <c r="M63" s="142"/>
      <c r="N63" s="142"/>
      <c r="O63" s="16"/>
      <c r="P63" s="83">
        <f t="shared" si="13"/>
        <v>0</v>
      </c>
      <c r="Q63" s="83">
        <f t="shared" si="14"/>
        <v>0</v>
      </c>
      <c r="R63" s="83">
        <f t="shared" si="15"/>
        <v>0</v>
      </c>
      <c r="S63" s="83">
        <f t="shared" si="16"/>
        <v>0</v>
      </c>
      <c r="T63" s="304">
        <f t="shared" si="17"/>
        <v>0</v>
      </c>
      <c r="U63" s="126"/>
      <c r="V63" s="208">
        <f t="shared" si="21"/>
        <v>0</v>
      </c>
    </row>
    <row r="64" spans="1:22" x14ac:dyDescent="0.2">
      <c r="A64" s="20" t="s">
        <v>64</v>
      </c>
      <c r="B64" s="20" t="s">
        <v>65</v>
      </c>
      <c r="C64" s="102">
        <v>2215636</v>
      </c>
      <c r="D64" s="70">
        <v>2215636</v>
      </c>
      <c r="E64" s="70">
        <v>0</v>
      </c>
      <c r="F64" s="70"/>
      <c r="G64" s="70"/>
      <c r="H64" s="70">
        <v>1285134</v>
      </c>
      <c r="I64" s="70">
        <v>0</v>
      </c>
      <c r="J64" s="70"/>
      <c r="K64" s="16"/>
      <c r="L64" s="143">
        <f t="shared" ref="L64" si="57">+H64/C64</f>
        <v>0.58002939110936991</v>
      </c>
      <c r="M64" s="143">
        <f>+I64/D64</f>
        <v>0</v>
      </c>
      <c r="N64" s="143" t="e">
        <f t="shared" ref="N64" si="58">+J64/E64</f>
        <v>#DIV/0!</v>
      </c>
      <c r="O64" s="16"/>
      <c r="P64" s="83">
        <f t="shared" si="13"/>
        <v>0</v>
      </c>
      <c r="Q64" s="83">
        <f t="shared" si="14"/>
        <v>-2215636</v>
      </c>
      <c r="R64" s="83">
        <f t="shared" si="15"/>
        <v>0</v>
      </c>
      <c r="S64" s="83">
        <f t="shared" si="16"/>
        <v>-2215636</v>
      </c>
      <c r="T64" s="304">
        <f t="shared" si="17"/>
        <v>-1</v>
      </c>
      <c r="U64" s="126"/>
      <c r="V64" s="208">
        <f t="shared" si="21"/>
        <v>0</v>
      </c>
    </row>
    <row r="65" spans="1:22" ht="38.25" x14ac:dyDescent="0.2">
      <c r="A65" s="20"/>
      <c r="B65" s="20" t="s">
        <v>66</v>
      </c>
      <c r="C65" s="102"/>
      <c r="D65" s="70"/>
      <c r="E65" s="70"/>
      <c r="F65" s="70"/>
      <c r="G65" s="70"/>
      <c r="H65" s="70"/>
      <c r="I65" s="70"/>
      <c r="J65" s="70"/>
      <c r="K65" s="16"/>
      <c r="L65" s="142"/>
      <c r="M65" s="142"/>
      <c r="N65" s="142"/>
      <c r="O65" s="16"/>
      <c r="P65" s="83">
        <f t="shared" si="13"/>
        <v>0</v>
      </c>
      <c r="Q65" s="83">
        <f t="shared" si="14"/>
        <v>0</v>
      </c>
      <c r="R65" s="83">
        <f t="shared" si="15"/>
        <v>0</v>
      </c>
      <c r="S65" s="83">
        <f t="shared" si="16"/>
        <v>0</v>
      </c>
      <c r="T65" s="304">
        <f t="shared" si="17"/>
        <v>0</v>
      </c>
      <c r="U65" s="126"/>
      <c r="V65" s="208">
        <f t="shared" si="21"/>
        <v>0</v>
      </c>
    </row>
    <row r="66" spans="1:22" x14ac:dyDescent="0.2">
      <c r="A66" s="40" t="s">
        <v>67</v>
      </c>
      <c r="B66" s="40" t="s">
        <v>68</v>
      </c>
      <c r="C66" s="404">
        <f>SUM(C67:C70)</f>
        <v>966260</v>
      </c>
      <c r="D66" s="404">
        <f t="shared" ref="D66:J66" si="59">SUM(D67:D70)</f>
        <v>456260</v>
      </c>
      <c r="E66" s="404">
        <f t="shared" si="59"/>
        <v>0</v>
      </c>
      <c r="F66" s="404">
        <f t="shared" si="59"/>
        <v>0</v>
      </c>
      <c r="G66" s="404"/>
      <c r="H66" s="404">
        <f t="shared" si="59"/>
        <v>34011</v>
      </c>
      <c r="I66" s="404">
        <f t="shared" si="59"/>
        <v>0</v>
      </c>
      <c r="J66" s="404">
        <f t="shared" si="59"/>
        <v>0</v>
      </c>
      <c r="K66" s="16"/>
      <c r="L66" s="142"/>
      <c r="M66" s="142"/>
      <c r="N66" s="142"/>
      <c r="O66" s="16"/>
      <c r="P66" s="83">
        <f t="shared" si="13"/>
        <v>-510000</v>
      </c>
      <c r="Q66" s="83">
        <f t="shared" si="14"/>
        <v>-456260</v>
      </c>
      <c r="R66" s="83">
        <f t="shared" si="15"/>
        <v>0</v>
      </c>
      <c r="S66" s="83">
        <f t="shared" si="16"/>
        <v>-966260</v>
      </c>
      <c r="T66" s="304">
        <f t="shared" si="17"/>
        <v>-1</v>
      </c>
      <c r="U66" s="126"/>
      <c r="V66" s="208">
        <f t="shared" si="21"/>
        <v>0</v>
      </c>
    </row>
    <row r="67" spans="1:22" x14ac:dyDescent="0.2">
      <c r="A67" s="20" t="s">
        <v>69</v>
      </c>
      <c r="B67" s="20" t="s">
        <v>70</v>
      </c>
      <c r="C67" s="102">
        <v>966260</v>
      </c>
      <c r="D67" s="70">
        <v>456260</v>
      </c>
      <c r="E67" s="70">
        <v>0</v>
      </c>
      <c r="F67" s="70"/>
      <c r="G67" s="70"/>
      <c r="H67" s="70">
        <v>34011</v>
      </c>
      <c r="I67" s="70">
        <v>0</v>
      </c>
      <c r="J67" s="70"/>
      <c r="K67" s="16"/>
      <c r="L67" s="143">
        <f t="shared" ref="L67" si="60">+H67/C67</f>
        <v>3.5198600790677458E-2</v>
      </c>
      <c r="M67" s="143">
        <f>+I67/D67</f>
        <v>0</v>
      </c>
      <c r="N67" s="143" t="e">
        <f t="shared" ref="N67" si="61">+J67/E67</f>
        <v>#DIV/0!</v>
      </c>
      <c r="O67" s="16"/>
      <c r="P67" s="83">
        <f t="shared" si="13"/>
        <v>-510000</v>
      </c>
      <c r="Q67" s="83">
        <f t="shared" si="14"/>
        <v>-456260</v>
      </c>
      <c r="R67" s="83">
        <f t="shared" si="15"/>
        <v>0</v>
      </c>
      <c r="S67" s="83">
        <f t="shared" si="16"/>
        <v>-966260</v>
      </c>
      <c r="T67" s="304">
        <f t="shared" si="17"/>
        <v>-1</v>
      </c>
      <c r="U67" s="126"/>
      <c r="V67" s="208">
        <f t="shared" si="21"/>
        <v>0</v>
      </c>
    </row>
    <row r="68" spans="1:22" ht="38.25" x14ac:dyDescent="0.2">
      <c r="A68" s="20"/>
      <c r="B68" s="20" t="s">
        <v>71</v>
      </c>
      <c r="C68" s="102"/>
      <c r="D68" s="70"/>
      <c r="E68" s="70"/>
      <c r="F68" s="70"/>
      <c r="G68" s="70"/>
      <c r="H68" s="70"/>
      <c r="I68" s="70"/>
      <c r="J68" s="70"/>
      <c r="K68" s="16"/>
      <c r="L68" s="142"/>
      <c r="M68" s="142"/>
      <c r="N68" s="142"/>
      <c r="O68" s="16"/>
      <c r="P68" s="83">
        <f t="shared" si="13"/>
        <v>0</v>
      </c>
      <c r="Q68" s="83">
        <f t="shared" si="14"/>
        <v>0</v>
      </c>
      <c r="R68" s="83">
        <f t="shared" si="15"/>
        <v>0</v>
      </c>
      <c r="S68" s="83">
        <f t="shared" si="16"/>
        <v>0</v>
      </c>
      <c r="T68" s="304">
        <f t="shared" si="17"/>
        <v>0</v>
      </c>
      <c r="U68" s="126"/>
      <c r="V68" s="208">
        <f t="shared" si="21"/>
        <v>0</v>
      </c>
    </row>
    <row r="69" spans="1:22" x14ac:dyDescent="0.2">
      <c r="A69" s="20" t="s">
        <v>72</v>
      </c>
      <c r="B69" s="20" t="s">
        <v>100</v>
      </c>
      <c r="C69" s="102">
        <v>0</v>
      </c>
      <c r="D69" s="70">
        <v>0</v>
      </c>
      <c r="E69" s="70">
        <v>0</v>
      </c>
      <c r="F69" s="70"/>
      <c r="G69" s="70"/>
      <c r="H69" s="70">
        <v>0</v>
      </c>
      <c r="I69" s="70">
        <v>0</v>
      </c>
      <c r="J69" s="70"/>
      <c r="K69" s="16"/>
      <c r="L69" s="143" t="e">
        <f t="shared" ref="L69" si="62">+H69/C69</f>
        <v>#DIV/0!</v>
      </c>
      <c r="M69" s="143" t="e">
        <f>+I69/D69</f>
        <v>#DIV/0!</v>
      </c>
      <c r="N69" s="143" t="e">
        <f t="shared" ref="N69" si="63">+J69/E69</f>
        <v>#DIV/0!</v>
      </c>
      <c r="O69" s="16"/>
      <c r="P69" s="83">
        <f t="shared" si="13"/>
        <v>0</v>
      </c>
      <c r="Q69" s="83">
        <f t="shared" si="14"/>
        <v>0</v>
      </c>
      <c r="R69" s="83">
        <f t="shared" si="15"/>
        <v>0</v>
      </c>
      <c r="S69" s="83">
        <f t="shared" si="16"/>
        <v>0</v>
      </c>
      <c r="T69" s="304">
        <f t="shared" si="17"/>
        <v>0</v>
      </c>
      <c r="U69" s="126"/>
      <c r="V69" s="208">
        <f t="shared" si="21"/>
        <v>0</v>
      </c>
    </row>
    <row r="70" spans="1:22" ht="26.45" customHeight="1" x14ac:dyDescent="0.2">
      <c r="A70" s="20"/>
      <c r="B70" s="20" t="s">
        <v>73</v>
      </c>
      <c r="C70" s="102"/>
      <c r="D70" s="70"/>
      <c r="E70" s="70"/>
      <c r="F70" s="70"/>
      <c r="G70" s="70"/>
      <c r="H70" s="70"/>
      <c r="I70" s="70"/>
      <c r="J70" s="70"/>
      <c r="K70" s="16"/>
      <c r="L70" s="142"/>
      <c r="M70" s="142"/>
      <c r="N70" s="142"/>
      <c r="O70" s="16"/>
      <c r="P70" s="83">
        <f t="shared" si="13"/>
        <v>0</v>
      </c>
      <c r="Q70" s="83">
        <f t="shared" si="14"/>
        <v>0</v>
      </c>
      <c r="R70" s="83">
        <f t="shared" si="15"/>
        <v>0</v>
      </c>
      <c r="S70" s="83">
        <f t="shared" si="16"/>
        <v>0</v>
      </c>
      <c r="T70" s="304">
        <f t="shared" si="17"/>
        <v>0</v>
      </c>
      <c r="U70" s="126"/>
      <c r="V70" s="208">
        <f t="shared" si="21"/>
        <v>0</v>
      </c>
    </row>
    <row r="71" spans="1:22" x14ac:dyDescent="0.2">
      <c r="A71" s="20" t="s">
        <v>74</v>
      </c>
      <c r="B71" s="20" t="s">
        <v>75</v>
      </c>
      <c r="C71" s="404">
        <f>SUM(C72:C81)</f>
        <v>1875828</v>
      </c>
      <c r="D71" s="404">
        <f t="shared" ref="D71:J71" si="64">SUM(D72:D81)</f>
        <v>1885828</v>
      </c>
      <c r="E71" s="404">
        <f t="shared" si="64"/>
        <v>0</v>
      </c>
      <c r="F71" s="404">
        <f t="shared" si="64"/>
        <v>0</v>
      </c>
      <c r="G71" s="404"/>
      <c r="H71" s="404">
        <f t="shared" si="64"/>
        <v>1034784</v>
      </c>
      <c r="I71" s="404">
        <f t="shared" si="64"/>
        <v>0</v>
      </c>
      <c r="J71" s="404">
        <f t="shared" si="64"/>
        <v>0</v>
      </c>
      <c r="K71" s="16"/>
      <c r="L71" s="142"/>
      <c r="M71" s="142"/>
      <c r="N71" s="142"/>
      <c r="O71" s="16"/>
      <c r="P71" s="83">
        <f t="shared" si="13"/>
        <v>10000</v>
      </c>
      <c r="Q71" s="83">
        <f t="shared" si="14"/>
        <v>-1885828</v>
      </c>
      <c r="R71" s="83">
        <f t="shared" si="15"/>
        <v>0</v>
      </c>
      <c r="S71" s="83">
        <f t="shared" si="16"/>
        <v>-1875828</v>
      </c>
      <c r="T71" s="304">
        <f t="shared" si="17"/>
        <v>-1</v>
      </c>
      <c r="U71" s="126"/>
      <c r="V71" s="208">
        <f t="shared" si="21"/>
        <v>0</v>
      </c>
    </row>
    <row r="72" spans="1:22" x14ac:dyDescent="0.2">
      <c r="A72" s="20" t="s">
        <v>76</v>
      </c>
      <c r="B72" s="20" t="s">
        <v>77</v>
      </c>
      <c r="C72" s="102">
        <v>1399096</v>
      </c>
      <c r="D72" s="187">
        <v>1399096</v>
      </c>
      <c r="E72" s="70">
        <v>0</v>
      </c>
      <c r="F72" s="70"/>
      <c r="G72" s="70"/>
      <c r="H72" s="70">
        <v>807333</v>
      </c>
      <c r="I72" s="70">
        <v>0</v>
      </c>
      <c r="J72" s="70"/>
      <c r="K72" s="16"/>
      <c r="L72" s="143">
        <f t="shared" ref="L72" si="65">+H72/C72</f>
        <v>0.57703903091710651</v>
      </c>
      <c r="M72" s="143">
        <f>+I72/D72</f>
        <v>0</v>
      </c>
      <c r="N72" s="143" t="e">
        <f t="shared" ref="N72" si="66">+J72/E72</f>
        <v>#DIV/0!</v>
      </c>
      <c r="O72" s="16"/>
      <c r="P72" s="83">
        <f t="shared" si="13"/>
        <v>0</v>
      </c>
      <c r="Q72" s="83">
        <f t="shared" si="14"/>
        <v>-1399096</v>
      </c>
      <c r="R72" s="83">
        <f t="shared" si="15"/>
        <v>0</v>
      </c>
      <c r="S72" s="83">
        <f t="shared" si="16"/>
        <v>-1399096</v>
      </c>
      <c r="T72" s="304">
        <f t="shared" si="17"/>
        <v>-1</v>
      </c>
      <c r="U72" s="126"/>
      <c r="V72" s="208">
        <f t="shared" si="21"/>
        <v>0</v>
      </c>
    </row>
    <row r="73" spans="1:22" x14ac:dyDescent="0.2">
      <c r="A73" s="20"/>
      <c r="B73" s="20" t="s">
        <v>78</v>
      </c>
      <c r="C73" s="102"/>
      <c r="D73" s="70"/>
      <c r="E73" s="70"/>
      <c r="F73" s="70"/>
      <c r="G73" s="70"/>
      <c r="H73" s="70"/>
      <c r="I73" s="70"/>
      <c r="J73" s="70"/>
      <c r="K73" s="16"/>
      <c r="L73" s="142"/>
      <c r="M73" s="142"/>
      <c r="N73" s="142"/>
      <c r="O73" s="16"/>
      <c r="P73" s="83">
        <f t="shared" si="13"/>
        <v>0</v>
      </c>
      <c r="Q73" s="83">
        <f t="shared" si="14"/>
        <v>0</v>
      </c>
      <c r="R73" s="83">
        <f t="shared" si="15"/>
        <v>0</v>
      </c>
      <c r="S73" s="83">
        <f t="shared" si="16"/>
        <v>0</v>
      </c>
      <c r="T73" s="304">
        <f t="shared" si="17"/>
        <v>0</v>
      </c>
      <c r="U73" s="126"/>
      <c r="V73" s="208">
        <f t="shared" si="21"/>
        <v>0</v>
      </c>
    </row>
    <row r="74" spans="1:22" x14ac:dyDescent="0.2">
      <c r="A74" s="20" t="s">
        <v>79</v>
      </c>
      <c r="B74" s="20" t="s">
        <v>80</v>
      </c>
      <c r="C74" s="102">
        <v>11000</v>
      </c>
      <c r="D74" s="70">
        <v>21000</v>
      </c>
      <c r="E74" s="70">
        <v>0</v>
      </c>
      <c r="F74" s="70"/>
      <c r="G74" s="70"/>
      <c r="H74" s="70">
        <v>0</v>
      </c>
      <c r="I74" s="70">
        <v>0</v>
      </c>
      <c r="J74" s="70"/>
      <c r="K74" s="16"/>
      <c r="L74" s="142"/>
      <c r="M74" s="142"/>
      <c r="N74" s="142"/>
      <c r="O74" s="16"/>
      <c r="P74" s="83">
        <f t="shared" si="13"/>
        <v>10000</v>
      </c>
      <c r="Q74" s="83">
        <f t="shared" si="14"/>
        <v>-21000</v>
      </c>
      <c r="R74" s="83">
        <f t="shared" si="15"/>
        <v>0</v>
      </c>
      <c r="S74" s="83">
        <f t="shared" si="16"/>
        <v>-11000</v>
      </c>
      <c r="T74" s="304">
        <f t="shared" si="17"/>
        <v>-1</v>
      </c>
      <c r="U74" s="126"/>
      <c r="V74" s="208">
        <f t="shared" si="21"/>
        <v>0</v>
      </c>
    </row>
    <row r="75" spans="1:22" ht="25.5" x14ac:dyDescent="0.2">
      <c r="A75" s="20"/>
      <c r="B75" s="20" t="s">
        <v>101</v>
      </c>
      <c r="C75" s="102"/>
      <c r="D75" s="70"/>
      <c r="E75" s="70"/>
      <c r="F75" s="70"/>
      <c r="G75" s="70"/>
      <c r="H75" s="70"/>
      <c r="I75" s="70"/>
      <c r="J75" s="70"/>
      <c r="K75" s="16"/>
      <c r="L75" s="142"/>
      <c r="M75" s="142"/>
      <c r="N75" s="142"/>
      <c r="O75" s="16"/>
      <c r="P75" s="83">
        <f t="shared" si="13"/>
        <v>0</v>
      </c>
      <c r="Q75" s="83">
        <f t="shared" si="14"/>
        <v>0</v>
      </c>
      <c r="R75" s="83">
        <f t="shared" si="15"/>
        <v>0</v>
      </c>
      <c r="S75" s="83">
        <f t="shared" si="16"/>
        <v>0</v>
      </c>
      <c r="T75" s="304">
        <f t="shared" si="17"/>
        <v>0</v>
      </c>
      <c r="U75" s="126"/>
      <c r="V75" s="208">
        <f t="shared" si="21"/>
        <v>0</v>
      </c>
    </row>
    <row r="76" spans="1:22" x14ac:dyDescent="0.2">
      <c r="A76" s="20" t="s">
        <v>81</v>
      </c>
      <c r="B76" s="20" t="s">
        <v>82</v>
      </c>
      <c r="C76" s="102"/>
      <c r="D76" s="70"/>
      <c r="E76" s="70"/>
      <c r="F76" s="70"/>
      <c r="G76" s="70"/>
      <c r="H76" s="70"/>
      <c r="I76" s="70"/>
      <c r="J76" s="70"/>
      <c r="K76" s="16"/>
      <c r="L76" s="142"/>
      <c r="M76" s="142"/>
      <c r="N76" s="142"/>
      <c r="O76" s="16"/>
      <c r="P76" s="83">
        <f t="shared" si="13"/>
        <v>0</v>
      </c>
      <c r="Q76" s="83">
        <f t="shared" si="14"/>
        <v>0</v>
      </c>
      <c r="R76" s="83">
        <f t="shared" si="15"/>
        <v>0</v>
      </c>
      <c r="S76" s="83">
        <f t="shared" si="16"/>
        <v>0</v>
      </c>
      <c r="T76" s="304">
        <f t="shared" si="17"/>
        <v>0</v>
      </c>
      <c r="U76" s="126"/>
      <c r="V76" s="208">
        <f t="shared" si="21"/>
        <v>0</v>
      </c>
    </row>
    <row r="77" spans="1:22" ht="25.5" x14ac:dyDescent="0.2">
      <c r="A77" s="20"/>
      <c r="B77" s="20" t="s">
        <v>106</v>
      </c>
      <c r="C77" s="102"/>
      <c r="D77" s="70"/>
      <c r="E77" s="70"/>
      <c r="F77" s="70"/>
      <c r="G77" s="70"/>
      <c r="H77" s="70"/>
      <c r="I77" s="70"/>
      <c r="J77" s="70"/>
      <c r="K77" s="16"/>
      <c r="L77" s="142"/>
      <c r="M77" s="142"/>
      <c r="N77" s="142"/>
      <c r="O77" s="16"/>
      <c r="P77" s="83">
        <f t="shared" ref="P77:P80" si="67">+(D77-C77)*P$10</f>
        <v>0</v>
      </c>
      <c r="Q77" s="83">
        <f t="shared" ref="Q77:Q80" si="68">+(E77-D77)*Q$10</f>
        <v>0</v>
      </c>
      <c r="R77" s="83">
        <f t="shared" ref="R77:R80" si="69">+(F77-E77)*R$10</f>
        <v>0</v>
      </c>
      <c r="S77" s="83">
        <f t="shared" ref="S77:S80" si="70">SUM(P77:R77)</f>
        <v>0</v>
      </c>
      <c r="T77" s="304">
        <f t="shared" ref="T77:T99" si="71">IF(C77=0,0,+S77/C77)</f>
        <v>0</v>
      </c>
      <c r="U77" s="126"/>
      <c r="V77" s="208">
        <f t="shared" ref="V77:V80" si="72">+S77-E77+C77</f>
        <v>0</v>
      </c>
    </row>
    <row r="78" spans="1:22" x14ac:dyDescent="0.2">
      <c r="A78" s="20" t="s">
        <v>84</v>
      </c>
      <c r="B78" s="20" t="s">
        <v>85</v>
      </c>
      <c r="C78" s="102"/>
      <c r="D78" s="70"/>
      <c r="E78" s="70"/>
      <c r="F78" s="70"/>
      <c r="G78" s="70"/>
      <c r="H78" s="70"/>
      <c r="I78" s="70"/>
      <c r="J78" s="70"/>
      <c r="K78" s="16"/>
      <c r="L78" s="142"/>
      <c r="M78" s="142"/>
      <c r="N78" s="142"/>
      <c r="O78" s="16"/>
      <c r="P78" s="83">
        <f t="shared" si="67"/>
        <v>0</v>
      </c>
      <c r="Q78" s="83">
        <f t="shared" si="68"/>
        <v>0</v>
      </c>
      <c r="R78" s="83">
        <f t="shared" si="69"/>
        <v>0</v>
      </c>
      <c r="S78" s="83">
        <f t="shared" si="70"/>
        <v>0</v>
      </c>
      <c r="T78" s="304">
        <f t="shared" si="71"/>
        <v>0</v>
      </c>
      <c r="U78" s="126"/>
      <c r="V78" s="208">
        <f t="shared" si="72"/>
        <v>0</v>
      </c>
    </row>
    <row r="79" spans="1:22" x14ac:dyDescent="0.2">
      <c r="A79" s="20"/>
      <c r="B79" s="20" t="s">
        <v>86</v>
      </c>
      <c r="C79" s="102"/>
      <c r="D79" s="70"/>
      <c r="E79" s="70"/>
      <c r="F79" s="70"/>
      <c r="G79" s="70"/>
      <c r="H79" s="70"/>
      <c r="I79" s="70"/>
      <c r="J79" s="70"/>
      <c r="K79" s="16"/>
      <c r="L79" s="142"/>
      <c r="M79" s="142"/>
      <c r="N79" s="142"/>
      <c r="O79" s="16"/>
      <c r="P79" s="83">
        <f t="shared" si="67"/>
        <v>0</v>
      </c>
      <c r="Q79" s="83">
        <f t="shared" si="68"/>
        <v>0</v>
      </c>
      <c r="R79" s="83">
        <f t="shared" si="69"/>
        <v>0</v>
      </c>
      <c r="S79" s="83">
        <f t="shared" si="70"/>
        <v>0</v>
      </c>
      <c r="T79" s="304">
        <f t="shared" si="71"/>
        <v>0</v>
      </c>
      <c r="U79" s="126"/>
      <c r="V79" s="208">
        <f t="shared" si="72"/>
        <v>0</v>
      </c>
    </row>
    <row r="80" spans="1:22" x14ac:dyDescent="0.2">
      <c r="A80" s="20" t="s">
        <v>87</v>
      </c>
      <c r="B80" s="20" t="s">
        <v>88</v>
      </c>
      <c r="C80" s="102">
        <v>465732</v>
      </c>
      <c r="D80" s="70">
        <v>465732</v>
      </c>
      <c r="E80" s="70">
        <v>0</v>
      </c>
      <c r="F80" s="70"/>
      <c r="G80" s="70"/>
      <c r="H80" s="70">
        <v>227451</v>
      </c>
      <c r="I80" s="70">
        <v>0</v>
      </c>
      <c r="J80" s="70"/>
      <c r="K80" s="16"/>
      <c r="L80" s="143">
        <f t="shared" ref="L80" si="73">+H80/C80</f>
        <v>0.48837314163510342</v>
      </c>
      <c r="M80" s="143">
        <f>+I80/D80</f>
        <v>0</v>
      </c>
      <c r="N80" s="143" t="e">
        <f t="shared" ref="N80" si="74">+J80/E80</f>
        <v>#DIV/0!</v>
      </c>
      <c r="O80" s="16"/>
      <c r="P80" s="83">
        <f t="shared" si="67"/>
        <v>0</v>
      </c>
      <c r="Q80" s="83">
        <f t="shared" si="68"/>
        <v>-465732</v>
      </c>
      <c r="R80" s="83">
        <f t="shared" si="69"/>
        <v>0</v>
      </c>
      <c r="S80" s="83">
        <f t="shared" si="70"/>
        <v>-465732</v>
      </c>
      <c r="T80" s="304">
        <f t="shared" si="71"/>
        <v>-1</v>
      </c>
      <c r="U80" s="126"/>
      <c r="V80" s="208">
        <f t="shared" si="72"/>
        <v>0</v>
      </c>
    </row>
    <row r="81" spans="1:24" ht="45.6" customHeight="1" x14ac:dyDescent="0.2">
      <c r="A81" s="20"/>
      <c r="B81" s="20" t="s">
        <v>92</v>
      </c>
      <c r="C81" s="102"/>
      <c r="D81" s="70"/>
      <c r="E81" s="70"/>
      <c r="F81" s="70"/>
      <c r="G81" s="70"/>
      <c r="H81" s="70"/>
      <c r="I81" s="70"/>
      <c r="J81" s="70"/>
      <c r="K81" s="16"/>
      <c r="L81" s="142"/>
      <c r="M81" s="142"/>
      <c r="N81" s="142"/>
      <c r="O81" s="16"/>
      <c r="P81" s="83">
        <f>+(D81-C81)*P$10</f>
        <v>0</v>
      </c>
      <c r="Q81" s="83">
        <f>+(E81-D81)*Q$10</f>
        <v>0</v>
      </c>
      <c r="R81" s="83">
        <f>+(F81-E81)*R$10</f>
        <v>0</v>
      </c>
      <c r="S81" s="83">
        <f t="shared" ref="S81:S82" si="75">SUM(P81:R81)</f>
        <v>0</v>
      </c>
      <c r="T81" s="304">
        <f t="shared" si="71"/>
        <v>0</v>
      </c>
      <c r="U81" s="126"/>
      <c r="V81" s="208">
        <f t="shared" ref="V81:V82" si="76">+S81-E81+C81</f>
        <v>0</v>
      </c>
    </row>
    <row r="82" spans="1:24" x14ac:dyDescent="0.2">
      <c r="A82" s="20"/>
      <c r="B82" s="20"/>
      <c r="C82" s="123"/>
      <c r="D82" s="70"/>
      <c r="E82" s="70"/>
      <c r="F82" s="70"/>
      <c r="G82" s="70"/>
      <c r="H82" s="70"/>
      <c r="I82" s="70"/>
      <c r="J82" s="70"/>
      <c r="K82" s="16"/>
      <c r="L82" s="143" t="e">
        <f t="shared" ref="L82" si="77">+H82/C82</f>
        <v>#DIV/0!</v>
      </c>
      <c r="M82" s="143" t="e">
        <f t="shared" ref="M82:M89" si="78">+I82/D82</f>
        <v>#DIV/0!</v>
      </c>
      <c r="N82" s="143" t="e">
        <f t="shared" ref="N82" si="79">+J82/E82</f>
        <v>#DIV/0!</v>
      </c>
      <c r="O82" s="16"/>
      <c r="P82" s="83">
        <f t="shared" ref="P82" si="80">+(D82-C82)*P$10</f>
        <v>0</v>
      </c>
      <c r="Q82" s="83">
        <f t="shared" ref="Q82" si="81">+(E82-D82)*Q$10</f>
        <v>0</v>
      </c>
      <c r="R82" s="83">
        <f t="shared" ref="R82" si="82">+(F82-E82)*R$10</f>
        <v>0</v>
      </c>
      <c r="S82" s="83">
        <f t="shared" si="75"/>
        <v>0</v>
      </c>
      <c r="T82" s="304">
        <f t="shared" si="71"/>
        <v>0</v>
      </c>
      <c r="U82" s="126"/>
      <c r="V82" s="208">
        <f t="shared" si="76"/>
        <v>0</v>
      </c>
    </row>
    <row r="83" spans="1:24" s="43" customFormat="1" x14ac:dyDescent="0.2">
      <c r="A83" s="3" t="s">
        <v>158</v>
      </c>
      <c r="B83" s="3" t="s">
        <v>159</v>
      </c>
      <c r="C83" s="206">
        <f>SUM(C84)</f>
        <v>1324900</v>
      </c>
      <c r="D83" s="96">
        <f>SUM(D84)</f>
        <v>1324900</v>
      </c>
      <c r="E83" s="96">
        <f>SUM(E84)</f>
        <v>0</v>
      </c>
      <c r="F83" s="96">
        <f>SUM(F84)</f>
        <v>0</v>
      </c>
      <c r="G83" s="96"/>
      <c r="H83" s="96">
        <f>SUM(H84)</f>
        <v>700659</v>
      </c>
      <c r="I83" s="96">
        <f>+I84</f>
        <v>0</v>
      </c>
      <c r="J83" s="96">
        <f>+J84</f>
        <v>0</v>
      </c>
      <c r="K83" s="33"/>
      <c r="L83" s="316">
        <f t="shared" ref="L83:L89" si="83">+H83/C83</f>
        <v>0.52883915767227718</v>
      </c>
      <c r="M83" s="316">
        <f t="shared" si="78"/>
        <v>0</v>
      </c>
      <c r="N83" s="316" t="e">
        <f t="shared" ref="N83:N89" si="84">+J83/E83</f>
        <v>#DIV/0!</v>
      </c>
      <c r="O83" s="33"/>
      <c r="P83" s="324">
        <f t="shared" ref="P83:P85" si="85">+(D83-C83)*P$10</f>
        <v>0</v>
      </c>
      <c r="Q83" s="324">
        <f t="shared" ref="Q83:Q85" si="86">+(E83-D83)*Q$10</f>
        <v>-1324900</v>
      </c>
      <c r="R83" s="324">
        <f t="shared" ref="R83:R85" si="87">+(F83-E83)*R$10</f>
        <v>0</v>
      </c>
      <c r="S83" s="324">
        <f t="shared" ref="S83:S85" si="88">SUM(P83:R83)</f>
        <v>-1324900</v>
      </c>
      <c r="T83" s="305">
        <f t="shared" ref="T83:T85" si="89">IF(C83=0,0,+S83/C83)</f>
        <v>-1</v>
      </c>
      <c r="U83" s="126"/>
      <c r="V83" s="208">
        <f t="shared" ref="V83:V85" si="90">+S83-E83+C83</f>
        <v>0</v>
      </c>
    </row>
    <row r="84" spans="1:24" x14ac:dyDescent="0.2">
      <c r="A84" s="513"/>
      <c r="B84" s="513" t="s">
        <v>479</v>
      </c>
      <c r="C84" s="123">
        <v>1324900</v>
      </c>
      <c r="D84" s="70">
        <v>1324900</v>
      </c>
      <c r="E84" s="70">
        <v>0</v>
      </c>
      <c r="F84" s="70"/>
      <c r="G84" s="70"/>
      <c r="H84" s="70">
        <v>700659</v>
      </c>
      <c r="I84" s="187">
        <v>0</v>
      </c>
      <c r="J84" s="70"/>
      <c r="K84" s="16"/>
      <c r="L84" s="143">
        <f t="shared" si="83"/>
        <v>0.52883915767227718</v>
      </c>
      <c r="M84" s="143">
        <f t="shared" si="78"/>
        <v>0</v>
      </c>
      <c r="N84" s="143" t="e">
        <f t="shared" si="84"/>
        <v>#DIV/0!</v>
      </c>
      <c r="O84" s="16"/>
      <c r="P84" s="83">
        <f t="shared" si="85"/>
        <v>0</v>
      </c>
      <c r="Q84" s="83">
        <f t="shared" si="86"/>
        <v>-1324900</v>
      </c>
      <c r="R84" s="83">
        <f t="shared" si="87"/>
        <v>0</v>
      </c>
      <c r="S84" s="83">
        <f t="shared" si="88"/>
        <v>-1324900</v>
      </c>
      <c r="T84" s="304">
        <f t="shared" si="89"/>
        <v>-1</v>
      </c>
      <c r="U84" s="126"/>
      <c r="V84" s="208">
        <f t="shared" si="90"/>
        <v>0</v>
      </c>
    </row>
    <row r="85" spans="1:24" x14ac:dyDescent="0.2">
      <c r="A85" s="20"/>
      <c r="B85" s="20"/>
      <c r="C85" s="123"/>
      <c r="D85" s="70"/>
      <c r="E85" s="70"/>
      <c r="F85" s="70"/>
      <c r="G85" s="70"/>
      <c r="H85" s="70"/>
      <c r="I85" s="70"/>
      <c r="J85" s="70"/>
      <c r="K85" s="16"/>
      <c r="L85" s="143" t="e">
        <f t="shared" si="83"/>
        <v>#DIV/0!</v>
      </c>
      <c r="M85" s="143" t="e">
        <f t="shared" si="78"/>
        <v>#DIV/0!</v>
      </c>
      <c r="N85" s="143" t="e">
        <f t="shared" si="84"/>
        <v>#DIV/0!</v>
      </c>
      <c r="O85" s="16"/>
      <c r="P85" s="83">
        <f t="shared" si="85"/>
        <v>0</v>
      </c>
      <c r="Q85" s="83">
        <f t="shared" si="86"/>
        <v>0</v>
      </c>
      <c r="R85" s="83">
        <f t="shared" si="87"/>
        <v>0</v>
      </c>
      <c r="S85" s="83">
        <f t="shared" si="88"/>
        <v>0</v>
      </c>
      <c r="T85" s="304">
        <f t="shared" si="89"/>
        <v>0</v>
      </c>
      <c r="U85" s="126"/>
      <c r="V85" s="208">
        <f t="shared" si="90"/>
        <v>0</v>
      </c>
    </row>
    <row r="86" spans="1:24" s="43" customFormat="1" x14ac:dyDescent="0.2">
      <c r="A86" s="3" t="s">
        <v>173</v>
      </c>
      <c r="B86" s="3" t="s">
        <v>174</v>
      </c>
      <c r="C86" s="206">
        <f>SUM(C87)</f>
        <v>0</v>
      </c>
      <c r="D86" s="96">
        <f>SUM(D87)</f>
        <v>0</v>
      </c>
      <c r="E86" s="96">
        <f>SUM(E87)</f>
        <v>0</v>
      </c>
      <c r="F86" s="96">
        <f>SUM(F87)</f>
        <v>0</v>
      </c>
      <c r="G86" s="96"/>
      <c r="H86" s="96">
        <f>SUM(H87)</f>
        <v>0</v>
      </c>
      <c r="I86" s="96">
        <f>+I87</f>
        <v>0</v>
      </c>
      <c r="J86" s="96">
        <f>+J87</f>
        <v>0</v>
      </c>
      <c r="K86" s="33"/>
      <c r="L86" s="316" t="e">
        <f t="shared" ref="L86:L88" si="91">+H86/C86</f>
        <v>#DIV/0!</v>
      </c>
      <c r="M86" s="316" t="e">
        <f t="shared" si="78"/>
        <v>#DIV/0!</v>
      </c>
      <c r="N86" s="316" t="e">
        <f t="shared" ref="N86:N88" si="92">+J86/E86</f>
        <v>#DIV/0!</v>
      </c>
      <c r="O86" s="33"/>
      <c r="P86" s="324">
        <f t="shared" ref="P86:P88" si="93">+(D86-C86)*P$10</f>
        <v>0</v>
      </c>
      <c r="Q86" s="324">
        <f t="shared" ref="Q86:Q88" si="94">+(E86-D86)*Q$10</f>
        <v>0</v>
      </c>
      <c r="R86" s="324">
        <f t="shared" ref="R86:R88" si="95">+(F86-E86)*R$10</f>
        <v>0</v>
      </c>
      <c r="S86" s="324">
        <f t="shared" ref="S86:S88" si="96">SUM(P86:R86)</f>
        <v>0</v>
      </c>
      <c r="T86" s="305">
        <f t="shared" ref="T86:T88" si="97">IF(C86=0,0,+S86/C86)</f>
        <v>0</v>
      </c>
      <c r="U86" s="126"/>
      <c r="V86" s="208">
        <f t="shared" ref="V86:V88" si="98">+S86-E86+C86</f>
        <v>0</v>
      </c>
    </row>
    <row r="87" spans="1:24" x14ac:dyDescent="0.2">
      <c r="A87" s="513"/>
      <c r="B87" s="513"/>
      <c r="C87" s="123"/>
      <c r="D87" s="70"/>
      <c r="E87" s="70"/>
      <c r="F87" s="70"/>
      <c r="G87" s="70"/>
      <c r="H87" s="70"/>
      <c r="I87" s="187"/>
      <c r="J87" s="70"/>
      <c r="K87" s="16"/>
      <c r="L87" s="143" t="e">
        <f t="shared" si="91"/>
        <v>#DIV/0!</v>
      </c>
      <c r="M87" s="143" t="e">
        <f t="shared" si="78"/>
        <v>#DIV/0!</v>
      </c>
      <c r="N87" s="143" t="e">
        <f t="shared" si="92"/>
        <v>#DIV/0!</v>
      </c>
      <c r="O87" s="16"/>
      <c r="P87" s="83">
        <f t="shared" si="93"/>
        <v>0</v>
      </c>
      <c r="Q87" s="83">
        <f t="shared" si="94"/>
        <v>0</v>
      </c>
      <c r="R87" s="83">
        <f t="shared" si="95"/>
        <v>0</v>
      </c>
      <c r="S87" s="83">
        <f t="shared" si="96"/>
        <v>0</v>
      </c>
      <c r="T87" s="304">
        <f t="shared" si="97"/>
        <v>0</v>
      </c>
      <c r="U87" s="126"/>
      <c r="V87" s="208">
        <f t="shared" si="98"/>
        <v>0</v>
      </c>
    </row>
    <row r="88" spans="1:24" hidden="1" x14ac:dyDescent="0.2">
      <c r="A88" s="20"/>
      <c r="B88" s="20"/>
      <c r="C88" s="123"/>
      <c r="D88" s="70"/>
      <c r="E88" s="70"/>
      <c r="F88" s="70"/>
      <c r="G88" s="70"/>
      <c r="H88" s="70"/>
      <c r="I88" s="70"/>
      <c r="J88" s="70"/>
      <c r="K88" s="16"/>
      <c r="L88" s="143" t="e">
        <f t="shared" si="91"/>
        <v>#DIV/0!</v>
      </c>
      <c r="M88" s="143" t="e">
        <f t="shared" si="78"/>
        <v>#DIV/0!</v>
      </c>
      <c r="N88" s="143" t="e">
        <f t="shared" si="92"/>
        <v>#DIV/0!</v>
      </c>
      <c r="O88" s="16"/>
      <c r="P88" s="83">
        <f t="shared" si="93"/>
        <v>0</v>
      </c>
      <c r="Q88" s="83">
        <f t="shared" si="94"/>
        <v>0</v>
      </c>
      <c r="R88" s="83">
        <f t="shared" si="95"/>
        <v>0</v>
      </c>
      <c r="S88" s="83">
        <f t="shared" si="96"/>
        <v>0</v>
      </c>
      <c r="T88" s="304">
        <f t="shared" si="97"/>
        <v>0</v>
      </c>
      <c r="U88" s="126"/>
      <c r="V88" s="208">
        <f t="shared" si="98"/>
        <v>0</v>
      </c>
    </row>
    <row r="89" spans="1:24" ht="18" customHeight="1" x14ac:dyDescent="0.2">
      <c r="A89" s="5"/>
      <c r="B89" s="501" t="s">
        <v>378</v>
      </c>
      <c r="C89" s="509">
        <f>C13+C29+C32+C83+C86</f>
        <v>113342899</v>
      </c>
      <c r="D89" s="509">
        <f>D13+D29+D32+D83+D86</f>
        <v>113342899</v>
      </c>
      <c r="E89" s="509">
        <f>E13+E29+E32+E83+E86</f>
        <v>0</v>
      </c>
      <c r="F89" s="509">
        <f>F13+F29+F32+F83+F86</f>
        <v>0</v>
      </c>
      <c r="G89" s="509"/>
      <c r="H89" s="509">
        <f>H13+H29+H32+H83+H86</f>
        <v>53128260</v>
      </c>
      <c r="I89" s="509">
        <f>I13+I29+I32+I83+I86</f>
        <v>0</v>
      </c>
      <c r="J89" s="509">
        <f>J13+J29+J32+J83+J86</f>
        <v>0</v>
      </c>
      <c r="K89" s="6"/>
      <c r="L89" s="89">
        <f t="shared" si="83"/>
        <v>0.46873920173861089</v>
      </c>
      <c r="M89" s="89">
        <f t="shared" si="78"/>
        <v>0</v>
      </c>
      <c r="N89" s="89" t="e">
        <f t="shared" si="84"/>
        <v>#DIV/0!</v>
      </c>
      <c r="O89" s="6"/>
      <c r="P89" s="509">
        <f>+(D89-C89)*P$10</f>
        <v>0</v>
      </c>
      <c r="Q89" s="509">
        <f>+(E89-D89)*Q$10</f>
        <v>-113342899</v>
      </c>
      <c r="R89" s="509">
        <f>+(F89-E89)*R$10</f>
        <v>0</v>
      </c>
      <c r="S89" s="509">
        <f t="shared" ref="S89:S102" si="99">SUM(P89:R89)</f>
        <v>-113342899</v>
      </c>
      <c r="T89" s="305">
        <f t="shared" si="71"/>
        <v>-1</v>
      </c>
      <c r="U89" s="126"/>
      <c r="V89" s="208">
        <f t="shared" ref="V89:V102" si="100">+S89-E89+C89</f>
        <v>0</v>
      </c>
    </row>
    <row r="90" spans="1:24" ht="10.35" customHeight="1" x14ac:dyDescent="0.2"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100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x14ac:dyDescent="0.2">
      <c r="A93" s="53" t="s">
        <v>241</v>
      </c>
      <c r="B93" s="50" t="s">
        <v>242</v>
      </c>
      <c r="C93" s="318">
        <f>C94</f>
        <v>0</v>
      </c>
      <c r="D93" s="314">
        <f>D94</f>
        <v>0</v>
      </c>
      <c r="E93" s="314">
        <f>E94</f>
        <v>0</v>
      </c>
      <c r="F93" s="314"/>
      <c r="G93" s="314"/>
      <c r="H93" s="314">
        <f>+H94</f>
        <v>0</v>
      </c>
      <c r="I93" s="314">
        <f>+I94</f>
        <v>0</v>
      </c>
      <c r="J93" s="314"/>
      <c r="K93" s="54"/>
      <c r="L93" s="316" t="e">
        <f t="shared" ref="L93:L102" si="101">+H93/C93</f>
        <v>#DIV/0!</v>
      </c>
      <c r="M93" s="316" t="e">
        <f>+I93/D93</f>
        <v>#DIV/0!</v>
      </c>
      <c r="N93" s="316" t="e">
        <f t="shared" ref="N93:N102" si="102">+J93/E93</f>
        <v>#DIV/0!</v>
      </c>
      <c r="O93" s="54"/>
      <c r="P93" s="323">
        <f t="shared" ref="P93:P102" si="103">+(D93-C93)*P$10</f>
        <v>0</v>
      </c>
      <c r="Q93" s="323">
        <f t="shared" ref="Q93:Q102" si="104">+(E93-D93)*Q$10</f>
        <v>0</v>
      </c>
      <c r="R93" s="323">
        <f t="shared" ref="R93:R102" si="105">+(F93-E93)*R$10</f>
        <v>0</v>
      </c>
      <c r="S93" s="323">
        <f t="shared" si="99"/>
        <v>0</v>
      </c>
      <c r="T93" s="305">
        <f t="shared" si="71"/>
        <v>0</v>
      </c>
      <c r="U93" s="126"/>
      <c r="V93" s="208">
        <f t="shared" si="100"/>
        <v>0</v>
      </c>
    </row>
    <row r="94" spans="1:24" s="52" customFormat="1" x14ac:dyDescent="0.2">
      <c r="A94" s="46" t="s">
        <v>261</v>
      </c>
      <c r="B94" s="46" t="s">
        <v>393</v>
      </c>
      <c r="C94" s="319">
        <f>SUM(C95)</f>
        <v>0</v>
      </c>
      <c r="D94" s="320">
        <v>0</v>
      </c>
      <c r="E94" s="320">
        <v>0</v>
      </c>
      <c r="F94" s="320"/>
      <c r="G94" s="320"/>
      <c r="H94" s="320">
        <v>0</v>
      </c>
      <c r="I94" s="320">
        <v>0</v>
      </c>
      <c r="J94" s="320"/>
      <c r="K94" s="51"/>
      <c r="L94" s="143" t="e">
        <f t="shared" si="101"/>
        <v>#DIV/0!</v>
      </c>
      <c r="M94" s="143" t="e">
        <f>+I94/D94</f>
        <v>#DIV/0!</v>
      </c>
      <c r="N94" s="143" t="e">
        <f t="shared" si="102"/>
        <v>#DIV/0!</v>
      </c>
      <c r="O94" s="51"/>
      <c r="P94" s="83">
        <f t="shared" si="103"/>
        <v>0</v>
      </c>
      <c r="Q94" s="83">
        <f t="shared" si="104"/>
        <v>0</v>
      </c>
      <c r="R94" s="83">
        <f t="shared" si="105"/>
        <v>0</v>
      </c>
      <c r="S94" s="83">
        <f t="shared" si="99"/>
        <v>0</v>
      </c>
      <c r="T94" s="304">
        <f t="shared" si="71"/>
        <v>0</v>
      </c>
      <c r="U94" s="126"/>
      <c r="V94" s="208">
        <f t="shared" si="100"/>
        <v>0</v>
      </c>
    </row>
    <row r="95" spans="1:24" s="43" customFormat="1" x14ac:dyDescent="0.2">
      <c r="A95" s="3" t="s">
        <v>284</v>
      </c>
      <c r="B95" s="3" t="s">
        <v>285</v>
      </c>
      <c r="C95" s="206">
        <f>C96+C97+C98</f>
        <v>0</v>
      </c>
      <c r="D95" s="69">
        <f>+D96+D98</f>
        <v>0</v>
      </c>
      <c r="E95" s="69">
        <f>+E96+E98</f>
        <v>0</v>
      </c>
      <c r="F95" s="69">
        <f>+F96+F98</f>
        <v>0</v>
      </c>
      <c r="G95" s="69"/>
      <c r="H95" s="69">
        <f>+H96+H98</f>
        <v>3822</v>
      </c>
      <c r="I95" s="69">
        <f>+I96+I98</f>
        <v>0</v>
      </c>
      <c r="J95" s="69">
        <f>+J96+J98</f>
        <v>0</v>
      </c>
      <c r="K95" s="6"/>
      <c r="L95" s="316" t="e">
        <f t="shared" si="101"/>
        <v>#DIV/0!</v>
      </c>
      <c r="M95" s="316" t="e">
        <f>+I95/D95</f>
        <v>#DIV/0!</v>
      </c>
      <c r="N95" s="316" t="e">
        <f t="shared" si="102"/>
        <v>#DIV/0!</v>
      </c>
      <c r="O95" s="6"/>
      <c r="P95" s="294">
        <f t="shared" si="103"/>
        <v>0</v>
      </c>
      <c r="Q95" s="294">
        <f t="shared" si="104"/>
        <v>0</v>
      </c>
      <c r="R95" s="294">
        <f t="shared" si="105"/>
        <v>0</v>
      </c>
      <c r="S95" s="294">
        <f t="shared" si="99"/>
        <v>0</v>
      </c>
      <c r="T95" s="305">
        <f t="shared" si="71"/>
        <v>0</v>
      </c>
      <c r="U95" s="126"/>
      <c r="V95" s="208">
        <f t="shared" si="100"/>
        <v>0</v>
      </c>
    </row>
    <row r="96" spans="1:24" x14ac:dyDescent="0.2">
      <c r="A96" s="46" t="s">
        <v>288</v>
      </c>
      <c r="B96" s="46" t="s">
        <v>394</v>
      </c>
      <c r="C96" s="319">
        <v>0</v>
      </c>
      <c r="D96" s="152">
        <v>0</v>
      </c>
      <c r="E96" s="152">
        <v>0</v>
      </c>
      <c r="F96" s="152"/>
      <c r="G96" s="152"/>
      <c r="H96" s="152">
        <v>0</v>
      </c>
      <c r="I96" s="152">
        <f>+H96</f>
        <v>0</v>
      </c>
      <c r="J96" s="152"/>
      <c r="K96" s="42"/>
      <c r="L96" s="143" t="e">
        <f t="shared" si="101"/>
        <v>#DIV/0!</v>
      </c>
      <c r="M96" s="143" t="e">
        <f t="shared" ref="M96:M98" si="106">+I96/D96</f>
        <v>#DIV/0!</v>
      </c>
      <c r="N96" s="143" t="e">
        <f t="shared" si="102"/>
        <v>#DIV/0!</v>
      </c>
      <c r="O96" s="42"/>
      <c r="P96" s="83">
        <f t="shared" si="103"/>
        <v>0</v>
      </c>
      <c r="Q96" s="83">
        <f t="shared" si="104"/>
        <v>0</v>
      </c>
      <c r="R96" s="83">
        <f t="shared" si="105"/>
        <v>0</v>
      </c>
      <c r="S96" s="83">
        <f t="shared" si="99"/>
        <v>0</v>
      </c>
      <c r="T96" s="304">
        <f t="shared" si="71"/>
        <v>0</v>
      </c>
      <c r="U96" s="126"/>
      <c r="V96" s="208">
        <f t="shared" si="100"/>
        <v>0</v>
      </c>
    </row>
    <row r="97" spans="1:22" x14ac:dyDescent="0.2">
      <c r="A97" s="46" t="s">
        <v>299</v>
      </c>
      <c r="B97" s="20" t="s">
        <v>300</v>
      </c>
      <c r="C97" s="319"/>
      <c r="D97" s="152"/>
      <c r="E97" s="152"/>
      <c r="F97" s="152"/>
      <c r="G97" s="152"/>
      <c r="H97" s="152"/>
      <c r="I97" s="152"/>
      <c r="J97" s="152"/>
      <c r="K97" s="42"/>
      <c r="L97" s="143"/>
      <c r="M97" s="143"/>
      <c r="N97" s="143"/>
      <c r="O97" s="42"/>
      <c r="P97" s="83"/>
      <c r="Q97" s="83"/>
      <c r="R97" s="83"/>
      <c r="S97" s="83"/>
      <c r="T97" s="304"/>
      <c r="U97" s="126"/>
      <c r="V97" s="208"/>
    </row>
    <row r="98" spans="1:22" ht="25.5" x14ac:dyDescent="0.2">
      <c r="A98" s="513" t="s">
        <v>475</v>
      </c>
      <c r="B98" s="513" t="s">
        <v>478</v>
      </c>
      <c r="C98" s="123">
        <v>0</v>
      </c>
      <c r="D98" s="70">
        <v>0</v>
      </c>
      <c r="E98" s="70">
        <v>0</v>
      </c>
      <c r="F98" s="70"/>
      <c r="G98" s="70"/>
      <c r="H98" s="70">
        <v>3822</v>
      </c>
      <c r="I98" s="70">
        <v>0</v>
      </c>
      <c r="J98" s="70"/>
      <c r="K98" s="16"/>
      <c r="L98" s="143" t="e">
        <f t="shared" si="101"/>
        <v>#DIV/0!</v>
      </c>
      <c r="M98" s="143" t="e">
        <f t="shared" si="106"/>
        <v>#DIV/0!</v>
      </c>
      <c r="N98" s="143" t="e">
        <f t="shared" si="102"/>
        <v>#DIV/0!</v>
      </c>
      <c r="O98" s="16"/>
      <c r="P98" s="83">
        <f t="shared" si="103"/>
        <v>0</v>
      </c>
      <c r="Q98" s="83">
        <f t="shared" si="104"/>
        <v>0</v>
      </c>
      <c r="R98" s="83">
        <f t="shared" si="105"/>
        <v>0</v>
      </c>
      <c r="S98" s="83">
        <f t="shared" si="99"/>
        <v>0</v>
      </c>
      <c r="T98" s="304">
        <f t="shared" si="71"/>
        <v>0</v>
      </c>
      <c r="U98" s="126"/>
      <c r="V98" s="208">
        <f t="shared" si="100"/>
        <v>0</v>
      </c>
    </row>
    <row r="99" spans="1:22" s="43" customFormat="1" x14ac:dyDescent="0.2">
      <c r="A99" s="3" t="s">
        <v>333</v>
      </c>
      <c r="B99" s="3" t="s">
        <v>334</v>
      </c>
      <c r="C99" s="206">
        <f>+C100+C101</f>
        <v>113342899</v>
      </c>
      <c r="D99" s="96">
        <f>SUM(D100:D101)</f>
        <v>113342899</v>
      </c>
      <c r="E99" s="96">
        <f>SUM(E100:E101)</f>
        <v>0</v>
      </c>
      <c r="F99" s="96">
        <f>SUM(F100)</f>
        <v>0</v>
      </c>
      <c r="G99" s="96"/>
      <c r="H99" s="96">
        <f>SUM(H100:H101)</f>
        <v>58046472</v>
      </c>
      <c r="I99" s="96">
        <f>SUM(I100:I101)</f>
        <v>0</v>
      </c>
      <c r="J99" s="96">
        <f>+J100</f>
        <v>0</v>
      </c>
      <c r="K99" s="33"/>
      <c r="L99" s="316">
        <f t="shared" si="101"/>
        <v>0.51213152753398339</v>
      </c>
      <c r="M99" s="316">
        <f>+I99/D99</f>
        <v>0</v>
      </c>
      <c r="N99" s="316" t="e">
        <f t="shared" si="102"/>
        <v>#DIV/0!</v>
      </c>
      <c r="O99" s="33"/>
      <c r="P99" s="324">
        <f t="shared" si="103"/>
        <v>0</v>
      </c>
      <c r="Q99" s="324">
        <f t="shared" si="104"/>
        <v>-113342899</v>
      </c>
      <c r="R99" s="324">
        <f t="shared" si="105"/>
        <v>0</v>
      </c>
      <c r="S99" s="324">
        <f t="shared" si="99"/>
        <v>-113342899</v>
      </c>
      <c r="T99" s="305">
        <f t="shared" si="71"/>
        <v>-1</v>
      </c>
      <c r="U99" s="126"/>
      <c r="V99" s="208">
        <f t="shared" si="100"/>
        <v>0</v>
      </c>
    </row>
    <row r="100" spans="1:22" x14ac:dyDescent="0.2">
      <c r="A100" s="45" t="s">
        <v>359</v>
      </c>
      <c r="B100" s="20" t="s">
        <v>325</v>
      </c>
      <c r="C100" s="123">
        <f>+C104</f>
        <v>111124591</v>
      </c>
      <c r="D100" s="123">
        <v>111124591</v>
      </c>
      <c r="E100" s="70">
        <v>0</v>
      </c>
      <c r="F100" s="70"/>
      <c r="G100" s="70"/>
      <c r="H100" s="70">
        <v>55828164</v>
      </c>
      <c r="I100" s="187">
        <v>0</v>
      </c>
      <c r="J100" s="70"/>
      <c r="K100" s="16"/>
      <c r="L100" s="143">
        <f t="shared" si="101"/>
        <v>0.50239252624110897</v>
      </c>
      <c r="M100" s="143">
        <f>+I100/D100</f>
        <v>0</v>
      </c>
      <c r="N100" s="143" t="e">
        <f t="shared" si="102"/>
        <v>#DIV/0!</v>
      </c>
      <c r="O100" s="16"/>
      <c r="P100" s="83">
        <f t="shared" si="103"/>
        <v>0</v>
      </c>
      <c r="Q100" s="83">
        <f t="shared" si="104"/>
        <v>-111124591</v>
      </c>
      <c r="R100" s="83">
        <f t="shared" si="105"/>
        <v>0</v>
      </c>
      <c r="S100" s="83">
        <f t="shared" si="99"/>
        <v>-111124591</v>
      </c>
      <c r="T100" s="304">
        <f t="shared" ref="T100:T102" si="107">IF(C100=0,0,+S100/C100)</f>
        <v>-1</v>
      </c>
      <c r="U100" s="126"/>
      <c r="V100" s="208">
        <f t="shared" si="100"/>
        <v>0</v>
      </c>
    </row>
    <row r="101" spans="1:22" x14ac:dyDescent="0.2">
      <c r="A101" s="20" t="s">
        <v>347</v>
      </c>
      <c r="B101" s="20" t="s">
        <v>348</v>
      </c>
      <c r="C101" s="627">
        <v>2218308</v>
      </c>
      <c r="D101" s="627">
        <v>2218308</v>
      </c>
      <c r="E101" s="70">
        <v>0</v>
      </c>
      <c r="F101" s="70"/>
      <c r="G101" s="70"/>
      <c r="H101" s="70">
        <v>2218308</v>
      </c>
      <c r="I101" s="70">
        <v>0</v>
      </c>
      <c r="J101" s="70"/>
      <c r="K101" s="16"/>
      <c r="L101" s="143">
        <f t="shared" si="101"/>
        <v>1</v>
      </c>
      <c r="M101" s="143">
        <f>+I101/D101</f>
        <v>0</v>
      </c>
      <c r="N101" s="143" t="e">
        <f t="shared" si="102"/>
        <v>#DIV/0!</v>
      </c>
      <c r="O101" s="16"/>
      <c r="P101" s="83">
        <f t="shared" si="103"/>
        <v>0</v>
      </c>
      <c r="Q101" s="83">
        <f t="shared" si="104"/>
        <v>-2218308</v>
      </c>
      <c r="R101" s="83">
        <f t="shared" si="105"/>
        <v>0</v>
      </c>
      <c r="S101" s="83">
        <f t="shared" si="99"/>
        <v>-2218308</v>
      </c>
      <c r="T101" s="304">
        <f t="shared" si="107"/>
        <v>-1</v>
      </c>
      <c r="U101" s="126"/>
      <c r="V101" s="208">
        <f t="shared" si="100"/>
        <v>0</v>
      </c>
    </row>
    <row r="102" spans="1:22" ht="18" customHeight="1" x14ac:dyDescent="0.2">
      <c r="A102" s="5"/>
      <c r="B102" s="501" t="s">
        <v>377</v>
      </c>
      <c r="C102" s="515">
        <f>+C94+C95+C99</f>
        <v>113342899</v>
      </c>
      <c r="D102" s="515">
        <f>+D93+D95+D99</f>
        <v>113342899</v>
      </c>
      <c r="E102" s="515">
        <f>+E94+E95+E99</f>
        <v>0</v>
      </c>
      <c r="F102" s="515">
        <f>+F94+F95+F99</f>
        <v>0</v>
      </c>
      <c r="G102" s="515"/>
      <c r="H102" s="515">
        <f>+H94+H95+H99</f>
        <v>58050294</v>
      </c>
      <c r="I102" s="515">
        <f t="shared" ref="I102" si="108">+I94+I95+I99</f>
        <v>0</v>
      </c>
      <c r="J102" s="515">
        <f t="shared" ref="J102" si="109">+J94+J95+J99</f>
        <v>0</v>
      </c>
      <c r="K102" s="10"/>
      <c r="L102" s="316">
        <f t="shared" si="101"/>
        <v>0.51216524821727027</v>
      </c>
      <c r="M102" s="316">
        <f>+I102/D102</f>
        <v>0</v>
      </c>
      <c r="N102" s="316" t="e">
        <f t="shared" si="102"/>
        <v>#DIV/0!</v>
      </c>
      <c r="O102" s="10"/>
      <c r="P102" s="514">
        <f t="shared" si="103"/>
        <v>0</v>
      </c>
      <c r="Q102" s="514">
        <f t="shared" si="104"/>
        <v>-113342899</v>
      </c>
      <c r="R102" s="514">
        <f t="shared" si="105"/>
        <v>0</v>
      </c>
      <c r="S102" s="514">
        <f t="shared" si="99"/>
        <v>-113342899</v>
      </c>
      <c r="T102" s="305">
        <f t="shared" si="107"/>
        <v>-1</v>
      </c>
      <c r="U102" s="126"/>
      <c r="V102" s="208">
        <f t="shared" si="100"/>
        <v>0</v>
      </c>
    </row>
    <row r="103" spans="1:22" x14ac:dyDescent="0.2">
      <c r="C103" s="104"/>
      <c r="D103" s="104"/>
      <c r="E103" s="104"/>
      <c r="F103" s="104"/>
      <c r="G103" s="104"/>
      <c r="H103" s="104"/>
      <c r="I103" s="104"/>
      <c r="J103" s="104"/>
      <c r="L103" s="315"/>
      <c r="M103" s="315"/>
      <c r="N103" s="315"/>
      <c r="P103" s="299"/>
      <c r="Q103" s="299"/>
      <c r="R103" s="299"/>
      <c r="S103" s="299"/>
      <c r="T103" s="128"/>
      <c r="U103" s="321"/>
    </row>
    <row r="104" spans="1:22" x14ac:dyDescent="0.2">
      <c r="C104" s="104">
        <f>+C89-C93-C101</f>
        <v>111124591</v>
      </c>
      <c r="D104" s="104"/>
      <c r="E104" s="104"/>
      <c r="F104" s="104"/>
      <c r="G104" s="104"/>
      <c r="H104" s="104"/>
      <c r="I104" s="104"/>
      <c r="J104" s="104"/>
      <c r="L104" s="90"/>
      <c r="M104" s="90"/>
      <c r="N104" s="90"/>
      <c r="P104" s="299"/>
      <c r="Q104" s="299"/>
      <c r="R104" s="299"/>
      <c r="S104" s="299"/>
      <c r="T104" s="128"/>
      <c r="U104" s="321"/>
    </row>
    <row r="105" spans="1:22" x14ac:dyDescent="0.2">
      <c r="P105" s="299"/>
      <c r="Q105" s="299"/>
      <c r="R105" s="299"/>
      <c r="S105" s="299"/>
      <c r="U105" s="9"/>
    </row>
    <row r="106" spans="1:22" x14ac:dyDescent="0.2">
      <c r="P106" s="299"/>
      <c r="Q106" s="299"/>
      <c r="R106" s="299"/>
      <c r="S106" s="299"/>
      <c r="U106" s="9"/>
    </row>
    <row r="107" spans="1:22" x14ac:dyDescent="0.2">
      <c r="A107" s="615" t="s">
        <v>359</v>
      </c>
      <c r="B107" s="61" t="s">
        <v>537</v>
      </c>
      <c r="C107" s="103">
        <v>107813200</v>
      </c>
      <c r="P107" s="299"/>
      <c r="Q107" s="299"/>
      <c r="R107" s="299"/>
      <c r="S107" s="299"/>
      <c r="U107" s="9"/>
    </row>
    <row r="108" spans="1:22" x14ac:dyDescent="0.2">
      <c r="P108" s="299"/>
      <c r="Q108" s="299"/>
      <c r="R108" s="299"/>
      <c r="S108" s="299"/>
      <c r="U108" s="9"/>
    </row>
    <row r="109" spans="1:22" x14ac:dyDescent="0.2">
      <c r="P109" s="299"/>
      <c r="Q109" s="299"/>
      <c r="R109" s="299"/>
      <c r="S109" s="299"/>
    </row>
    <row r="110" spans="1:22" x14ac:dyDescent="0.2">
      <c r="P110" s="299"/>
      <c r="Q110" s="299"/>
      <c r="R110" s="299"/>
      <c r="S110" s="299"/>
    </row>
    <row r="111" spans="1:22" x14ac:dyDescent="0.2">
      <c r="P111" s="299"/>
      <c r="Q111" s="299"/>
      <c r="R111" s="299"/>
      <c r="S111" s="299"/>
      <c r="U111" s="2"/>
    </row>
    <row r="112" spans="1:22" x14ac:dyDescent="0.2">
      <c r="P112" s="299"/>
      <c r="Q112" s="299"/>
      <c r="R112" s="299"/>
      <c r="S112" s="299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4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view="pageBreakPreview" zoomScaleNormal="100" zoomScaleSheetLayoutView="100" workbookViewId="0">
      <selection activeCell="H86" sqref="H86"/>
    </sheetView>
  </sheetViews>
  <sheetFormatPr defaultRowHeight="12.75" x14ac:dyDescent="0.2"/>
  <cols>
    <col min="1" max="1" width="6.85546875" style="13" bestFit="1" customWidth="1"/>
    <col min="2" max="2" width="53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0.85546875" customWidth="1"/>
    <col min="22" max="22" width="3.42578125" customWidth="1"/>
  </cols>
  <sheetData>
    <row r="1" spans="1:26" ht="26.25" x14ac:dyDescent="0.4">
      <c r="A1" s="325" t="s">
        <v>434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FÉLÉVES BESZÁMOLÓ</v>
      </c>
      <c r="K1" s="251"/>
      <c r="L1" s="251"/>
      <c r="M1" s="247"/>
      <c r="N1" s="247"/>
      <c r="O1" s="251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585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31145000</v>
      </c>
      <c r="D5" s="273">
        <f t="shared" ref="D5:E5" si="0">+D89</f>
        <v>32745000</v>
      </c>
      <c r="E5" s="273">
        <f t="shared" si="0"/>
        <v>0</v>
      </c>
      <c r="F5" s="273">
        <f>+F89</f>
        <v>0</v>
      </c>
      <c r="G5" s="273"/>
      <c r="H5" s="273">
        <f>+H89</f>
        <v>14585841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0.46832046877508426</v>
      </c>
      <c r="M5" s="32">
        <f t="shared" si="2"/>
        <v>0</v>
      </c>
      <c r="N5" s="32">
        <f t="shared" si="2"/>
        <v>0</v>
      </c>
      <c r="O5" s="95"/>
      <c r="P5" s="273">
        <f>+P89</f>
        <v>1600000</v>
      </c>
      <c r="Q5" s="273">
        <f>+Q89</f>
        <v>-32745000</v>
      </c>
      <c r="R5" s="273">
        <f>+R89</f>
        <v>0</v>
      </c>
      <c r="S5" s="273">
        <f>+S89</f>
        <v>-31145000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31145000</v>
      </c>
      <c r="D6" s="275">
        <f t="shared" ref="D6:J6" si="4">+D102</f>
        <v>32745000</v>
      </c>
      <c r="E6" s="275">
        <f t="shared" si="4"/>
        <v>0</v>
      </c>
      <c r="F6" s="275">
        <f t="shared" si="4"/>
        <v>0</v>
      </c>
      <c r="G6" s="275"/>
      <c r="H6" s="275">
        <f t="shared" si="4"/>
        <v>17270726</v>
      </c>
      <c r="I6" s="275">
        <f t="shared" si="4"/>
        <v>0</v>
      </c>
      <c r="J6" s="275">
        <f t="shared" si="4"/>
        <v>0</v>
      </c>
      <c r="K6" s="69"/>
      <c r="L6" s="32">
        <f t="shared" si="2"/>
        <v>0.55452644084122649</v>
      </c>
      <c r="M6" s="32">
        <f t="shared" si="2"/>
        <v>0</v>
      </c>
      <c r="N6" s="32">
        <f t="shared" si="2"/>
        <v>0</v>
      </c>
      <c r="O6" s="69"/>
      <c r="P6" s="275">
        <f>+P102</f>
        <v>1600000</v>
      </c>
      <c r="Q6" s="275">
        <f t="shared" ref="Q6:S6" si="5">+Q102</f>
        <v>-32745000</v>
      </c>
      <c r="R6" s="275">
        <f t="shared" si="5"/>
        <v>0</v>
      </c>
      <c r="S6" s="275">
        <f t="shared" si="5"/>
        <v>-31145000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6" ht="20.100000000000001" customHeight="1" x14ac:dyDescent="0.25">
      <c r="A7" s="274"/>
      <c r="B7" s="274" t="s">
        <v>413</v>
      </c>
      <c r="C7" s="275">
        <f>+C6-C5</f>
        <v>0</v>
      </c>
      <c r="D7" s="275">
        <f t="shared" ref="D7:H7" si="6">+D6-D5</f>
        <v>0</v>
      </c>
      <c r="E7" s="275">
        <f t="shared" si="6"/>
        <v>0</v>
      </c>
      <c r="F7" s="275">
        <f t="shared" si="6"/>
        <v>0</v>
      </c>
      <c r="G7" s="275"/>
      <c r="H7" s="275">
        <f t="shared" si="6"/>
        <v>2684885</v>
      </c>
      <c r="I7" s="275">
        <f>+I6-I5</f>
        <v>0</v>
      </c>
      <c r="J7" s="275">
        <f t="shared" ref="J7" si="7">+J6-J5</f>
        <v>0</v>
      </c>
      <c r="K7" s="69"/>
      <c r="L7" s="32"/>
      <c r="M7" s="32"/>
      <c r="N7" s="32"/>
      <c r="O7" s="69"/>
      <c r="P7" s="275">
        <f t="shared" ref="P7:S7" si="8">+P6-P5</f>
        <v>0</v>
      </c>
      <c r="Q7" s="275">
        <f t="shared" si="8"/>
        <v>0</v>
      </c>
      <c r="R7" s="275">
        <f t="shared" si="8"/>
        <v>0</v>
      </c>
      <c r="S7" s="275">
        <f t="shared" si="8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716" t="s">
        <v>412</v>
      </c>
      <c r="D9" s="721"/>
      <c r="E9" s="721"/>
      <c r="F9" s="722"/>
      <c r="G9" s="165"/>
      <c r="H9" s="716" t="s">
        <v>411</v>
      </c>
      <c r="I9" s="721"/>
      <c r="J9" s="721"/>
      <c r="K9" s="721"/>
      <c r="L9" s="721"/>
      <c r="M9" s="721"/>
      <c r="N9" s="722"/>
      <c r="O9" s="165"/>
      <c r="P9" s="716" t="s">
        <v>408</v>
      </c>
      <c r="Q9" s="721"/>
      <c r="R9" s="721"/>
      <c r="S9" s="721"/>
      <c r="T9" s="722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713" t="s">
        <v>425</v>
      </c>
      <c r="I10" s="723"/>
      <c r="J10" s="724"/>
      <c r="K10" s="140"/>
      <c r="L10" s="713" t="s">
        <v>424</v>
      </c>
      <c r="M10" s="723"/>
      <c r="N10" s="724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373</v>
      </c>
      <c r="B11" s="27" t="s">
        <v>371</v>
      </c>
      <c r="C11" s="551" t="s">
        <v>483</v>
      </c>
      <c r="D11" s="388" t="s">
        <v>484</v>
      </c>
      <c r="E11" s="388" t="s">
        <v>485</v>
      </c>
      <c r="F11" s="552" t="s">
        <v>486</v>
      </c>
      <c r="G11" s="388"/>
      <c r="H11" s="525" t="s">
        <v>487</v>
      </c>
      <c r="I11" s="389" t="s">
        <v>488</v>
      </c>
      <c r="J11" s="389" t="s">
        <v>489</v>
      </c>
      <c r="K11" s="388"/>
      <c r="L11" s="390" t="s">
        <v>490</v>
      </c>
      <c r="M11" s="390" t="s">
        <v>494</v>
      </c>
      <c r="N11" s="526" t="s">
        <v>495</v>
      </c>
      <c r="O11" s="388"/>
      <c r="P11" s="525" t="s">
        <v>491</v>
      </c>
      <c r="Q11" s="389" t="s">
        <v>493</v>
      </c>
      <c r="R11" s="389" t="s">
        <v>492</v>
      </c>
      <c r="S11" s="389" t="s">
        <v>409</v>
      </c>
      <c r="T11" s="526" t="s">
        <v>410</v>
      </c>
      <c r="U11" s="202"/>
      <c r="V11" s="138" t="s">
        <v>414</v>
      </c>
      <c r="W11" s="128"/>
      <c r="X11" s="128"/>
    </row>
    <row r="12" spans="1:26" ht="12.75" customHeight="1" x14ac:dyDescent="0.2">
      <c r="A12" s="14"/>
      <c r="B12" s="20"/>
      <c r="C12" s="242"/>
      <c r="D12" s="242"/>
      <c r="E12" s="242"/>
      <c r="F12" s="242"/>
      <c r="G12" s="242"/>
      <c r="H12" s="242"/>
      <c r="I12" s="242"/>
      <c r="J12" s="242"/>
      <c r="K12" s="242"/>
      <c r="L12" s="142"/>
      <c r="M12" s="142"/>
      <c r="N12" s="142"/>
      <c r="O12" s="242"/>
      <c r="P12" s="242"/>
      <c r="Q12" s="242"/>
      <c r="R12" s="242"/>
      <c r="S12" s="242"/>
    </row>
    <row r="13" spans="1:26" ht="12.75" customHeight="1" x14ac:dyDescent="0.2">
      <c r="A13" s="7" t="s">
        <v>0</v>
      </c>
      <c r="B13" s="5" t="s">
        <v>3</v>
      </c>
      <c r="C13" s="237">
        <f>SUM(C14:C28)</f>
        <v>14060000</v>
      </c>
      <c r="D13" s="237">
        <f t="shared" ref="D13:J13" si="9">SUM(D14:D28)</f>
        <v>14060000</v>
      </c>
      <c r="E13" s="237">
        <f t="shared" si="9"/>
        <v>0</v>
      </c>
      <c r="F13" s="237">
        <f t="shared" si="9"/>
        <v>0</v>
      </c>
      <c r="G13" s="237"/>
      <c r="H13" s="237">
        <f t="shared" si="9"/>
        <v>6508406</v>
      </c>
      <c r="I13" s="237">
        <f t="shared" si="9"/>
        <v>0</v>
      </c>
      <c r="J13" s="237">
        <f t="shared" si="9"/>
        <v>0</v>
      </c>
      <c r="K13" s="237"/>
      <c r="L13" s="89">
        <f>+H13/D13</f>
        <v>0.46290227596017069</v>
      </c>
      <c r="M13" s="89" t="e">
        <f>+I13/E13</f>
        <v>#DIV/0!</v>
      </c>
      <c r="N13" s="89" t="e">
        <f>+J13/F13</f>
        <v>#DIV/0!</v>
      </c>
      <c r="O13" s="237"/>
      <c r="P13" s="237">
        <f t="shared" ref="P13:P22" si="10">+(D13-C13)*P$10</f>
        <v>0</v>
      </c>
      <c r="Q13" s="237">
        <f t="shared" ref="Q13:Q22" si="11">+(E13-D13)*Q$10</f>
        <v>-14060000</v>
      </c>
      <c r="R13" s="237">
        <f t="shared" ref="R13:R22" si="12">+(F13-E13)*R$10</f>
        <v>0</v>
      </c>
      <c r="S13" s="237">
        <f>SUM(P13:R13)</f>
        <v>-14060000</v>
      </c>
      <c r="T13" s="304">
        <f>IF(C13=0,0,+S13/C13)</f>
        <v>-1</v>
      </c>
      <c r="U13" s="126"/>
      <c r="V13" s="208">
        <f>+S13-E13+C13</f>
        <v>0</v>
      </c>
    </row>
    <row r="14" spans="1:26" ht="12.75" customHeight="1" x14ac:dyDescent="0.2">
      <c r="A14" s="14" t="s">
        <v>1</v>
      </c>
      <c r="B14" s="20"/>
      <c r="C14" s="242"/>
      <c r="D14" s="242"/>
      <c r="E14" s="242"/>
      <c r="F14" s="242"/>
      <c r="G14" s="242"/>
      <c r="H14" s="242"/>
      <c r="I14" s="242"/>
      <c r="J14" s="242"/>
      <c r="K14" s="242"/>
      <c r="L14" s="142"/>
      <c r="M14" s="142"/>
      <c r="N14" s="142"/>
      <c r="O14" s="242"/>
      <c r="P14" s="328">
        <f t="shared" si="10"/>
        <v>0</v>
      </c>
      <c r="Q14" s="328">
        <f t="shared" si="11"/>
        <v>0</v>
      </c>
      <c r="R14" s="328">
        <f t="shared" si="12"/>
        <v>0</v>
      </c>
      <c r="S14" s="328">
        <f>SUM(P14:R14)</f>
        <v>0</v>
      </c>
      <c r="T14" s="304">
        <f>IF(C14=0,0,+S14/C14)</f>
        <v>0</v>
      </c>
      <c r="U14" s="126"/>
      <c r="V14" s="208">
        <f>+S14-E14+C14</f>
        <v>0</v>
      </c>
    </row>
    <row r="15" spans="1:26" ht="12.75" customHeight="1" x14ac:dyDescent="0.2">
      <c r="A15" s="14" t="s">
        <v>2</v>
      </c>
      <c r="B15" s="513" t="s">
        <v>362</v>
      </c>
      <c r="C15" s="242">
        <v>13038000</v>
      </c>
      <c r="D15" s="242">
        <v>13038000</v>
      </c>
      <c r="E15" s="242">
        <v>0</v>
      </c>
      <c r="F15" s="242"/>
      <c r="G15" s="242"/>
      <c r="H15" s="242">
        <v>6186268</v>
      </c>
      <c r="I15" s="242">
        <v>0</v>
      </c>
      <c r="J15" s="242"/>
      <c r="K15" s="242"/>
      <c r="L15" s="143">
        <f>+H15/D15</f>
        <v>0.47447982819450835</v>
      </c>
      <c r="M15" s="143" t="e">
        <f>+I15/E15</f>
        <v>#DIV/0!</v>
      </c>
      <c r="N15" s="143" t="e">
        <f>+J15/F15</f>
        <v>#DIV/0!</v>
      </c>
      <c r="O15" s="242"/>
    </row>
    <row r="16" spans="1:26" ht="12.75" customHeight="1" x14ac:dyDescent="0.2">
      <c r="A16" s="14" t="s">
        <v>12</v>
      </c>
      <c r="B16" s="20" t="s">
        <v>4</v>
      </c>
      <c r="C16" s="242"/>
      <c r="D16" s="242"/>
      <c r="E16" s="242"/>
      <c r="F16" s="242"/>
      <c r="G16" s="242"/>
      <c r="H16" s="242"/>
      <c r="I16" s="242"/>
      <c r="J16" s="242"/>
      <c r="K16" s="242"/>
      <c r="L16" s="142"/>
      <c r="M16" s="142"/>
      <c r="N16" s="142"/>
      <c r="O16" s="242"/>
      <c r="P16" s="328">
        <f t="shared" si="10"/>
        <v>0</v>
      </c>
      <c r="Q16" s="328">
        <f t="shared" si="11"/>
        <v>0</v>
      </c>
      <c r="R16" s="328">
        <f t="shared" si="12"/>
        <v>0</v>
      </c>
      <c r="S16" s="328">
        <f t="shared" ref="S16:S22" si="13">SUM(P16:R16)</f>
        <v>0</v>
      </c>
      <c r="T16" s="304">
        <f t="shared" ref="T16:T47" si="14">IF(C16=0,0,+S16/C16)</f>
        <v>0</v>
      </c>
      <c r="U16" s="126"/>
      <c r="V16" s="208">
        <f t="shared" ref="V16:V47" si="15">+S16-E16+C16</f>
        <v>0</v>
      </c>
    </row>
    <row r="17" spans="1:22" ht="12.75" customHeight="1" x14ac:dyDescent="0.2">
      <c r="A17" s="14" t="s">
        <v>13</v>
      </c>
      <c r="B17" s="20" t="s">
        <v>5</v>
      </c>
      <c r="C17" s="242"/>
      <c r="D17" s="242"/>
      <c r="E17" s="242"/>
      <c r="F17" s="242"/>
      <c r="G17" s="242"/>
      <c r="H17" s="242"/>
      <c r="I17" s="242"/>
      <c r="J17" s="242"/>
      <c r="K17" s="242"/>
      <c r="L17" s="142"/>
      <c r="M17" s="142"/>
      <c r="N17" s="142"/>
      <c r="O17" s="242"/>
      <c r="P17" s="328">
        <f t="shared" si="10"/>
        <v>0</v>
      </c>
      <c r="Q17" s="328">
        <f t="shared" si="11"/>
        <v>0</v>
      </c>
      <c r="R17" s="328">
        <f t="shared" si="12"/>
        <v>0</v>
      </c>
      <c r="S17" s="328">
        <f t="shared" si="13"/>
        <v>0</v>
      </c>
      <c r="T17" s="304">
        <f t="shared" si="14"/>
        <v>0</v>
      </c>
      <c r="U17" s="126"/>
      <c r="V17" s="208">
        <f t="shared" si="15"/>
        <v>0</v>
      </c>
    </row>
    <row r="18" spans="1:22" ht="12.75" customHeight="1" x14ac:dyDescent="0.2">
      <c r="A18" s="560" t="s">
        <v>386</v>
      </c>
      <c r="B18" s="20" t="s">
        <v>6</v>
      </c>
      <c r="C18" s="242">
        <v>380000</v>
      </c>
      <c r="D18" s="242">
        <v>380000</v>
      </c>
      <c r="E18" s="242"/>
      <c r="F18" s="242"/>
      <c r="G18" s="242"/>
      <c r="H18" s="242">
        <v>0</v>
      </c>
      <c r="I18" s="242"/>
      <c r="J18" s="242"/>
      <c r="K18" s="242"/>
      <c r="L18" s="142"/>
      <c r="M18" s="142"/>
      <c r="N18" s="142"/>
      <c r="O18" s="242"/>
      <c r="P18" s="328">
        <f t="shared" si="10"/>
        <v>0</v>
      </c>
      <c r="Q18" s="328">
        <f t="shared" si="11"/>
        <v>-380000</v>
      </c>
      <c r="R18" s="328">
        <f t="shared" si="12"/>
        <v>0</v>
      </c>
      <c r="S18" s="328">
        <f t="shared" si="13"/>
        <v>-380000</v>
      </c>
      <c r="T18" s="304">
        <f t="shared" si="14"/>
        <v>-1</v>
      </c>
      <c r="U18" s="126"/>
      <c r="V18" s="208">
        <f t="shared" si="15"/>
        <v>0</v>
      </c>
    </row>
    <row r="19" spans="1:22" ht="12.75" customHeight="1" x14ac:dyDescent="0.2">
      <c r="A19" s="14" t="s">
        <v>14</v>
      </c>
      <c r="B19" s="20" t="s">
        <v>7</v>
      </c>
      <c r="C19" s="561">
        <f>5000*12*5-5000</f>
        <v>295000</v>
      </c>
      <c r="D19" s="242">
        <v>295000</v>
      </c>
      <c r="E19" s="242">
        <v>0</v>
      </c>
      <c r="F19" s="242"/>
      <c r="G19" s="242"/>
      <c r="H19" s="242">
        <v>150000</v>
      </c>
      <c r="I19" s="242">
        <v>0</v>
      </c>
      <c r="J19" s="242"/>
      <c r="K19" s="242"/>
      <c r="L19" s="143">
        <f>+H19/D19</f>
        <v>0.50847457627118642</v>
      </c>
      <c r="M19" s="143" t="e">
        <f>+I19/E19</f>
        <v>#DIV/0!</v>
      </c>
      <c r="N19" s="143" t="e">
        <f>+J19/F19</f>
        <v>#DIV/0!</v>
      </c>
      <c r="O19" s="242"/>
      <c r="P19" s="328">
        <f t="shared" si="10"/>
        <v>0</v>
      </c>
      <c r="Q19" s="328">
        <f t="shared" si="11"/>
        <v>-295000</v>
      </c>
      <c r="R19" s="328">
        <f t="shared" si="12"/>
        <v>0</v>
      </c>
      <c r="S19" s="328">
        <f t="shared" si="13"/>
        <v>-295000</v>
      </c>
      <c r="T19" s="304">
        <f t="shared" si="14"/>
        <v>-1</v>
      </c>
      <c r="U19" s="126"/>
      <c r="V19" s="208">
        <f t="shared" si="15"/>
        <v>0</v>
      </c>
    </row>
    <row r="20" spans="1:22" ht="12.75" customHeight="1" x14ac:dyDescent="0.2">
      <c r="A20" s="14" t="s">
        <v>15</v>
      </c>
      <c r="B20" s="20" t="s">
        <v>8</v>
      </c>
      <c r="C20" s="242"/>
      <c r="D20" s="242"/>
      <c r="E20" s="242"/>
      <c r="F20" s="242"/>
      <c r="G20" s="242"/>
      <c r="H20" s="242"/>
      <c r="I20" s="242"/>
      <c r="J20" s="242"/>
      <c r="K20" s="242"/>
      <c r="L20" s="142"/>
      <c r="M20" s="142"/>
      <c r="N20" s="142"/>
      <c r="O20" s="242"/>
      <c r="P20" s="328">
        <f t="shared" si="10"/>
        <v>0</v>
      </c>
      <c r="Q20" s="328">
        <f t="shared" si="11"/>
        <v>0</v>
      </c>
      <c r="R20" s="328">
        <f t="shared" si="12"/>
        <v>0</v>
      </c>
      <c r="S20" s="328">
        <f t="shared" si="13"/>
        <v>0</v>
      </c>
      <c r="T20" s="304">
        <f t="shared" si="14"/>
        <v>0</v>
      </c>
      <c r="U20" s="126"/>
      <c r="V20" s="208">
        <f t="shared" si="15"/>
        <v>0</v>
      </c>
    </row>
    <row r="21" spans="1:22" ht="12.75" customHeight="1" x14ac:dyDescent="0.2">
      <c r="A21" s="14" t="s">
        <v>16</v>
      </c>
      <c r="B21" s="20" t="s">
        <v>9</v>
      </c>
      <c r="C21" s="242">
        <v>147000</v>
      </c>
      <c r="D21" s="242">
        <v>147000</v>
      </c>
      <c r="E21" s="242">
        <v>0</v>
      </c>
      <c r="F21" s="242"/>
      <c r="G21" s="242"/>
      <c r="H21" s="242">
        <v>61060</v>
      </c>
      <c r="I21" s="242">
        <v>0</v>
      </c>
      <c r="J21" s="242"/>
      <c r="K21" s="242"/>
      <c r="L21" s="143">
        <f>+H21/D21</f>
        <v>0.41537414965986397</v>
      </c>
      <c r="M21" s="143" t="e">
        <f>+I21/E21</f>
        <v>#DIV/0!</v>
      </c>
      <c r="N21" s="143" t="e">
        <f>+J21/F21</f>
        <v>#DIV/0!</v>
      </c>
      <c r="O21" s="242"/>
      <c r="P21" s="328">
        <f t="shared" si="10"/>
        <v>0</v>
      </c>
      <c r="Q21" s="328">
        <f t="shared" si="11"/>
        <v>-147000</v>
      </c>
      <c r="R21" s="328">
        <f t="shared" si="12"/>
        <v>0</v>
      </c>
      <c r="S21" s="328">
        <f t="shared" si="13"/>
        <v>-147000</v>
      </c>
      <c r="T21" s="304">
        <f t="shared" si="14"/>
        <v>-1</v>
      </c>
      <c r="U21" s="126"/>
      <c r="V21" s="208">
        <f t="shared" si="15"/>
        <v>0</v>
      </c>
    </row>
    <row r="22" spans="1:22" ht="12.75" customHeight="1" x14ac:dyDescent="0.2">
      <c r="A22" s="14" t="s">
        <v>17</v>
      </c>
      <c r="B22" s="20" t="s">
        <v>10</v>
      </c>
      <c r="C22" s="242"/>
      <c r="D22" s="242"/>
      <c r="E22" s="242"/>
      <c r="F22" s="242"/>
      <c r="G22" s="242"/>
      <c r="H22" s="242"/>
      <c r="I22" s="242"/>
      <c r="J22" s="242"/>
      <c r="K22" s="242"/>
      <c r="L22" s="142"/>
      <c r="M22" s="142"/>
      <c r="N22" s="142"/>
      <c r="O22" s="242"/>
      <c r="P22" s="328">
        <f t="shared" si="10"/>
        <v>0</v>
      </c>
      <c r="Q22" s="328">
        <f t="shared" si="11"/>
        <v>0</v>
      </c>
      <c r="R22" s="328">
        <f t="shared" si="12"/>
        <v>0</v>
      </c>
      <c r="S22" s="328">
        <f t="shared" si="13"/>
        <v>0</v>
      </c>
      <c r="T22" s="304">
        <f t="shared" si="14"/>
        <v>0</v>
      </c>
      <c r="U22" s="126"/>
      <c r="V22" s="208">
        <f t="shared" si="15"/>
        <v>0</v>
      </c>
    </row>
    <row r="23" spans="1:22" ht="12.75" customHeight="1" x14ac:dyDescent="0.2">
      <c r="A23" s="14" t="s">
        <v>18</v>
      </c>
      <c r="B23" s="20" t="s">
        <v>11</v>
      </c>
      <c r="C23" s="242">
        <v>200000</v>
      </c>
      <c r="D23" s="242">
        <v>200000</v>
      </c>
      <c r="E23" s="242">
        <v>0</v>
      </c>
      <c r="F23" s="242"/>
      <c r="G23" s="242"/>
      <c r="H23" s="242">
        <v>111078</v>
      </c>
      <c r="I23" s="242">
        <v>0</v>
      </c>
      <c r="J23" s="242"/>
      <c r="K23" s="242"/>
      <c r="L23" s="143">
        <f>+H23/D23</f>
        <v>0.55539000000000005</v>
      </c>
      <c r="M23" s="143" t="e">
        <f>+I23/E23</f>
        <v>#DIV/0!</v>
      </c>
      <c r="N23" s="143" t="e">
        <f>+J23/F23</f>
        <v>#DIV/0!</v>
      </c>
      <c r="O23" s="242"/>
      <c r="P23" s="328">
        <f t="shared" ref="P23:P67" si="16">+(D23-C23)*P$10</f>
        <v>0</v>
      </c>
      <c r="Q23" s="328">
        <f t="shared" ref="Q23:Q67" si="17">+(E23-D23)*Q$10</f>
        <v>-200000</v>
      </c>
      <c r="R23" s="328">
        <f t="shared" ref="R23:R67" si="18">+(F23-E23)*R$10</f>
        <v>0</v>
      </c>
      <c r="S23" s="328">
        <f t="shared" ref="S23" si="19">SUM(P23:R23)</f>
        <v>-200000</v>
      </c>
      <c r="T23" s="304">
        <f t="shared" si="14"/>
        <v>-1</v>
      </c>
      <c r="U23" s="126"/>
      <c r="V23" s="208">
        <f t="shared" si="15"/>
        <v>0</v>
      </c>
    </row>
    <row r="24" spans="1:22" ht="12.75" customHeight="1" x14ac:dyDescent="0.2">
      <c r="A24" s="14" t="s">
        <v>19</v>
      </c>
      <c r="B24" s="20"/>
      <c r="C24" s="242"/>
      <c r="D24" s="242"/>
      <c r="E24" s="242"/>
      <c r="F24" s="242"/>
      <c r="G24" s="242"/>
      <c r="H24" s="242"/>
      <c r="I24" s="242"/>
      <c r="J24" s="242"/>
      <c r="K24" s="242"/>
      <c r="L24" s="142"/>
      <c r="M24" s="142"/>
      <c r="N24" s="142"/>
      <c r="O24" s="242"/>
      <c r="P24" s="328">
        <f t="shared" si="16"/>
        <v>0</v>
      </c>
      <c r="Q24" s="328">
        <f t="shared" si="17"/>
        <v>0</v>
      </c>
      <c r="R24" s="328">
        <f t="shared" si="18"/>
        <v>0</v>
      </c>
      <c r="S24" s="328">
        <f t="shared" ref="S24:S95" si="20">SUM(P24:R24)</f>
        <v>0</v>
      </c>
      <c r="T24" s="304">
        <f t="shared" si="14"/>
        <v>0</v>
      </c>
      <c r="U24" s="126"/>
      <c r="V24" s="208">
        <f t="shared" si="15"/>
        <v>0</v>
      </c>
    </row>
    <row r="25" spans="1:22" ht="12.75" customHeight="1" x14ac:dyDescent="0.2">
      <c r="A25" s="14" t="s">
        <v>20</v>
      </c>
      <c r="B25" s="513" t="s">
        <v>480</v>
      </c>
      <c r="C25" s="242"/>
      <c r="D25" s="242"/>
      <c r="E25" s="242"/>
      <c r="F25" s="242"/>
      <c r="G25" s="242"/>
      <c r="H25" s="242"/>
      <c r="I25" s="242"/>
      <c r="J25" s="242"/>
      <c r="K25" s="242"/>
      <c r="L25" s="142"/>
      <c r="M25" s="142"/>
      <c r="N25" s="142"/>
      <c r="O25" s="242"/>
      <c r="P25" s="328">
        <f t="shared" si="16"/>
        <v>0</v>
      </c>
      <c r="Q25" s="328">
        <f t="shared" si="17"/>
        <v>0</v>
      </c>
      <c r="R25" s="328">
        <f t="shared" si="18"/>
        <v>0</v>
      </c>
      <c r="S25" s="328">
        <f t="shared" si="20"/>
        <v>0</v>
      </c>
      <c r="T25" s="304">
        <f t="shared" si="14"/>
        <v>0</v>
      </c>
      <c r="U25" s="126"/>
      <c r="V25" s="208">
        <f t="shared" si="15"/>
        <v>0</v>
      </c>
    </row>
    <row r="26" spans="1:22" ht="12.75" customHeight="1" x14ac:dyDescent="0.2">
      <c r="A26" s="14" t="s">
        <v>22</v>
      </c>
      <c r="B26" s="20" t="s">
        <v>23</v>
      </c>
      <c r="C26" s="242"/>
      <c r="D26" s="242"/>
      <c r="E26" s="242"/>
      <c r="F26" s="242"/>
      <c r="G26" s="242"/>
      <c r="H26" s="242"/>
      <c r="I26" s="242"/>
      <c r="J26" s="242"/>
      <c r="K26" s="242"/>
      <c r="L26" s="142"/>
      <c r="M26" s="142"/>
      <c r="N26" s="142"/>
      <c r="O26" s="242"/>
      <c r="P26" s="328">
        <f t="shared" si="16"/>
        <v>0</v>
      </c>
      <c r="Q26" s="328">
        <f t="shared" si="17"/>
        <v>0</v>
      </c>
      <c r="R26" s="328">
        <f t="shared" si="18"/>
        <v>0</v>
      </c>
      <c r="S26" s="328">
        <f t="shared" si="20"/>
        <v>0</v>
      </c>
      <c r="T26" s="304">
        <f t="shared" si="14"/>
        <v>0</v>
      </c>
      <c r="U26" s="126"/>
      <c r="V26" s="208">
        <f t="shared" si="15"/>
        <v>0</v>
      </c>
    </row>
    <row r="27" spans="1:22" ht="12.75" customHeight="1" x14ac:dyDescent="0.2">
      <c r="A27" s="14" t="s">
        <v>24</v>
      </c>
      <c r="B27" s="20" t="s">
        <v>25</v>
      </c>
      <c r="C27" s="242"/>
      <c r="D27" s="242">
        <v>0</v>
      </c>
      <c r="E27" s="242">
        <v>0</v>
      </c>
      <c r="F27" s="242"/>
      <c r="G27" s="242"/>
      <c r="H27" s="242">
        <v>0</v>
      </c>
      <c r="I27" s="242">
        <v>0</v>
      </c>
      <c r="J27" s="242"/>
      <c r="K27" s="242"/>
      <c r="L27" s="142"/>
      <c r="M27" s="142"/>
      <c r="N27" s="142"/>
      <c r="O27" s="242"/>
      <c r="P27" s="328">
        <f t="shared" si="16"/>
        <v>0</v>
      </c>
      <c r="Q27" s="328">
        <f t="shared" si="17"/>
        <v>0</v>
      </c>
      <c r="R27" s="328">
        <f t="shared" si="18"/>
        <v>0</v>
      </c>
      <c r="S27" s="328">
        <f t="shared" si="20"/>
        <v>0</v>
      </c>
      <c r="T27" s="304">
        <f t="shared" si="14"/>
        <v>0</v>
      </c>
      <c r="U27" s="126"/>
      <c r="V27" s="208">
        <f t="shared" si="15"/>
        <v>0</v>
      </c>
    </row>
    <row r="28" spans="1:22" ht="12.75" customHeight="1" x14ac:dyDescent="0.2">
      <c r="A28" s="14"/>
      <c r="B28" s="14"/>
      <c r="C28" s="242"/>
      <c r="D28" s="242"/>
      <c r="E28" s="242"/>
      <c r="F28" s="242"/>
      <c r="G28" s="242"/>
      <c r="H28" s="242"/>
      <c r="I28" s="242"/>
      <c r="J28" s="242"/>
      <c r="K28" s="242"/>
      <c r="L28" s="161"/>
      <c r="M28" s="161"/>
      <c r="N28" s="161"/>
      <c r="O28" s="242"/>
      <c r="P28" s="328">
        <f t="shared" si="16"/>
        <v>0</v>
      </c>
      <c r="Q28" s="328">
        <f t="shared" si="17"/>
        <v>0</v>
      </c>
      <c r="R28" s="328">
        <f t="shared" si="18"/>
        <v>0</v>
      </c>
      <c r="S28" s="328">
        <f t="shared" si="20"/>
        <v>0</v>
      </c>
      <c r="T28" s="304">
        <f t="shared" si="14"/>
        <v>0</v>
      </c>
      <c r="U28" s="126"/>
      <c r="V28" s="208">
        <f t="shared" si="15"/>
        <v>0</v>
      </c>
    </row>
    <row r="29" spans="1:22" ht="12.75" customHeight="1" x14ac:dyDescent="0.2">
      <c r="A29" s="7" t="s">
        <v>26</v>
      </c>
      <c r="B29" s="5" t="s">
        <v>27</v>
      </c>
      <c r="C29" s="237">
        <f>SUM(C30:C31)</f>
        <v>3122000</v>
      </c>
      <c r="D29" s="237">
        <f t="shared" ref="D29:J29" si="21">SUM(D30:D31)</f>
        <v>3122000</v>
      </c>
      <c r="E29" s="237">
        <f t="shared" si="21"/>
        <v>0</v>
      </c>
      <c r="F29" s="237">
        <f t="shared" si="21"/>
        <v>0</v>
      </c>
      <c r="G29" s="237"/>
      <c r="H29" s="237">
        <f t="shared" si="21"/>
        <v>1584849</v>
      </c>
      <c r="I29" s="237">
        <f t="shared" si="21"/>
        <v>0</v>
      </c>
      <c r="J29" s="237">
        <f t="shared" si="21"/>
        <v>0</v>
      </c>
      <c r="K29" s="237"/>
      <c r="L29" s="89">
        <f t="shared" ref="L29:N30" si="22">+H29/D29</f>
        <v>0.50763901345291484</v>
      </c>
      <c r="M29" s="89" t="e">
        <f t="shared" si="22"/>
        <v>#DIV/0!</v>
      </c>
      <c r="N29" s="89" t="e">
        <f t="shared" si="22"/>
        <v>#DIV/0!</v>
      </c>
      <c r="O29" s="237"/>
      <c r="P29" s="237">
        <f t="shared" si="16"/>
        <v>0</v>
      </c>
      <c r="Q29" s="237">
        <f t="shared" si="17"/>
        <v>-3122000</v>
      </c>
      <c r="R29" s="237">
        <f t="shared" si="18"/>
        <v>0</v>
      </c>
      <c r="S29" s="237">
        <f t="shared" si="20"/>
        <v>-3122000</v>
      </c>
      <c r="T29" s="304">
        <f t="shared" si="14"/>
        <v>-1</v>
      </c>
      <c r="U29" s="126"/>
      <c r="V29" s="208">
        <f t="shared" si="15"/>
        <v>0</v>
      </c>
    </row>
    <row r="30" spans="1:22" ht="12.75" customHeight="1" x14ac:dyDescent="0.2">
      <c r="A30" s="14"/>
      <c r="B30" s="20" t="s">
        <v>28</v>
      </c>
      <c r="C30" s="242">
        <v>3122000</v>
      </c>
      <c r="D30" s="242">
        <v>3122000</v>
      </c>
      <c r="E30" s="242">
        <v>0</v>
      </c>
      <c r="F30" s="242"/>
      <c r="G30" s="242"/>
      <c r="H30" s="242">
        <v>1584849</v>
      </c>
      <c r="I30" s="242">
        <v>0</v>
      </c>
      <c r="J30" s="242"/>
      <c r="K30" s="242"/>
      <c r="L30" s="143">
        <f t="shared" si="22"/>
        <v>0.50763901345291484</v>
      </c>
      <c r="M30" s="143" t="e">
        <f t="shared" si="22"/>
        <v>#DIV/0!</v>
      </c>
      <c r="N30" s="143" t="e">
        <f t="shared" si="22"/>
        <v>#DIV/0!</v>
      </c>
      <c r="O30" s="242"/>
      <c r="P30" s="328">
        <f t="shared" si="16"/>
        <v>0</v>
      </c>
      <c r="Q30" s="328">
        <f t="shared" si="17"/>
        <v>-3122000</v>
      </c>
      <c r="R30" s="328">
        <f t="shared" si="18"/>
        <v>0</v>
      </c>
      <c r="S30" s="328">
        <f t="shared" si="20"/>
        <v>-3122000</v>
      </c>
      <c r="T30" s="304">
        <f t="shared" si="14"/>
        <v>-1</v>
      </c>
      <c r="U30" s="126"/>
      <c r="V30" s="208">
        <f t="shared" si="15"/>
        <v>0</v>
      </c>
    </row>
    <row r="31" spans="1:22" ht="12.75" customHeight="1" x14ac:dyDescent="0.2">
      <c r="A31" s="14"/>
      <c r="B31" s="14"/>
      <c r="C31" s="242"/>
      <c r="D31" s="242"/>
      <c r="E31" s="242"/>
      <c r="F31" s="242"/>
      <c r="G31" s="242"/>
      <c r="H31" s="242"/>
      <c r="I31" s="242"/>
      <c r="J31" s="242"/>
      <c r="K31" s="242"/>
      <c r="L31" s="161"/>
      <c r="M31" s="161"/>
      <c r="N31" s="161"/>
      <c r="O31" s="242"/>
      <c r="P31" s="328">
        <f t="shared" si="16"/>
        <v>0</v>
      </c>
      <c r="Q31" s="328">
        <f t="shared" si="17"/>
        <v>0</v>
      </c>
      <c r="R31" s="328">
        <f t="shared" si="18"/>
        <v>0</v>
      </c>
      <c r="S31" s="328">
        <f t="shared" si="20"/>
        <v>0</v>
      </c>
      <c r="T31" s="304">
        <f t="shared" si="14"/>
        <v>0</v>
      </c>
      <c r="U31" s="126"/>
      <c r="V31" s="208">
        <f t="shared" si="15"/>
        <v>0</v>
      </c>
    </row>
    <row r="32" spans="1:22" ht="12.75" customHeight="1" x14ac:dyDescent="0.2">
      <c r="A32" s="7" t="s">
        <v>29</v>
      </c>
      <c r="B32" s="5" t="s">
        <v>30</v>
      </c>
      <c r="C32" s="237">
        <f>+C33+C48+C66+C71</f>
        <v>13613000</v>
      </c>
      <c r="D32" s="237">
        <f>+D33+D48+D66+D71</f>
        <v>15199000</v>
      </c>
      <c r="E32" s="237">
        <f>+E33+E41+E48+E66+E71</f>
        <v>0</v>
      </c>
      <c r="F32" s="237">
        <f t="shared" ref="F32:J32" si="23">+F33+F48+F66+F71</f>
        <v>0</v>
      </c>
      <c r="G32" s="237"/>
      <c r="H32" s="237">
        <f t="shared" si="23"/>
        <v>6129626</v>
      </c>
      <c r="I32" s="237">
        <f>+I33+I41+I48+I66+I71</f>
        <v>0</v>
      </c>
      <c r="J32" s="237">
        <f t="shared" si="23"/>
        <v>0</v>
      </c>
      <c r="K32" s="237"/>
      <c r="L32" s="89">
        <f>+H32/D32</f>
        <v>0.40329140075004932</v>
      </c>
      <c r="M32" s="89" t="e">
        <f>+I32/E32</f>
        <v>#DIV/0!</v>
      </c>
      <c r="N32" s="89" t="e">
        <f>+J32/F32</f>
        <v>#DIV/0!</v>
      </c>
      <c r="O32" s="237"/>
      <c r="P32" s="237">
        <f t="shared" si="16"/>
        <v>1586000</v>
      </c>
      <c r="Q32" s="237">
        <f t="shared" si="17"/>
        <v>-15199000</v>
      </c>
      <c r="R32" s="237">
        <f t="shared" si="18"/>
        <v>0</v>
      </c>
      <c r="S32" s="237">
        <f t="shared" si="20"/>
        <v>-13613000</v>
      </c>
      <c r="T32" s="304">
        <f t="shared" si="14"/>
        <v>-1</v>
      </c>
      <c r="U32" s="126"/>
      <c r="V32" s="208">
        <f t="shared" si="15"/>
        <v>0</v>
      </c>
    </row>
    <row r="33" spans="1:22" ht="12.75" customHeight="1" x14ac:dyDescent="0.2">
      <c r="A33" s="39" t="s">
        <v>31</v>
      </c>
      <c r="B33" s="40" t="s">
        <v>32</v>
      </c>
      <c r="C33" s="301">
        <f>SUM(C34:C40)</f>
        <v>3590000</v>
      </c>
      <c r="D33" s="301">
        <f t="shared" ref="D33:J33" si="24">SUM(D34:D40)</f>
        <v>3590000</v>
      </c>
      <c r="E33" s="301">
        <f t="shared" si="24"/>
        <v>0</v>
      </c>
      <c r="F33" s="301">
        <f t="shared" si="24"/>
        <v>0</v>
      </c>
      <c r="G33" s="301"/>
      <c r="H33" s="301">
        <f t="shared" si="24"/>
        <v>1144085</v>
      </c>
      <c r="I33" s="301">
        <f t="shared" si="24"/>
        <v>0</v>
      </c>
      <c r="J33" s="301">
        <f t="shared" si="24"/>
        <v>0</v>
      </c>
      <c r="K33" s="242"/>
      <c r="L33" s="161"/>
      <c r="M33" s="161"/>
      <c r="N33" s="161"/>
      <c r="O33" s="242"/>
      <c r="P33" s="242">
        <f t="shared" si="16"/>
        <v>0</v>
      </c>
      <c r="Q33" s="242">
        <f t="shared" si="17"/>
        <v>-3590000</v>
      </c>
      <c r="R33" s="242">
        <f t="shared" si="18"/>
        <v>0</v>
      </c>
      <c r="S33" s="242">
        <f t="shared" si="20"/>
        <v>-3590000</v>
      </c>
      <c r="T33" s="304">
        <f t="shared" si="14"/>
        <v>-1</v>
      </c>
      <c r="U33" s="126"/>
      <c r="V33" s="208">
        <f t="shared" si="15"/>
        <v>0</v>
      </c>
    </row>
    <row r="34" spans="1:22" ht="12.75" customHeight="1" x14ac:dyDescent="0.2">
      <c r="A34" s="14" t="s">
        <v>33</v>
      </c>
      <c r="B34" s="20" t="s">
        <v>35</v>
      </c>
      <c r="C34" s="242">
        <v>1490000</v>
      </c>
      <c r="D34" s="242">
        <v>1490000</v>
      </c>
      <c r="E34" s="242">
        <v>0</v>
      </c>
      <c r="F34" s="242"/>
      <c r="G34" s="242"/>
      <c r="H34" s="242">
        <v>147648</v>
      </c>
      <c r="I34" s="242">
        <v>0</v>
      </c>
      <c r="J34" s="242"/>
      <c r="K34" s="242"/>
      <c r="L34" s="143">
        <f>+H34/D34</f>
        <v>9.9092617449664425E-2</v>
      </c>
      <c r="M34" s="143" t="e">
        <f>+I34/E34</f>
        <v>#DIV/0!</v>
      </c>
      <c r="N34" s="143" t="e">
        <f>+J34/F34</f>
        <v>#DIV/0!</v>
      </c>
      <c r="O34" s="242"/>
      <c r="P34" s="328">
        <f t="shared" si="16"/>
        <v>0</v>
      </c>
      <c r="Q34" s="328">
        <f t="shared" si="17"/>
        <v>-1490000</v>
      </c>
      <c r="R34" s="328">
        <f t="shared" si="18"/>
        <v>0</v>
      </c>
      <c r="S34" s="328">
        <f t="shared" si="20"/>
        <v>-1490000</v>
      </c>
      <c r="T34" s="304">
        <f t="shared" si="14"/>
        <v>-1</v>
      </c>
      <c r="U34" s="126"/>
      <c r="V34" s="208">
        <f t="shared" si="15"/>
        <v>0</v>
      </c>
    </row>
    <row r="35" spans="1:22" ht="15.75" customHeight="1" x14ac:dyDescent="0.2">
      <c r="A35" s="14"/>
      <c r="B35" s="20" t="s">
        <v>89</v>
      </c>
      <c r="C35" s="242"/>
      <c r="D35" s="242"/>
      <c r="E35" s="242"/>
      <c r="F35" s="242"/>
      <c r="G35" s="242"/>
      <c r="H35" s="242"/>
      <c r="I35" s="242"/>
      <c r="J35" s="242"/>
      <c r="K35" s="242"/>
      <c r="L35" s="143"/>
      <c r="M35" s="143"/>
      <c r="N35" s="143"/>
      <c r="O35" s="242"/>
      <c r="P35" s="242">
        <f t="shared" si="16"/>
        <v>0</v>
      </c>
      <c r="Q35" s="242">
        <f t="shared" si="17"/>
        <v>0</v>
      </c>
      <c r="R35" s="242">
        <f t="shared" si="18"/>
        <v>0</v>
      </c>
      <c r="S35" s="242">
        <f t="shared" si="20"/>
        <v>0</v>
      </c>
      <c r="T35" s="304">
        <f t="shared" si="14"/>
        <v>0</v>
      </c>
      <c r="U35" s="126"/>
      <c r="V35" s="208">
        <f t="shared" si="15"/>
        <v>0</v>
      </c>
    </row>
    <row r="36" spans="1:22" ht="12.75" customHeight="1" x14ac:dyDescent="0.2">
      <c r="A36" s="14" t="s">
        <v>34</v>
      </c>
      <c r="B36" s="20" t="s">
        <v>36</v>
      </c>
      <c r="C36" s="242">
        <v>2100000</v>
      </c>
      <c r="D36" s="242">
        <v>2100000</v>
      </c>
      <c r="E36" s="242">
        <v>0</v>
      </c>
      <c r="F36" s="242"/>
      <c r="G36" s="242"/>
      <c r="H36" s="242">
        <v>996437</v>
      </c>
      <c r="I36" s="242">
        <v>0</v>
      </c>
      <c r="J36" s="242"/>
      <c r="K36" s="242"/>
      <c r="L36" s="143">
        <f>+H36/D36</f>
        <v>0.47449380952380954</v>
      </c>
      <c r="M36" s="143" t="e">
        <f>+I36/E36</f>
        <v>#DIV/0!</v>
      </c>
      <c r="N36" s="143" t="e">
        <f>+J36/F36</f>
        <v>#DIV/0!</v>
      </c>
      <c r="O36" s="242"/>
      <c r="P36" s="328">
        <f t="shared" si="16"/>
        <v>0</v>
      </c>
      <c r="Q36" s="328">
        <f t="shared" si="17"/>
        <v>-2100000</v>
      </c>
      <c r="R36" s="328">
        <f t="shared" si="18"/>
        <v>0</v>
      </c>
      <c r="S36" s="328">
        <f t="shared" si="20"/>
        <v>-2100000</v>
      </c>
      <c r="T36" s="304">
        <f t="shared" si="14"/>
        <v>-1</v>
      </c>
      <c r="U36" s="126"/>
      <c r="V36" s="208">
        <f t="shared" si="15"/>
        <v>0</v>
      </c>
    </row>
    <row r="37" spans="1:22" ht="12.75" customHeight="1" x14ac:dyDescent="0.2">
      <c r="A37" s="14"/>
      <c r="B37" s="20" t="s">
        <v>105</v>
      </c>
      <c r="C37" s="242"/>
      <c r="D37" s="242"/>
      <c r="E37" s="242"/>
      <c r="F37" s="242"/>
      <c r="G37" s="242"/>
      <c r="H37" s="242"/>
      <c r="I37" s="242"/>
      <c r="J37" s="242"/>
      <c r="K37" s="242"/>
      <c r="L37" s="143"/>
      <c r="M37" s="143"/>
      <c r="N37" s="143"/>
      <c r="O37" s="242"/>
      <c r="P37" s="242">
        <f t="shared" si="16"/>
        <v>0</v>
      </c>
      <c r="Q37" s="242">
        <f t="shared" si="17"/>
        <v>0</v>
      </c>
      <c r="R37" s="242">
        <f t="shared" si="18"/>
        <v>0</v>
      </c>
      <c r="S37" s="242">
        <f t="shared" si="20"/>
        <v>0</v>
      </c>
      <c r="T37" s="304">
        <f t="shared" si="14"/>
        <v>0</v>
      </c>
      <c r="U37" s="126"/>
      <c r="V37" s="208">
        <f t="shared" si="15"/>
        <v>0</v>
      </c>
    </row>
    <row r="38" spans="1:22" ht="12.75" customHeight="1" x14ac:dyDescent="0.2">
      <c r="A38" s="14"/>
      <c r="B38" s="20" t="s">
        <v>95</v>
      </c>
      <c r="C38" s="242"/>
      <c r="D38" s="242"/>
      <c r="E38" s="242"/>
      <c r="F38" s="242"/>
      <c r="G38" s="242"/>
      <c r="H38" s="242"/>
      <c r="I38" s="242"/>
      <c r="J38" s="242"/>
      <c r="K38" s="242"/>
      <c r="L38" s="143"/>
      <c r="M38" s="143"/>
      <c r="N38" s="143"/>
      <c r="O38" s="242"/>
      <c r="P38" s="242">
        <f t="shared" si="16"/>
        <v>0</v>
      </c>
      <c r="Q38" s="242">
        <f t="shared" si="17"/>
        <v>0</v>
      </c>
      <c r="R38" s="242">
        <f t="shared" si="18"/>
        <v>0</v>
      </c>
      <c r="S38" s="242">
        <f t="shared" si="20"/>
        <v>0</v>
      </c>
      <c r="T38" s="304">
        <f t="shared" si="14"/>
        <v>0</v>
      </c>
      <c r="U38" s="126"/>
      <c r="V38" s="208">
        <f t="shared" si="15"/>
        <v>0</v>
      </c>
    </row>
    <row r="39" spans="1:22" ht="12.75" customHeight="1" x14ac:dyDescent="0.2">
      <c r="A39" s="14"/>
      <c r="B39" s="20" t="s">
        <v>94</v>
      </c>
      <c r="C39" s="242"/>
      <c r="D39" s="242"/>
      <c r="E39" s="242"/>
      <c r="F39" s="242"/>
      <c r="G39" s="242"/>
      <c r="H39" s="242"/>
      <c r="I39" s="242"/>
      <c r="J39" s="242"/>
      <c r="K39" s="242"/>
      <c r="L39" s="143"/>
      <c r="M39" s="143"/>
      <c r="N39" s="143"/>
      <c r="O39" s="242"/>
      <c r="P39" s="242">
        <f t="shared" si="16"/>
        <v>0</v>
      </c>
      <c r="Q39" s="242">
        <f t="shared" si="17"/>
        <v>0</v>
      </c>
      <c r="R39" s="242">
        <f t="shared" si="18"/>
        <v>0</v>
      </c>
      <c r="S39" s="242">
        <f t="shared" si="20"/>
        <v>0</v>
      </c>
      <c r="T39" s="304">
        <f t="shared" si="14"/>
        <v>0</v>
      </c>
      <c r="U39" s="126"/>
      <c r="V39" s="208">
        <f t="shared" si="15"/>
        <v>0</v>
      </c>
    </row>
    <row r="40" spans="1:22" ht="12.75" customHeight="1" x14ac:dyDescent="0.2">
      <c r="A40" s="14"/>
      <c r="B40" s="20" t="s">
        <v>93</v>
      </c>
      <c r="C40" s="242"/>
      <c r="D40" s="242"/>
      <c r="E40" s="242"/>
      <c r="F40" s="242"/>
      <c r="G40" s="242"/>
      <c r="H40" s="242"/>
      <c r="I40" s="242"/>
      <c r="J40" s="242"/>
      <c r="K40" s="242"/>
      <c r="L40" s="143"/>
      <c r="M40" s="143"/>
      <c r="N40" s="143"/>
      <c r="O40" s="242"/>
      <c r="P40" s="242">
        <f t="shared" si="16"/>
        <v>0</v>
      </c>
      <c r="Q40" s="242">
        <f t="shared" si="17"/>
        <v>0</v>
      </c>
      <c r="R40" s="242">
        <f t="shared" si="18"/>
        <v>0</v>
      </c>
      <c r="S40" s="242">
        <f t="shared" si="20"/>
        <v>0</v>
      </c>
      <c r="T40" s="304">
        <f t="shared" si="14"/>
        <v>0</v>
      </c>
      <c r="U40" s="126"/>
      <c r="V40" s="208">
        <f t="shared" si="15"/>
        <v>0</v>
      </c>
    </row>
    <row r="41" spans="1:22" ht="12.75" customHeight="1" x14ac:dyDescent="0.2">
      <c r="A41" s="39" t="s">
        <v>37</v>
      </c>
      <c r="B41" s="40" t="s">
        <v>38</v>
      </c>
      <c r="C41" s="301">
        <f>SUM(C42:C47)</f>
        <v>100000</v>
      </c>
      <c r="D41" s="301">
        <v>90000</v>
      </c>
      <c r="E41" s="301">
        <f t="shared" ref="E41:J41" si="25">SUM(E42:E47)</f>
        <v>0</v>
      </c>
      <c r="F41" s="301">
        <f t="shared" si="25"/>
        <v>0</v>
      </c>
      <c r="G41" s="301"/>
      <c r="H41" s="301">
        <f t="shared" si="25"/>
        <v>0</v>
      </c>
      <c r="I41" s="301">
        <f t="shared" si="25"/>
        <v>0</v>
      </c>
      <c r="J41" s="301">
        <f t="shared" si="25"/>
        <v>0</v>
      </c>
      <c r="K41" s="242"/>
      <c r="L41" s="143"/>
      <c r="M41" s="143"/>
      <c r="N41" s="143"/>
      <c r="O41" s="242"/>
      <c r="P41" s="242">
        <f t="shared" si="16"/>
        <v>-10000</v>
      </c>
      <c r="Q41" s="242">
        <f t="shared" si="17"/>
        <v>-90000</v>
      </c>
      <c r="R41" s="242">
        <f t="shared" si="18"/>
        <v>0</v>
      </c>
      <c r="S41" s="242">
        <f t="shared" si="20"/>
        <v>-100000</v>
      </c>
      <c r="T41" s="304">
        <f t="shared" si="14"/>
        <v>-1</v>
      </c>
      <c r="U41" s="126"/>
      <c r="V41" s="208">
        <f t="shared" si="15"/>
        <v>0</v>
      </c>
    </row>
    <row r="42" spans="1:22" ht="12.75" customHeight="1" x14ac:dyDescent="0.2">
      <c r="A42" s="14" t="s">
        <v>39</v>
      </c>
      <c r="B42" s="20" t="s">
        <v>40</v>
      </c>
      <c r="C42" s="242">
        <v>90000</v>
      </c>
      <c r="D42" s="242"/>
      <c r="E42" s="242">
        <v>0</v>
      </c>
      <c r="F42" s="242"/>
      <c r="G42" s="242"/>
      <c r="H42" s="242">
        <v>0</v>
      </c>
      <c r="I42" s="242">
        <v>0</v>
      </c>
      <c r="J42" s="242"/>
      <c r="K42" s="242"/>
      <c r="L42" s="143"/>
      <c r="M42" s="143"/>
      <c r="N42" s="143"/>
      <c r="O42" s="242"/>
      <c r="P42" s="242">
        <f t="shared" si="16"/>
        <v>-90000</v>
      </c>
      <c r="Q42" s="242">
        <f t="shared" si="17"/>
        <v>0</v>
      </c>
      <c r="R42" s="242">
        <f t="shared" si="18"/>
        <v>0</v>
      </c>
      <c r="S42" s="242">
        <f t="shared" si="20"/>
        <v>-90000</v>
      </c>
      <c r="T42" s="304">
        <f t="shared" si="14"/>
        <v>-1</v>
      </c>
      <c r="U42" s="126"/>
      <c r="V42" s="208">
        <f t="shared" si="15"/>
        <v>0</v>
      </c>
    </row>
    <row r="43" spans="1:22" ht="12.75" customHeight="1" x14ac:dyDescent="0.2">
      <c r="A43" s="14"/>
      <c r="B43" s="20" t="s">
        <v>41</v>
      </c>
      <c r="C43" s="242"/>
      <c r="D43" s="242"/>
      <c r="E43" s="242"/>
      <c r="F43" s="242"/>
      <c r="G43" s="242"/>
      <c r="H43" s="242"/>
      <c r="I43" s="242"/>
      <c r="J43" s="242"/>
      <c r="K43" s="242"/>
      <c r="L43" s="143"/>
      <c r="M43" s="143"/>
      <c r="N43" s="143"/>
      <c r="O43" s="242"/>
      <c r="P43" s="242">
        <f t="shared" si="16"/>
        <v>0</v>
      </c>
      <c r="Q43" s="242">
        <f t="shared" si="17"/>
        <v>0</v>
      </c>
      <c r="R43" s="242">
        <f t="shared" si="18"/>
        <v>0</v>
      </c>
      <c r="S43" s="242">
        <f t="shared" si="20"/>
        <v>0</v>
      </c>
      <c r="T43" s="304">
        <f t="shared" si="14"/>
        <v>0</v>
      </c>
      <c r="U43" s="126"/>
      <c r="V43" s="208">
        <f t="shared" si="15"/>
        <v>0</v>
      </c>
    </row>
    <row r="44" spans="1:22" ht="12.75" customHeight="1" x14ac:dyDescent="0.2">
      <c r="A44" s="14"/>
      <c r="B44" s="20" t="s">
        <v>42</v>
      </c>
      <c r="C44" s="242"/>
      <c r="D44" s="242"/>
      <c r="E44" s="242"/>
      <c r="F44" s="242"/>
      <c r="G44" s="242"/>
      <c r="H44" s="242"/>
      <c r="I44" s="242"/>
      <c r="J44" s="242"/>
      <c r="K44" s="242"/>
      <c r="L44" s="143"/>
      <c r="M44" s="143"/>
      <c r="N44" s="143"/>
      <c r="O44" s="242"/>
      <c r="P44" s="242">
        <f t="shared" si="16"/>
        <v>0</v>
      </c>
      <c r="Q44" s="242">
        <f t="shared" si="17"/>
        <v>0</v>
      </c>
      <c r="R44" s="242">
        <f t="shared" si="18"/>
        <v>0</v>
      </c>
      <c r="S44" s="242">
        <f t="shared" si="20"/>
        <v>0</v>
      </c>
      <c r="T44" s="304">
        <f t="shared" si="14"/>
        <v>0</v>
      </c>
      <c r="U44" s="126"/>
      <c r="V44" s="208">
        <f t="shared" si="15"/>
        <v>0</v>
      </c>
    </row>
    <row r="45" spans="1:22" ht="12.75" customHeight="1" x14ac:dyDescent="0.2">
      <c r="A45" s="14"/>
      <c r="B45" s="20" t="s">
        <v>43</v>
      </c>
      <c r="C45" s="242"/>
      <c r="D45" s="242"/>
      <c r="E45" s="242"/>
      <c r="F45" s="242"/>
      <c r="G45" s="242"/>
      <c r="H45" s="242"/>
      <c r="I45" s="242"/>
      <c r="J45" s="242"/>
      <c r="K45" s="242"/>
      <c r="L45" s="143"/>
      <c r="M45" s="143"/>
      <c r="N45" s="143"/>
      <c r="O45" s="242"/>
      <c r="P45" s="242">
        <f t="shared" si="16"/>
        <v>0</v>
      </c>
      <c r="Q45" s="242">
        <f t="shared" si="17"/>
        <v>0</v>
      </c>
      <c r="R45" s="242">
        <f t="shared" si="18"/>
        <v>0</v>
      </c>
      <c r="S45" s="242">
        <f t="shared" si="20"/>
        <v>0</v>
      </c>
      <c r="T45" s="304">
        <f t="shared" si="14"/>
        <v>0</v>
      </c>
      <c r="U45" s="126"/>
      <c r="V45" s="208">
        <f t="shared" si="15"/>
        <v>0</v>
      </c>
    </row>
    <row r="46" spans="1:22" ht="12.75" customHeight="1" x14ac:dyDescent="0.2">
      <c r="A46" s="14" t="s">
        <v>44</v>
      </c>
      <c r="B46" s="20" t="s">
        <v>45</v>
      </c>
      <c r="C46" s="242">
        <v>10000</v>
      </c>
      <c r="D46" s="242">
        <v>10000</v>
      </c>
      <c r="E46" s="242">
        <v>0</v>
      </c>
      <c r="F46" s="242"/>
      <c r="G46" s="242"/>
      <c r="H46" s="242">
        <v>0</v>
      </c>
      <c r="I46" s="242">
        <v>0</v>
      </c>
      <c r="J46" s="242"/>
      <c r="K46" s="242"/>
      <c r="L46" s="143"/>
      <c r="M46" s="143"/>
      <c r="N46" s="143"/>
      <c r="O46" s="242"/>
      <c r="P46" s="242">
        <f t="shared" si="16"/>
        <v>0</v>
      </c>
      <c r="Q46" s="242">
        <f t="shared" si="17"/>
        <v>-10000</v>
      </c>
      <c r="R46" s="242">
        <f t="shared" si="18"/>
        <v>0</v>
      </c>
      <c r="S46" s="242">
        <f t="shared" si="20"/>
        <v>-10000</v>
      </c>
      <c r="T46" s="304">
        <f t="shared" si="14"/>
        <v>-1</v>
      </c>
      <c r="U46" s="126"/>
      <c r="V46" s="208">
        <f t="shared" si="15"/>
        <v>0</v>
      </c>
    </row>
    <row r="47" spans="1:22" ht="12.75" customHeight="1" x14ac:dyDescent="0.2">
      <c r="A47" s="14"/>
      <c r="B47" s="20" t="s">
        <v>46</v>
      </c>
      <c r="C47" s="242"/>
      <c r="D47" s="242"/>
      <c r="E47" s="242"/>
      <c r="F47" s="242"/>
      <c r="G47" s="242"/>
      <c r="H47" s="242"/>
      <c r="I47" s="242"/>
      <c r="J47" s="242"/>
      <c r="K47" s="242"/>
      <c r="L47" s="143"/>
      <c r="M47" s="143"/>
      <c r="N47" s="143"/>
      <c r="O47" s="242"/>
      <c r="P47" s="242">
        <f t="shared" si="16"/>
        <v>0</v>
      </c>
      <c r="Q47" s="242">
        <f t="shared" si="17"/>
        <v>0</v>
      </c>
      <c r="R47" s="242">
        <f t="shared" si="18"/>
        <v>0</v>
      </c>
      <c r="S47" s="242">
        <f t="shared" si="20"/>
        <v>0</v>
      </c>
      <c r="T47" s="304">
        <f t="shared" si="14"/>
        <v>0</v>
      </c>
      <c r="U47" s="126"/>
      <c r="V47" s="208">
        <f t="shared" si="15"/>
        <v>0</v>
      </c>
    </row>
    <row r="48" spans="1:22" ht="12.75" customHeight="1" x14ac:dyDescent="0.2">
      <c r="A48" s="39" t="s">
        <v>47</v>
      </c>
      <c r="B48" s="40" t="s">
        <v>48</v>
      </c>
      <c r="C48" s="301">
        <f>SUM(C49:C65)</f>
        <v>7745000</v>
      </c>
      <c r="D48" s="301">
        <f t="shared" ref="D48:J48" si="26">SUM(D49:D65)</f>
        <v>9726000</v>
      </c>
      <c r="E48" s="301">
        <f t="shared" si="26"/>
        <v>0</v>
      </c>
      <c r="F48" s="301">
        <f t="shared" si="26"/>
        <v>0</v>
      </c>
      <c r="G48" s="301"/>
      <c r="H48" s="301">
        <f t="shared" si="26"/>
        <v>3909349</v>
      </c>
      <c r="I48" s="301">
        <f t="shared" si="26"/>
        <v>0</v>
      </c>
      <c r="J48" s="301">
        <f t="shared" si="26"/>
        <v>0</v>
      </c>
      <c r="K48" s="242"/>
      <c r="L48" s="143"/>
      <c r="M48" s="143"/>
      <c r="N48" s="143"/>
      <c r="O48" s="242"/>
      <c r="P48" s="242">
        <f t="shared" si="16"/>
        <v>1981000</v>
      </c>
      <c r="Q48" s="242">
        <f t="shared" si="17"/>
        <v>-9726000</v>
      </c>
      <c r="R48" s="242">
        <f t="shared" si="18"/>
        <v>0</v>
      </c>
      <c r="S48" s="242">
        <f t="shared" si="20"/>
        <v>-7745000</v>
      </c>
      <c r="T48" s="304">
        <f t="shared" ref="T48:T64" si="27">IF(C48=0,0,+S48/C48)</f>
        <v>-1</v>
      </c>
      <c r="U48" s="126"/>
      <c r="V48" s="208">
        <f t="shared" ref="V48:V64" si="28">+S48-E48+C48</f>
        <v>0</v>
      </c>
    </row>
    <row r="49" spans="1:22" ht="12.75" customHeight="1" x14ac:dyDescent="0.2">
      <c r="A49" s="14" t="s">
        <v>49</v>
      </c>
      <c r="B49" s="20" t="s">
        <v>50</v>
      </c>
      <c r="C49" s="242">
        <v>1300000</v>
      </c>
      <c r="D49" s="242">
        <v>3300000</v>
      </c>
      <c r="E49" s="242">
        <v>0</v>
      </c>
      <c r="F49" s="242"/>
      <c r="G49" s="242"/>
      <c r="H49" s="242">
        <v>2620810</v>
      </c>
      <c r="I49" s="242">
        <v>0</v>
      </c>
      <c r="J49" s="242"/>
      <c r="K49" s="242"/>
      <c r="L49" s="143">
        <f>+H49/D49</f>
        <v>0.79418484848484849</v>
      </c>
      <c r="M49" s="143" t="e">
        <f>+I49/E49</f>
        <v>#DIV/0!</v>
      </c>
      <c r="N49" s="143" t="e">
        <f>+J49/F49</f>
        <v>#DIV/0!</v>
      </c>
      <c r="O49" s="242"/>
      <c r="P49" s="328">
        <f t="shared" si="16"/>
        <v>2000000</v>
      </c>
      <c r="Q49" s="328">
        <f t="shared" si="17"/>
        <v>-3300000</v>
      </c>
      <c r="R49" s="328">
        <f t="shared" si="18"/>
        <v>0</v>
      </c>
      <c r="S49" s="328">
        <f t="shared" si="20"/>
        <v>-1300000</v>
      </c>
      <c r="T49" s="304">
        <f t="shared" si="27"/>
        <v>-1</v>
      </c>
      <c r="U49" s="126"/>
      <c r="V49" s="208">
        <f t="shared" si="28"/>
        <v>0</v>
      </c>
    </row>
    <row r="50" spans="1:22" ht="12.75" customHeight="1" x14ac:dyDescent="0.2">
      <c r="A50" s="14" t="s">
        <v>103</v>
      </c>
      <c r="B50" s="20" t="s">
        <v>97</v>
      </c>
      <c r="C50" s="242"/>
      <c r="D50" s="242"/>
      <c r="E50" s="242">
        <v>0</v>
      </c>
      <c r="F50" s="242"/>
      <c r="G50" s="242"/>
      <c r="H50" s="242"/>
      <c r="I50" s="242"/>
      <c r="J50" s="242"/>
      <c r="K50" s="242"/>
      <c r="L50" s="143"/>
      <c r="M50" s="143"/>
      <c r="N50" s="143"/>
      <c r="O50" s="242"/>
      <c r="P50" s="242">
        <f t="shared" si="16"/>
        <v>0</v>
      </c>
      <c r="Q50" s="242">
        <f t="shared" si="17"/>
        <v>0</v>
      </c>
      <c r="R50" s="242">
        <f t="shared" si="18"/>
        <v>0</v>
      </c>
      <c r="S50" s="242">
        <f t="shared" si="20"/>
        <v>0</v>
      </c>
      <c r="T50" s="304">
        <f t="shared" si="27"/>
        <v>0</v>
      </c>
      <c r="U50" s="126"/>
      <c r="V50" s="208">
        <f t="shared" si="28"/>
        <v>0</v>
      </c>
    </row>
    <row r="51" spans="1:22" ht="12.75" customHeight="1" x14ac:dyDescent="0.2">
      <c r="A51" s="14"/>
      <c r="B51" s="20" t="s">
        <v>98</v>
      </c>
      <c r="C51" s="242"/>
      <c r="D51" s="242"/>
      <c r="E51" s="242"/>
      <c r="F51" s="242"/>
      <c r="G51" s="242"/>
      <c r="H51" s="242"/>
      <c r="I51" s="242"/>
      <c r="J51" s="242"/>
      <c r="K51" s="242"/>
      <c r="L51" s="143"/>
      <c r="M51" s="143"/>
      <c r="N51" s="143"/>
      <c r="O51" s="242"/>
      <c r="P51" s="242">
        <f t="shared" si="16"/>
        <v>0</v>
      </c>
      <c r="Q51" s="242">
        <f t="shared" si="17"/>
        <v>0</v>
      </c>
      <c r="R51" s="242">
        <f t="shared" si="18"/>
        <v>0</v>
      </c>
      <c r="S51" s="242">
        <f t="shared" si="20"/>
        <v>0</v>
      </c>
      <c r="T51" s="304">
        <f t="shared" si="27"/>
        <v>0</v>
      </c>
      <c r="U51" s="126"/>
      <c r="V51" s="208">
        <f t="shared" si="28"/>
        <v>0</v>
      </c>
    </row>
    <row r="52" spans="1:22" ht="12.75" customHeight="1" x14ac:dyDescent="0.2">
      <c r="A52" s="14"/>
      <c r="B52" s="20" t="s">
        <v>99</v>
      </c>
      <c r="C52" s="242"/>
      <c r="D52" s="242"/>
      <c r="E52" s="242"/>
      <c r="F52" s="242"/>
      <c r="G52" s="242"/>
      <c r="H52" s="242"/>
      <c r="I52" s="242"/>
      <c r="J52" s="242"/>
      <c r="K52" s="242"/>
      <c r="L52" s="143"/>
      <c r="M52" s="143"/>
      <c r="N52" s="143"/>
      <c r="O52" s="242"/>
      <c r="P52" s="242">
        <f t="shared" si="16"/>
        <v>0</v>
      </c>
      <c r="Q52" s="242">
        <f t="shared" si="17"/>
        <v>0</v>
      </c>
      <c r="R52" s="242">
        <f t="shared" si="18"/>
        <v>0</v>
      </c>
      <c r="S52" s="242">
        <f t="shared" si="20"/>
        <v>0</v>
      </c>
      <c r="T52" s="304">
        <f t="shared" si="27"/>
        <v>0</v>
      </c>
      <c r="U52" s="126"/>
      <c r="V52" s="208">
        <f t="shared" si="28"/>
        <v>0</v>
      </c>
    </row>
    <row r="53" spans="1:22" ht="12.75" customHeight="1" x14ac:dyDescent="0.2">
      <c r="A53" s="14" t="s">
        <v>51</v>
      </c>
      <c r="B53" s="20" t="s">
        <v>52</v>
      </c>
      <c r="C53" s="242"/>
      <c r="D53" s="242"/>
      <c r="E53" s="242"/>
      <c r="F53" s="242"/>
      <c r="G53" s="242"/>
      <c r="H53" s="242"/>
      <c r="I53" s="242"/>
      <c r="J53" s="242"/>
      <c r="K53" s="242"/>
      <c r="L53" s="143"/>
      <c r="M53" s="143"/>
      <c r="N53" s="143"/>
      <c r="O53" s="242"/>
      <c r="P53" s="242">
        <f t="shared" si="16"/>
        <v>0</v>
      </c>
      <c r="Q53" s="242">
        <f t="shared" si="17"/>
        <v>0</v>
      </c>
      <c r="R53" s="242">
        <f t="shared" si="18"/>
        <v>0</v>
      </c>
      <c r="S53" s="242">
        <f t="shared" si="20"/>
        <v>0</v>
      </c>
      <c r="T53" s="304">
        <f t="shared" si="27"/>
        <v>0</v>
      </c>
      <c r="U53" s="126"/>
      <c r="V53" s="208">
        <f t="shared" si="28"/>
        <v>0</v>
      </c>
    </row>
    <row r="54" spans="1:22" ht="12.75" customHeight="1" x14ac:dyDescent="0.2">
      <c r="A54" s="14"/>
      <c r="B54" s="20" t="s">
        <v>90</v>
      </c>
      <c r="C54" s="242"/>
      <c r="D54" s="242"/>
      <c r="E54" s="242"/>
      <c r="F54" s="242"/>
      <c r="G54" s="242"/>
      <c r="H54" s="242"/>
      <c r="I54" s="242"/>
      <c r="J54" s="242"/>
      <c r="K54" s="242"/>
      <c r="L54" s="143"/>
      <c r="M54" s="143"/>
      <c r="N54" s="143"/>
      <c r="O54" s="242"/>
      <c r="P54" s="242">
        <f t="shared" si="16"/>
        <v>0</v>
      </c>
      <c r="Q54" s="242">
        <f t="shared" si="17"/>
        <v>0</v>
      </c>
      <c r="R54" s="242">
        <f t="shared" si="18"/>
        <v>0</v>
      </c>
      <c r="S54" s="242">
        <f t="shared" si="20"/>
        <v>0</v>
      </c>
      <c r="T54" s="304">
        <f t="shared" si="27"/>
        <v>0</v>
      </c>
      <c r="U54" s="126"/>
      <c r="V54" s="208">
        <f t="shared" si="28"/>
        <v>0</v>
      </c>
    </row>
    <row r="55" spans="1:22" ht="12.75" customHeight="1" x14ac:dyDescent="0.2">
      <c r="A55" s="14"/>
      <c r="B55" s="20" t="s">
        <v>53</v>
      </c>
      <c r="C55" s="242"/>
      <c r="D55" s="242"/>
      <c r="E55" s="242"/>
      <c r="F55" s="242"/>
      <c r="G55" s="242"/>
      <c r="H55" s="242"/>
      <c r="I55" s="242"/>
      <c r="J55" s="242"/>
      <c r="K55" s="242"/>
      <c r="L55" s="143"/>
      <c r="M55" s="143"/>
      <c r="N55" s="143"/>
      <c r="O55" s="242"/>
      <c r="P55" s="242">
        <f t="shared" si="16"/>
        <v>0</v>
      </c>
      <c r="Q55" s="242">
        <f t="shared" si="17"/>
        <v>0</v>
      </c>
      <c r="R55" s="242">
        <f t="shared" si="18"/>
        <v>0</v>
      </c>
      <c r="S55" s="242">
        <f t="shared" si="20"/>
        <v>0</v>
      </c>
      <c r="T55" s="304">
        <f t="shared" si="27"/>
        <v>0</v>
      </c>
      <c r="U55" s="126"/>
      <c r="V55" s="208">
        <f t="shared" si="28"/>
        <v>0</v>
      </c>
    </row>
    <row r="56" spans="1:22" ht="12.75" customHeight="1" x14ac:dyDescent="0.2">
      <c r="A56" s="14" t="s">
        <v>54</v>
      </c>
      <c r="B56" s="20" t="s">
        <v>55</v>
      </c>
      <c r="C56" s="242">
        <v>1020000</v>
      </c>
      <c r="D56" s="242">
        <v>1020000</v>
      </c>
      <c r="E56" s="242">
        <v>0</v>
      </c>
      <c r="F56" s="242"/>
      <c r="G56" s="242"/>
      <c r="H56" s="242">
        <v>548500</v>
      </c>
      <c r="I56" s="242">
        <v>0</v>
      </c>
      <c r="J56" s="242"/>
      <c r="K56" s="242"/>
      <c r="L56" s="143">
        <f>+H56/D56</f>
        <v>0.53774509803921566</v>
      </c>
      <c r="M56" s="143" t="e">
        <f>+I56/E56</f>
        <v>#DIV/0!</v>
      </c>
      <c r="N56" s="143" t="e">
        <f>+J56/F56</f>
        <v>#DIV/0!</v>
      </c>
      <c r="O56" s="242"/>
      <c r="P56" s="328">
        <f t="shared" si="16"/>
        <v>0</v>
      </c>
      <c r="Q56" s="328">
        <f t="shared" si="17"/>
        <v>-1020000</v>
      </c>
      <c r="R56" s="328">
        <f t="shared" si="18"/>
        <v>0</v>
      </c>
      <c r="S56" s="328">
        <f t="shared" si="20"/>
        <v>-1020000</v>
      </c>
      <c r="T56" s="304">
        <f t="shared" si="27"/>
        <v>-1</v>
      </c>
      <c r="U56" s="126"/>
      <c r="V56" s="208">
        <f t="shared" si="28"/>
        <v>0</v>
      </c>
    </row>
    <row r="57" spans="1:22" ht="12.75" customHeight="1" x14ac:dyDescent="0.2">
      <c r="A57" s="14"/>
      <c r="B57" s="20" t="s">
        <v>56</v>
      </c>
      <c r="C57" s="242"/>
      <c r="D57" s="242"/>
      <c r="E57" s="242">
        <v>0</v>
      </c>
      <c r="F57" s="242"/>
      <c r="G57" s="242"/>
      <c r="H57" s="242"/>
      <c r="I57" s="242"/>
      <c r="J57" s="242"/>
      <c r="K57" s="242"/>
      <c r="L57" s="143"/>
      <c r="M57" s="143"/>
      <c r="N57" s="143"/>
      <c r="O57" s="242"/>
      <c r="P57" s="242">
        <f t="shared" si="16"/>
        <v>0</v>
      </c>
      <c r="Q57" s="242">
        <f t="shared" si="17"/>
        <v>0</v>
      </c>
      <c r="R57" s="242">
        <f t="shared" si="18"/>
        <v>0</v>
      </c>
      <c r="S57" s="242">
        <f t="shared" si="20"/>
        <v>0</v>
      </c>
      <c r="T57" s="304">
        <f t="shared" si="27"/>
        <v>0</v>
      </c>
      <c r="U57" s="126"/>
      <c r="V57" s="208">
        <f t="shared" si="28"/>
        <v>0</v>
      </c>
    </row>
    <row r="58" spans="1:22" ht="12.75" customHeight="1" x14ac:dyDescent="0.2">
      <c r="A58" s="14" t="s">
        <v>57</v>
      </c>
      <c r="B58" s="20" t="s">
        <v>91</v>
      </c>
      <c r="C58" s="242">
        <v>75000</v>
      </c>
      <c r="D58" s="242">
        <v>75000</v>
      </c>
      <c r="E58" s="242">
        <v>0</v>
      </c>
      <c r="F58" s="242"/>
      <c r="G58" s="242"/>
      <c r="H58" s="242">
        <v>53000</v>
      </c>
      <c r="I58" s="242">
        <v>0</v>
      </c>
      <c r="J58" s="242"/>
      <c r="K58" s="242"/>
      <c r="L58" s="143">
        <f>+H58/D58</f>
        <v>0.70666666666666667</v>
      </c>
      <c r="M58" s="143" t="e">
        <f>+I58/E58</f>
        <v>#DIV/0!</v>
      </c>
      <c r="N58" s="143" t="e">
        <f>+J58/F58</f>
        <v>#DIV/0!</v>
      </c>
      <c r="O58" s="242"/>
      <c r="P58" s="328">
        <f t="shared" si="16"/>
        <v>0</v>
      </c>
      <c r="Q58" s="328">
        <f t="shared" si="17"/>
        <v>-75000</v>
      </c>
      <c r="R58" s="328">
        <f t="shared" si="18"/>
        <v>0</v>
      </c>
      <c r="S58" s="328">
        <f t="shared" si="20"/>
        <v>-75000</v>
      </c>
      <c r="T58" s="304">
        <f t="shared" si="27"/>
        <v>-1</v>
      </c>
      <c r="U58" s="126"/>
      <c r="V58" s="208">
        <f t="shared" si="28"/>
        <v>0</v>
      </c>
    </row>
    <row r="59" spans="1:22" ht="12.75" customHeight="1" x14ac:dyDescent="0.2">
      <c r="A59" s="14"/>
      <c r="B59" s="20" t="s">
        <v>58</v>
      </c>
      <c r="C59" s="242"/>
      <c r="D59" s="242"/>
      <c r="E59" s="242">
        <v>0</v>
      </c>
      <c r="F59" s="242"/>
      <c r="G59" s="242"/>
      <c r="H59" s="242"/>
      <c r="I59" s="242"/>
      <c r="J59" s="242"/>
      <c r="K59" s="242"/>
      <c r="L59" s="143"/>
      <c r="M59" s="143"/>
      <c r="N59" s="143"/>
      <c r="O59" s="242"/>
      <c r="P59" s="242">
        <f t="shared" si="16"/>
        <v>0</v>
      </c>
      <c r="Q59" s="242">
        <f t="shared" si="17"/>
        <v>0</v>
      </c>
      <c r="R59" s="242">
        <f t="shared" si="18"/>
        <v>0</v>
      </c>
      <c r="S59" s="242">
        <f t="shared" si="20"/>
        <v>0</v>
      </c>
      <c r="T59" s="304">
        <f t="shared" si="27"/>
        <v>0</v>
      </c>
      <c r="U59" s="126"/>
      <c r="V59" s="208">
        <f t="shared" si="28"/>
        <v>0</v>
      </c>
    </row>
    <row r="60" spans="1:22" ht="12.75" customHeight="1" x14ac:dyDescent="0.2">
      <c r="A60" s="14" t="s">
        <v>59</v>
      </c>
      <c r="B60" s="20" t="s">
        <v>60</v>
      </c>
      <c r="C60" s="242"/>
      <c r="D60" s="242"/>
      <c r="E60" s="242"/>
      <c r="F60" s="242"/>
      <c r="G60" s="242"/>
      <c r="H60" s="242">
        <v>0</v>
      </c>
      <c r="I60" s="242"/>
      <c r="J60" s="242"/>
      <c r="K60" s="242"/>
      <c r="L60" s="143"/>
      <c r="M60" s="143"/>
      <c r="N60" s="143"/>
      <c r="O60" s="242"/>
      <c r="P60" s="242">
        <f t="shared" si="16"/>
        <v>0</v>
      </c>
      <c r="Q60" s="242">
        <f t="shared" si="17"/>
        <v>0</v>
      </c>
      <c r="R60" s="242">
        <f t="shared" si="18"/>
        <v>0</v>
      </c>
      <c r="S60" s="242">
        <f t="shared" si="20"/>
        <v>0</v>
      </c>
      <c r="T60" s="304">
        <f t="shared" si="27"/>
        <v>0</v>
      </c>
      <c r="U60" s="126"/>
      <c r="V60" s="208">
        <f t="shared" si="28"/>
        <v>0</v>
      </c>
    </row>
    <row r="61" spans="1:22" ht="12.75" customHeight="1" x14ac:dyDescent="0.2">
      <c r="A61" s="20"/>
      <c r="B61" s="20" t="s">
        <v>61</v>
      </c>
      <c r="C61" s="242"/>
      <c r="D61" s="242"/>
      <c r="E61" s="242"/>
      <c r="F61" s="242"/>
      <c r="G61" s="242"/>
      <c r="H61" s="242"/>
      <c r="I61" s="242"/>
      <c r="J61" s="242"/>
      <c r="K61" s="242"/>
      <c r="L61" s="143"/>
      <c r="M61" s="143"/>
      <c r="N61" s="143"/>
      <c r="O61" s="242"/>
      <c r="P61" s="242">
        <f t="shared" si="16"/>
        <v>0</v>
      </c>
      <c r="Q61" s="242">
        <f t="shared" si="17"/>
        <v>0</v>
      </c>
      <c r="R61" s="242">
        <f t="shared" si="18"/>
        <v>0</v>
      </c>
      <c r="S61" s="242">
        <f t="shared" si="20"/>
        <v>0</v>
      </c>
      <c r="T61" s="304">
        <f t="shared" si="27"/>
        <v>0</v>
      </c>
      <c r="U61" s="126"/>
      <c r="V61" s="208">
        <f t="shared" si="28"/>
        <v>0</v>
      </c>
    </row>
    <row r="62" spans="1:22" ht="12.75" customHeight="1" x14ac:dyDescent="0.2">
      <c r="A62" s="14" t="s">
        <v>62</v>
      </c>
      <c r="B62" s="20" t="s">
        <v>63</v>
      </c>
      <c r="C62" s="242">
        <v>950000</v>
      </c>
      <c r="D62" s="242">
        <v>936000</v>
      </c>
      <c r="E62" s="242">
        <v>0</v>
      </c>
      <c r="F62" s="242"/>
      <c r="G62" s="242"/>
      <c r="H62" s="242">
        <v>37500</v>
      </c>
      <c r="I62" s="242">
        <v>0</v>
      </c>
      <c r="J62" s="242"/>
      <c r="K62" s="242"/>
      <c r="L62" s="143">
        <f>+H62/D62</f>
        <v>4.0064102564102567E-2</v>
      </c>
      <c r="M62" s="143" t="e">
        <f>+I62/E62</f>
        <v>#DIV/0!</v>
      </c>
      <c r="N62" s="143" t="e">
        <f>+J62/F62</f>
        <v>#DIV/0!</v>
      </c>
      <c r="O62" s="242"/>
      <c r="P62" s="328">
        <f t="shared" si="16"/>
        <v>-14000</v>
      </c>
      <c r="Q62" s="328">
        <f t="shared" si="17"/>
        <v>-936000</v>
      </c>
      <c r="R62" s="328">
        <f t="shared" si="18"/>
        <v>0</v>
      </c>
      <c r="S62" s="328">
        <f t="shared" si="20"/>
        <v>-950000</v>
      </c>
      <c r="T62" s="304">
        <f t="shared" si="27"/>
        <v>-1</v>
      </c>
      <c r="U62" s="126"/>
      <c r="V62" s="208">
        <f t="shared" si="28"/>
        <v>0</v>
      </c>
    </row>
    <row r="63" spans="1:22" ht="25.5" customHeight="1" x14ac:dyDescent="0.2">
      <c r="A63" s="14"/>
      <c r="B63" s="20" t="s">
        <v>102</v>
      </c>
      <c r="C63" s="242"/>
      <c r="D63" s="242"/>
      <c r="E63" s="242"/>
      <c r="F63" s="242"/>
      <c r="G63" s="242"/>
      <c r="H63" s="242"/>
      <c r="I63" s="242"/>
      <c r="J63" s="242"/>
      <c r="K63" s="242"/>
      <c r="L63" s="143"/>
      <c r="M63" s="143"/>
      <c r="N63" s="143"/>
      <c r="O63" s="242"/>
      <c r="P63" s="242">
        <f t="shared" si="16"/>
        <v>0</v>
      </c>
      <c r="Q63" s="242">
        <f t="shared" si="17"/>
        <v>0</v>
      </c>
      <c r="R63" s="242">
        <f t="shared" si="18"/>
        <v>0</v>
      </c>
      <c r="S63" s="242">
        <f t="shared" si="20"/>
        <v>0</v>
      </c>
      <c r="T63" s="304">
        <f t="shared" si="27"/>
        <v>0</v>
      </c>
      <c r="U63" s="126"/>
      <c r="V63" s="208">
        <f t="shared" si="28"/>
        <v>0</v>
      </c>
    </row>
    <row r="64" spans="1:22" ht="12.75" customHeight="1" x14ac:dyDescent="0.2">
      <c r="A64" s="14" t="s">
        <v>64</v>
      </c>
      <c r="B64" s="20" t="s">
        <v>65</v>
      </c>
      <c r="C64" s="242">
        <f>2900000+1500000</f>
        <v>4400000</v>
      </c>
      <c r="D64" s="242">
        <v>4395000</v>
      </c>
      <c r="E64" s="242">
        <v>0</v>
      </c>
      <c r="F64" s="242"/>
      <c r="G64" s="242"/>
      <c r="H64" s="242">
        <v>649539</v>
      </c>
      <c r="I64" s="242">
        <v>0</v>
      </c>
      <c r="J64" s="242"/>
      <c r="K64" s="242"/>
      <c r="L64" s="143">
        <f>+H64/D64</f>
        <v>0.14779044368600683</v>
      </c>
      <c r="M64" s="143" t="e">
        <f>+I64/E64</f>
        <v>#DIV/0!</v>
      </c>
      <c r="N64" s="143" t="e">
        <f>+J64/F64</f>
        <v>#DIV/0!</v>
      </c>
      <c r="O64" s="242"/>
      <c r="P64" s="328">
        <f t="shared" si="16"/>
        <v>-5000</v>
      </c>
      <c r="Q64" s="328">
        <f t="shared" si="17"/>
        <v>-4395000</v>
      </c>
      <c r="R64" s="328">
        <f t="shared" si="18"/>
        <v>0</v>
      </c>
      <c r="S64" s="328">
        <f t="shared" si="20"/>
        <v>-4400000</v>
      </c>
      <c r="T64" s="304">
        <f t="shared" si="27"/>
        <v>-1</v>
      </c>
      <c r="U64" s="126"/>
      <c r="V64" s="208">
        <f t="shared" si="28"/>
        <v>0</v>
      </c>
    </row>
    <row r="65" spans="1:22" ht="33" customHeight="1" x14ac:dyDescent="0.2">
      <c r="A65" s="14"/>
      <c r="B65" s="20" t="s">
        <v>66</v>
      </c>
      <c r="C65" s="242"/>
      <c r="D65" s="242"/>
      <c r="E65" s="242"/>
      <c r="F65" s="242"/>
      <c r="G65" s="242"/>
      <c r="H65" s="242"/>
      <c r="I65" s="242"/>
      <c r="J65" s="242"/>
      <c r="K65" s="242"/>
      <c r="L65" s="143"/>
      <c r="M65" s="143"/>
      <c r="N65" s="143"/>
      <c r="O65" s="242"/>
      <c r="P65" s="242">
        <f t="shared" si="16"/>
        <v>0</v>
      </c>
      <c r="Q65" s="242">
        <f t="shared" si="17"/>
        <v>0</v>
      </c>
      <c r="R65" s="242">
        <f t="shared" si="18"/>
        <v>0</v>
      </c>
      <c r="S65" s="242">
        <f t="shared" si="20"/>
        <v>0</v>
      </c>
      <c r="T65" s="304">
        <f t="shared" ref="T65:T102" si="29">IF(C65=0,0,+S65/C65)</f>
        <v>0</v>
      </c>
      <c r="U65" s="126"/>
      <c r="V65" s="208">
        <f t="shared" ref="V65:V102" si="30">+S65-E65+C65</f>
        <v>0</v>
      </c>
    </row>
    <row r="66" spans="1:22" ht="12.75" customHeight="1" x14ac:dyDescent="0.2">
      <c r="A66" s="39" t="s">
        <v>67</v>
      </c>
      <c r="B66" s="40" t="s">
        <v>68</v>
      </c>
      <c r="C66" s="301">
        <f>SUM(C67:C70)</f>
        <v>78000</v>
      </c>
      <c r="D66" s="301">
        <f t="shared" ref="D66:J66" si="31">SUM(D67:D70)</f>
        <v>78000</v>
      </c>
      <c r="E66" s="301">
        <f t="shared" si="31"/>
        <v>0</v>
      </c>
      <c r="F66" s="301">
        <f t="shared" si="31"/>
        <v>0</v>
      </c>
      <c r="G66" s="301"/>
      <c r="H66" s="301">
        <f t="shared" si="31"/>
        <v>29875</v>
      </c>
      <c r="I66" s="301">
        <f t="shared" si="31"/>
        <v>0</v>
      </c>
      <c r="J66" s="301">
        <f t="shared" si="31"/>
        <v>0</v>
      </c>
      <c r="K66" s="242"/>
      <c r="L66" s="143"/>
      <c r="M66" s="143"/>
      <c r="N66" s="143"/>
      <c r="O66" s="242"/>
      <c r="P66" s="242">
        <f t="shared" si="16"/>
        <v>0</v>
      </c>
      <c r="Q66" s="242">
        <f t="shared" si="17"/>
        <v>-78000</v>
      </c>
      <c r="R66" s="242">
        <f t="shared" si="18"/>
        <v>0</v>
      </c>
      <c r="S66" s="242">
        <f t="shared" si="20"/>
        <v>-78000</v>
      </c>
      <c r="T66" s="304">
        <f t="shared" si="29"/>
        <v>-1</v>
      </c>
      <c r="U66" s="126"/>
      <c r="V66" s="208">
        <f t="shared" si="30"/>
        <v>0</v>
      </c>
    </row>
    <row r="67" spans="1:22" ht="12.75" customHeight="1" x14ac:dyDescent="0.2">
      <c r="A67" s="14" t="s">
        <v>69</v>
      </c>
      <c r="B67" s="20" t="s">
        <v>70</v>
      </c>
      <c r="C67" s="242">
        <v>78000</v>
      </c>
      <c r="D67" s="242">
        <v>78000</v>
      </c>
      <c r="E67" s="242">
        <v>0</v>
      </c>
      <c r="F67" s="242"/>
      <c r="G67" s="242"/>
      <c r="H67" s="242">
        <v>29875</v>
      </c>
      <c r="I67" s="242">
        <v>0</v>
      </c>
      <c r="J67" s="242"/>
      <c r="K67" s="242"/>
      <c r="L67" s="143">
        <f>+H67/D67</f>
        <v>0.38301282051282054</v>
      </c>
      <c r="M67" s="143" t="e">
        <f>+I67/E67</f>
        <v>#DIV/0!</v>
      </c>
      <c r="N67" s="143" t="e">
        <f>+J67/F67</f>
        <v>#DIV/0!</v>
      </c>
      <c r="O67" s="242"/>
      <c r="P67" s="328">
        <f t="shared" si="16"/>
        <v>0</v>
      </c>
      <c r="Q67" s="328">
        <f t="shared" si="17"/>
        <v>-78000</v>
      </c>
      <c r="R67" s="328">
        <f t="shared" si="18"/>
        <v>0</v>
      </c>
      <c r="S67" s="328">
        <f t="shared" si="20"/>
        <v>-78000</v>
      </c>
      <c r="T67" s="304">
        <f t="shared" si="29"/>
        <v>-1</v>
      </c>
      <c r="U67" s="126"/>
      <c r="V67" s="208">
        <f t="shared" si="30"/>
        <v>0</v>
      </c>
    </row>
    <row r="68" spans="1:22" ht="39.6" customHeight="1" x14ac:dyDescent="0.2">
      <c r="A68" s="14"/>
      <c r="B68" s="20" t="s">
        <v>71</v>
      </c>
      <c r="C68" s="242"/>
      <c r="D68" s="242"/>
      <c r="E68" s="242">
        <v>0</v>
      </c>
      <c r="F68" s="242"/>
      <c r="G68" s="242"/>
      <c r="H68" s="242"/>
      <c r="I68" s="242"/>
      <c r="J68" s="242"/>
      <c r="K68" s="242"/>
      <c r="L68" s="143"/>
      <c r="M68" s="143"/>
      <c r="N68" s="143"/>
      <c r="O68" s="242"/>
      <c r="P68" s="242"/>
      <c r="Q68" s="242"/>
      <c r="R68" s="242"/>
      <c r="S68" s="242"/>
      <c r="T68" s="304">
        <f t="shared" si="29"/>
        <v>0</v>
      </c>
      <c r="U68" s="126"/>
      <c r="V68" s="208">
        <f t="shared" si="30"/>
        <v>0</v>
      </c>
    </row>
    <row r="69" spans="1:22" ht="12.75" customHeight="1" x14ac:dyDescent="0.2">
      <c r="A69" s="14" t="s">
        <v>72</v>
      </c>
      <c r="B69" s="20" t="s">
        <v>100</v>
      </c>
      <c r="C69" s="242">
        <v>0</v>
      </c>
      <c r="D69" s="242">
        <v>0</v>
      </c>
      <c r="E69" s="242">
        <v>0</v>
      </c>
      <c r="F69" s="242"/>
      <c r="G69" s="242"/>
      <c r="H69" s="242">
        <v>0</v>
      </c>
      <c r="I69" s="242">
        <v>0</v>
      </c>
      <c r="J69" s="242"/>
      <c r="K69" s="242"/>
      <c r="L69" s="143" t="e">
        <f>+H69/D69</f>
        <v>#DIV/0!</v>
      </c>
      <c r="M69" s="143" t="e">
        <f>+I69/E69</f>
        <v>#DIV/0!</v>
      </c>
      <c r="N69" s="143" t="e">
        <f>+J69/F69</f>
        <v>#DIV/0!</v>
      </c>
      <c r="O69" s="242"/>
      <c r="P69" s="328">
        <f t="shared" ref="P69:P95" si="32">+(D69-C69)*P$10</f>
        <v>0</v>
      </c>
      <c r="Q69" s="328">
        <f t="shared" ref="Q69:Q95" si="33">+(E69-D69)*Q$10</f>
        <v>0</v>
      </c>
      <c r="R69" s="328">
        <f t="shared" ref="R69:R95" si="34">+(F69-E69)*R$10</f>
        <v>0</v>
      </c>
      <c r="S69" s="328">
        <f t="shared" si="20"/>
        <v>0</v>
      </c>
      <c r="T69" s="304">
        <f t="shared" si="29"/>
        <v>0</v>
      </c>
      <c r="U69" s="126"/>
      <c r="V69" s="208">
        <f t="shared" si="30"/>
        <v>0</v>
      </c>
    </row>
    <row r="70" spans="1:22" ht="12.75" customHeight="1" x14ac:dyDescent="0.2">
      <c r="A70" s="14"/>
      <c r="B70" s="20" t="s">
        <v>73</v>
      </c>
      <c r="C70" s="242"/>
      <c r="D70" s="242"/>
      <c r="E70" s="242">
        <v>0</v>
      </c>
      <c r="F70" s="242"/>
      <c r="G70" s="242"/>
      <c r="H70" s="242"/>
      <c r="I70" s="242"/>
      <c r="J70" s="242"/>
      <c r="K70" s="242"/>
      <c r="L70" s="143"/>
      <c r="M70" s="143"/>
      <c r="N70" s="143"/>
      <c r="O70" s="242"/>
      <c r="P70" s="242">
        <f t="shared" si="32"/>
        <v>0</v>
      </c>
      <c r="Q70" s="242">
        <f t="shared" si="33"/>
        <v>0</v>
      </c>
      <c r="R70" s="242">
        <f t="shared" si="34"/>
        <v>0</v>
      </c>
      <c r="S70" s="242">
        <f t="shared" si="20"/>
        <v>0</v>
      </c>
      <c r="T70" s="304">
        <f t="shared" si="29"/>
        <v>0</v>
      </c>
      <c r="U70" s="126"/>
      <c r="V70" s="208">
        <f t="shared" si="30"/>
        <v>0</v>
      </c>
    </row>
    <row r="71" spans="1:22" ht="12.75" customHeight="1" x14ac:dyDescent="0.2">
      <c r="A71" s="39" t="s">
        <v>74</v>
      </c>
      <c r="B71" s="40" t="s">
        <v>75</v>
      </c>
      <c r="C71" s="301">
        <f>SUM(C72:C81)</f>
        <v>2200000</v>
      </c>
      <c r="D71" s="301">
        <f t="shared" ref="D71:J71" si="35">SUM(D72:D81)</f>
        <v>1805000</v>
      </c>
      <c r="E71" s="301">
        <f t="shared" si="35"/>
        <v>0</v>
      </c>
      <c r="F71" s="301">
        <f t="shared" si="35"/>
        <v>0</v>
      </c>
      <c r="G71" s="301"/>
      <c r="H71" s="301">
        <f t="shared" si="35"/>
        <v>1046317</v>
      </c>
      <c r="I71" s="301">
        <f t="shared" si="35"/>
        <v>0</v>
      </c>
      <c r="J71" s="301">
        <f t="shared" si="35"/>
        <v>0</v>
      </c>
      <c r="K71" s="242"/>
      <c r="L71" s="143"/>
      <c r="M71" s="143"/>
      <c r="N71" s="143"/>
      <c r="O71" s="242"/>
      <c r="P71" s="242">
        <f t="shared" si="32"/>
        <v>-395000</v>
      </c>
      <c r="Q71" s="242">
        <f t="shared" si="33"/>
        <v>-1805000</v>
      </c>
      <c r="R71" s="242">
        <f t="shared" si="34"/>
        <v>0</v>
      </c>
      <c r="S71" s="242">
        <f t="shared" si="20"/>
        <v>-2200000</v>
      </c>
      <c r="T71" s="304">
        <f t="shared" si="29"/>
        <v>-1</v>
      </c>
      <c r="U71" s="126"/>
      <c r="V71" s="208">
        <f t="shared" si="30"/>
        <v>0</v>
      </c>
    </row>
    <row r="72" spans="1:22" ht="12.75" customHeight="1" x14ac:dyDescent="0.2">
      <c r="A72" s="14" t="s">
        <v>76</v>
      </c>
      <c r="B72" s="20" t="s">
        <v>77</v>
      </c>
      <c r="C72" s="242">
        <v>2200000</v>
      </c>
      <c r="D72" s="242">
        <v>1789000</v>
      </c>
      <c r="E72" s="242">
        <v>0</v>
      </c>
      <c r="F72" s="242"/>
      <c r="G72" s="242"/>
      <c r="H72" s="242">
        <v>1034300</v>
      </c>
      <c r="I72" s="242">
        <v>0</v>
      </c>
      <c r="J72" s="242"/>
      <c r="K72" s="242"/>
      <c r="L72" s="143">
        <f>+H72/D72</f>
        <v>0.57814421464505306</v>
      </c>
      <c r="M72" s="143" t="e">
        <f>+I72/E72</f>
        <v>#DIV/0!</v>
      </c>
      <c r="N72" s="143" t="e">
        <f>+J72/F72</f>
        <v>#DIV/0!</v>
      </c>
      <c r="O72" s="242"/>
      <c r="P72" s="328">
        <f t="shared" si="32"/>
        <v>-411000</v>
      </c>
      <c r="Q72" s="328">
        <f t="shared" si="33"/>
        <v>-1789000</v>
      </c>
      <c r="R72" s="328">
        <f t="shared" si="34"/>
        <v>0</v>
      </c>
      <c r="S72" s="328">
        <f t="shared" si="20"/>
        <v>-2200000</v>
      </c>
      <c r="T72" s="304">
        <f t="shared" si="29"/>
        <v>-1</v>
      </c>
      <c r="U72" s="126"/>
      <c r="V72" s="208">
        <f t="shared" si="30"/>
        <v>0</v>
      </c>
    </row>
    <row r="73" spans="1:22" ht="12.75" customHeight="1" x14ac:dyDescent="0.2">
      <c r="A73" s="14"/>
      <c r="B73" s="20" t="s">
        <v>78</v>
      </c>
      <c r="C73" s="242"/>
      <c r="D73" s="242"/>
      <c r="E73" s="242"/>
      <c r="F73" s="242"/>
      <c r="G73" s="242"/>
      <c r="H73" s="242"/>
      <c r="I73" s="242"/>
      <c r="J73" s="242"/>
      <c r="K73" s="242"/>
      <c r="L73" s="143"/>
      <c r="M73" s="143"/>
      <c r="N73" s="143"/>
      <c r="O73" s="242"/>
      <c r="P73" s="242">
        <f t="shared" si="32"/>
        <v>0</v>
      </c>
      <c r="Q73" s="242">
        <f t="shared" si="33"/>
        <v>0</v>
      </c>
      <c r="R73" s="242">
        <f t="shared" si="34"/>
        <v>0</v>
      </c>
      <c r="S73" s="242">
        <f t="shared" si="20"/>
        <v>0</v>
      </c>
      <c r="T73" s="304">
        <f t="shared" si="29"/>
        <v>0</v>
      </c>
      <c r="U73" s="126"/>
      <c r="V73" s="208">
        <f t="shared" si="30"/>
        <v>0</v>
      </c>
    </row>
    <row r="74" spans="1:22" ht="12.75" customHeight="1" x14ac:dyDescent="0.2">
      <c r="A74" s="14" t="s">
        <v>79</v>
      </c>
      <c r="B74" s="20" t="s">
        <v>80</v>
      </c>
      <c r="C74" s="242">
        <v>0</v>
      </c>
      <c r="D74" s="242">
        <v>11000</v>
      </c>
      <c r="E74" s="242">
        <v>0</v>
      </c>
      <c r="F74" s="242"/>
      <c r="G74" s="242"/>
      <c r="H74" s="242">
        <v>11000</v>
      </c>
      <c r="I74" s="242">
        <v>0</v>
      </c>
      <c r="J74" s="242"/>
      <c r="K74" s="242"/>
      <c r="L74" s="143">
        <f>+H74/D74</f>
        <v>1</v>
      </c>
      <c r="M74" s="143" t="e">
        <f>+I74/E74</f>
        <v>#DIV/0!</v>
      </c>
      <c r="N74" s="143" t="e">
        <f>+J74/F74</f>
        <v>#DIV/0!</v>
      </c>
      <c r="O74" s="242"/>
      <c r="P74" s="328">
        <f t="shared" si="32"/>
        <v>11000</v>
      </c>
      <c r="Q74" s="328">
        <f t="shared" si="33"/>
        <v>-11000</v>
      </c>
      <c r="R74" s="328">
        <f t="shared" si="34"/>
        <v>0</v>
      </c>
      <c r="S74" s="328">
        <f t="shared" si="20"/>
        <v>0</v>
      </c>
      <c r="T74" s="304">
        <f t="shared" si="29"/>
        <v>0</v>
      </c>
      <c r="U74" s="126"/>
      <c r="V74" s="208">
        <f t="shared" si="30"/>
        <v>0</v>
      </c>
    </row>
    <row r="75" spans="1:22" ht="12.75" customHeight="1" x14ac:dyDescent="0.2">
      <c r="A75" s="14"/>
      <c r="B75" s="20" t="s">
        <v>101</v>
      </c>
      <c r="C75" s="242"/>
      <c r="D75" s="242"/>
      <c r="E75" s="242"/>
      <c r="F75" s="242"/>
      <c r="G75" s="242"/>
      <c r="H75" s="242"/>
      <c r="I75" s="242"/>
      <c r="J75" s="242"/>
      <c r="K75" s="242"/>
      <c r="L75" s="143"/>
      <c r="M75" s="143"/>
      <c r="N75" s="143"/>
      <c r="O75" s="242"/>
      <c r="P75" s="242">
        <f t="shared" si="32"/>
        <v>0</v>
      </c>
      <c r="Q75" s="242">
        <f t="shared" si="33"/>
        <v>0</v>
      </c>
      <c r="R75" s="242">
        <f t="shared" si="34"/>
        <v>0</v>
      </c>
      <c r="S75" s="242">
        <f t="shared" si="20"/>
        <v>0</v>
      </c>
      <c r="T75" s="304">
        <f t="shared" si="29"/>
        <v>0</v>
      </c>
      <c r="U75" s="126"/>
      <c r="V75" s="208">
        <f t="shared" si="30"/>
        <v>0</v>
      </c>
    </row>
    <row r="76" spans="1:22" ht="12.75" customHeight="1" x14ac:dyDescent="0.2">
      <c r="A76" s="14" t="s">
        <v>81</v>
      </c>
      <c r="B76" s="20" t="s">
        <v>82</v>
      </c>
      <c r="C76" s="242"/>
      <c r="D76" s="242"/>
      <c r="E76" s="242"/>
      <c r="F76" s="242"/>
      <c r="G76" s="242"/>
      <c r="H76" s="242"/>
      <c r="I76" s="242"/>
      <c r="J76" s="242"/>
      <c r="K76" s="242"/>
      <c r="L76" s="143"/>
      <c r="M76" s="143"/>
      <c r="N76" s="143"/>
      <c r="O76" s="242"/>
      <c r="P76" s="242">
        <f t="shared" si="32"/>
        <v>0</v>
      </c>
      <c r="Q76" s="242">
        <f t="shared" si="33"/>
        <v>0</v>
      </c>
      <c r="R76" s="242">
        <f t="shared" si="34"/>
        <v>0</v>
      </c>
      <c r="S76" s="242">
        <f t="shared" si="20"/>
        <v>0</v>
      </c>
      <c r="T76" s="304">
        <f t="shared" si="29"/>
        <v>0</v>
      </c>
      <c r="U76" s="126"/>
      <c r="V76" s="208">
        <f t="shared" si="30"/>
        <v>0</v>
      </c>
    </row>
    <row r="77" spans="1:22" ht="12.75" customHeight="1" x14ac:dyDescent="0.2">
      <c r="A77" s="14"/>
      <c r="B77" s="20" t="s">
        <v>106</v>
      </c>
      <c r="C77" s="242"/>
      <c r="D77" s="242"/>
      <c r="E77" s="242"/>
      <c r="F77" s="242"/>
      <c r="G77" s="242"/>
      <c r="H77" s="242"/>
      <c r="I77" s="242"/>
      <c r="J77" s="242"/>
      <c r="K77" s="242"/>
      <c r="L77" s="143"/>
      <c r="M77" s="143"/>
      <c r="N77" s="143"/>
      <c r="O77" s="242"/>
      <c r="P77" s="242">
        <f t="shared" si="32"/>
        <v>0</v>
      </c>
      <c r="Q77" s="242">
        <f t="shared" si="33"/>
        <v>0</v>
      </c>
      <c r="R77" s="242">
        <f t="shared" si="34"/>
        <v>0</v>
      </c>
      <c r="S77" s="242">
        <f t="shared" si="20"/>
        <v>0</v>
      </c>
      <c r="T77" s="304">
        <f t="shared" si="29"/>
        <v>0</v>
      </c>
      <c r="U77" s="126"/>
      <c r="V77" s="208">
        <f t="shared" si="30"/>
        <v>0</v>
      </c>
    </row>
    <row r="78" spans="1:22" ht="12.75" customHeight="1" x14ac:dyDescent="0.2">
      <c r="A78" s="14" t="s">
        <v>84</v>
      </c>
      <c r="B78" s="20" t="s">
        <v>85</v>
      </c>
      <c r="C78" s="242"/>
      <c r="D78" s="242"/>
      <c r="E78" s="242"/>
      <c r="F78" s="242"/>
      <c r="G78" s="242"/>
      <c r="H78" s="242"/>
      <c r="I78" s="242"/>
      <c r="J78" s="242"/>
      <c r="K78" s="242"/>
      <c r="L78" s="143"/>
      <c r="M78" s="143"/>
      <c r="N78" s="143"/>
      <c r="O78" s="242"/>
      <c r="P78" s="242">
        <f t="shared" si="32"/>
        <v>0</v>
      </c>
      <c r="Q78" s="242">
        <f t="shared" si="33"/>
        <v>0</v>
      </c>
      <c r="R78" s="242">
        <f t="shared" si="34"/>
        <v>0</v>
      </c>
      <c r="S78" s="242">
        <f t="shared" si="20"/>
        <v>0</v>
      </c>
      <c r="T78" s="304">
        <f t="shared" si="29"/>
        <v>0</v>
      </c>
      <c r="U78" s="126"/>
      <c r="V78" s="208">
        <f t="shared" si="30"/>
        <v>0</v>
      </c>
    </row>
    <row r="79" spans="1:22" ht="12.75" customHeight="1" x14ac:dyDescent="0.2">
      <c r="A79" s="14"/>
      <c r="B79" s="20" t="s">
        <v>86</v>
      </c>
      <c r="C79" s="242"/>
      <c r="D79" s="242"/>
      <c r="E79" s="242"/>
      <c r="F79" s="242"/>
      <c r="G79" s="242"/>
      <c r="H79" s="242"/>
      <c r="I79" s="242"/>
      <c r="J79" s="242"/>
      <c r="K79" s="242"/>
      <c r="L79" s="143"/>
      <c r="M79" s="143"/>
      <c r="N79" s="143"/>
      <c r="O79" s="242"/>
      <c r="P79" s="242">
        <f t="shared" si="32"/>
        <v>0</v>
      </c>
      <c r="Q79" s="242">
        <f t="shared" si="33"/>
        <v>0</v>
      </c>
      <c r="R79" s="242">
        <f t="shared" si="34"/>
        <v>0</v>
      </c>
      <c r="S79" s="242">
        <f t="shared" si="20"/>
        <v>0</v>
      </c>
      <c r="T79" s="304">
        <f t="shared" si="29"/>
        <v>0</v>
      </c>
      <c r="U79" s="126"/>
      <c r="V79" s="208">
        <f t="shared" si="30"/>
        <v>0</v>
      </c>
    </row>
    <row r="80" spans="1:22" ht="12.75" customHeight="1" x14ac:dyDescent="0.2">
      <c r="A80" s="14" t="s">
        <v>87</v>
      </c>
      <c r="B80" s="20" t="s">
        <v>88</v>
      </c>
      <c r="C80" s="242">
        <v>0</v>
      </c>
      <c r="D80" s="242">
        <v>5000</v>
      </c>
      <c r="E80" s="242">
        <v>0</v>
      </c>
      <c r="F80" s="242"/>
      <c r="G80" s="242"/>
      <c r="H80" s="242">
        <v>1017</v>
      </c>
      <c r="I80" s="242">
        <v>0</v>
      </c>
      <c r="J80" s="242"/>
      <c r="K80" s="242"/>
      <c r="L80" s="143">
        <f>+H80/D80</f>
        <v>0.2034</v>
      </c>
      <c r="M80" s="143" t="e">
        <f>+I80/E80</f>
        <v>#DIV/0!</v>
      </c>
      <c r="N80" s="143" t="e">
        <f>+J80/F80</f>
        <v>#DIV/0!</v>
      </c>
      <c r="O80" s="242"/>
      <c r="P80" s="328">
        <f t="shared" si="32"/>
        <v>5000</v>
      </c>
      <c r="Q80" s="328">
        <f t="shared" si="33"/>
        <v>-5000</v>
      </c>
      <c r="R80" s="328">
        <f t="shared" si="34"/>
        <v>0</v>
      </c>
      <c r="S80" s="328">
        <f t="shared" si="20"/>
        <v>0</v>
      </c>
      <c r="T80" s="304">
        <f t="shared" si="29"/>
        <v>0</v>
      </c>
      <c r="U80" s="126"/>
      <c r="V80" s="208">
        <f t="shared" si="30"/>
        <v>0</v>
      </c>
    </row>
    <row r="81" spans="1:24" ht="38.1" customHeight="1" x14ac:dyDescent="0.2">
      <c r="A81" s="14"/>
      <c r="B81" s="20" t="s">
        <v>92</v>
      </c>
      <c r="C81" s="242"/>
      <c r="D81" s="242"/>
      <c r="E81" s="242"/>
      <c r="F81" s="242"/>
      <c r="G81" s="242"/>
      <c r="H81" s="242"/>
      <c r="I81" s="242"/>
      <c r="J81" s="242"/>
      <c r="K81" s="242"/>
      <c r="L81" s="143"/>
      <c r="M81" s="143"/>
      <c r="N81" s="143"/>
      <c r="O81" s="242"/>
      <c r="P81" s="242">
        <f t="shared" si="32"/>
        <v>0</v>
      </c>
      <c r="Q81" s="242">
        <f t="shared" si="33"/>
        <v>0</v>
      </c>
      <c r="R81" s="242">
        <f t="shared" si="34"/>
        <v>0</v>
      </c>
      <c r="S81" s="242">
        <f t="shared" si="20"/>
        <v>0</v>
      </c>
      <c r="T81" s="304">
        <f t="shared" si="29"/>
        <v>0</v>
      </c>
      <c r="U81" s="126"/>
      <c r="V81" s="208">
        <f t="shared" si="30"/>
        <v>0</v>
      </c>
    </row>
    <row r="82" spans="1:24" ht="12.75" customHeight="1" x14ac:dyDescent="0.2">
      <c r="A82" s="29"/>
      <c r="B82" s="21"/>
      <c r="C82" s="242"/>
      <c r="D82" s="242"/>
      <c r="E82" s="242"/>
      <c r="F82" s="242"/>
      <c r="G82" s="242"/>
      <c r="H82" s="242"/>
      <c r="I82" s="242"/>
      <c r="J82" s="242"/>
      <c r="K82" s="242"/>
      <c r="L82" s="161"/>
      <c r="M82" s="161"/>
      <c r="N82" s="161"/>
      <c r="O82" s="242"/>
      <c r="P82" s="242">
        <f t="shared" si="32"/>
        <v>0</v>
      </c>
      <c r="Q82" s="242">
        <f t="shared" si="33"/>
        <v>0</v>
      </c>
      <c r="R82" s="242">
        <f t="shared" si="34"/>
        <v>0</v>
      </c>
      <c r="S82" s="242">
        <f t="shared" si="20"/>
        <v>0</v>
      </c>
      <c r="T82" s="304">
        <f t="shared" si="29"/>
        <v>0</v>
      </c>
      <c r="U82" s="126"/>
      <c r="V82" s="208">
        <f t="shared" si="30"/>
        <v>0</v>
      </c>
    </row>
    <row r="83" spans="1:24" s="43" customFormat="1" x14ac:dyDescent="0.2">
      <c r="A83" s="4" t="s">
        <v>158</v>
      </c>
      <c r="B83" s="3" t="s">
        <v>159</v>
      </c>
      <c r="C83" s="334">
        <f>+C84</f>
        <v>350000</v>
      </c>
      <c r="D83" s="334">
        <f t="shared" ref="D83:F83" si="36">SUM(D84:D85)</f>
        <v>364000</v>
      </c>
      <c r="E83" s="334">
        <f t="shared" si="36"/>
        <v>0</v>
      </c>
      <c r="F83" s="334">
        <f t="shared" si="36"/>
        <v>0</v>
      </c>
      <c r="G83" s="334"/>
      <c r="H83" s="334">
        <f t="shared" ref="H83:J83" si="37">SUM(H84:H85)</f>
        <v>362960</v>
      </c>
      <c r="I83" s="334">
        <f t="shared" si="37"/>
        <v>0</v>
      </c>
      <c r="J83" s="334">
        <f t="shared" si="37"/>
        <v>0</v>
      </c>
      <c r="K83" s="334"/>
      <c r="L83" s="89">
        <f t="shared" ref="L83:L88" si="38">+H83/D83</f>
        <v>0.99714285714285711</v>
      </c>
      <c r="M83" s="89" t="e">
        <f t="shared" ref="M83:M88" si="39">+I83/E83</f>
        <v>#DIV/0!</v>
      </c>
      <c r="N83" s="89" t="e">
        <f t="shared" ref="N83:N88" si="40">+J83/F83</f>
        <v>#DIV/0!</v>
      </c>
      <c r="O83" s="334"/>
      <c r="P83" s="334">
        <f t="shared" si="32"/>
        <v>14000</v>
      </c>
      <c r="Q83" s="334">
        <f t="shared" si="33"/>
        <v>-364000</v>
      </c>
      <c r="R83" s="334">
        <f t="shared" si="34"/>
        <v>0</v>
      </c>
      <c r="S83" s="334">
        <f t="shared" ref="S83:S88" si="41">SUM(P83:R83)</f>
        <v>-350000</v>
      </c>
      <c r="T83" s="304">
        <f t="shared" ref="T83:T88" si="42">IF(C83=0,0,+S83/C83)</f>
        <v>-1</v>
      </c>
      <c r="U83" s="126"/>
      <c r="V83" s="208">
        <f t="shared" ref="V83:V88" si="43">+S83-E83+C83</f>
        <v>0</v>
      </c>
    </row>
    <row r="84" spans="1:24" x14ac:dyDescent="0.2">
      <c r="A84" s="44"/>
      <c r="B84" s="45"/>
      <c r="C84" s="241">
        <v>350000</v>
      </c>
      <c r="D84" s="242">
        <v>364000</v>
      </c>
      <c r="E84" s="242">
        <v>0</v>
      </c>
      <c r="F84" s="242"/>
      <c r="G84" s="242"/>
      <c r="H84" s="242">
        <v>362960</v>
      </c>
      <c r="I84" s="242">
        <v>0</v>
      </c>
      <c r="J84" s="242"/>
      <c r="K84" s="242"/>
      <c r="L84" s="188">
        <f t="shared" si="38"/>
        <v>0.99714285714285711</v>
      </c>
      <c r="M84" s="188" t="e">
        <f t="shared" si="39"/>
        <v>#DIV/0!</v>
      </c>
      <c r="N84" s="188" t="e">
        <f t="shared" si="40"/>
        <v>#DIV/0!</v>
      </c>
      <c r="O84" s="242"/>
      <c r="P84" s="328">
        <f t="shared" si="32"/>
        <v>14000</v>
      </c>
      <c r="Q84" s="328">
        <f t="shared" si="33"/>
        <v>-364000</v>
      </c>
      <c r="R84" s="328">
        <f t="shared" si="34"/>
        <v>0</v>
      </c>
      <c r="S84" s="328">
        <f t="shared" si="41"/>
        <v>-350000</v>
      </c>
      <c r="T84" s="304">
        <f t="shared" si="42"/>
        <v>-1</v>
      </c>
      <c r="U84" s="126"/>
      <c r="V84" s="208">
        <f t="shared" si="43"/>
        <v>0</v>
      </c>
    </row>
    <row r="85" spans="1:24" hidden="1" x14ac:dyDescent="0.2">
      <c r="A85" s="14"/>
      <c r="B85" s="20"/>
      <c r="C85" s="241"/>
      <c r="D85" s="242"/>
      <c r="E85" s="242"/>
      <c r="F85" s="242"/>
      <c r="G85" s="242"/>
      <c r="H85" s="242"/>
      <c r="I85" s="242"/>
      <c r="J85" s="242"/>
      <c r="K85" s="242"/>
      <c r="L85" s="188" t="e">
        <f t="shared" si="38"/>
        <v>#DIV/0!</v>
      </c>
      <c r="M85" s="188" t="e">
        <f t="shared" si="39"/>
        <v>#DIV/0!</v>
      </c>
      <c r="N85" s="188" t="e">
        <f t="shared" si="40"/>
        <v>#DIV/0!</v>
      </c>
      <c r="O85" s="242"/>
      <c r="P85" s="328">
        <f t="shared" si="32"/>
        <v>0</v>
      </c>
      <c r="Q85" s="328">
        <f t="shared" si="33"/>
        <v>0</v>
      </c>
      <c r="R85" s="328">
        <f t="shared" si="34"/>
        <v>0</v>
      </c>
      <c r="S85" s="328">
        <f t="shared" si="41"/>
        <v>0</v>
      </c>
      <c r="T85" s="304">
        <f t="shared" si="42"/>
        <v>0</v>
      </c>
      <c r="U85" s="126"/>
      <c r="V85" s="208">
        <f t="shared" si="43"/>
        <v>0</v>
      </c>
    </row>
    <row r="86" spans="1:24" s="43" customFormat="1" x14ac:dyDescent="0.2">
      <c r="A86" s="4" t="s">
        <v>173</v>
      </c>
      <c r="B86" s="3" t="s">
        <v>174</v>
      </c>
      <c r="C86" s="334">
        <f>SUM(C87:C88)</f>
        <v>0</v>
      </c>
      <c r="D86" s="334">
        <f t="shared" ref="D86:F86" si="44">SUM(D87:D88)</f>
        <v>0</v>
      </c>
      <c r="E86" s="334">
        <f t="shared" si="44"/>
        <v>0</v>
      </c>
      <c r="F86" s="334">
        <f t="shared" si="44"/>
        <v>0</v>
      </c>
      <c r="G86" s="334"/>
      <c r="H86" s="334">
        <f t="shared" ref="H86:J86" si="45">SUM(H87:H88)</f>
        <v>0</v>
      </c>
      <c r="I86" s="334">
        <f t="shared" si="45"/>
        <v>0</v>
      </c>
      <c r="J86" s="334">
        <f t="shared" si="45"/>
        <v>0</v>
      </c>
      <c r="K86" s="334"/>
      <c r="L86" s="89" t="e">
        <f t="shared" si="38"/>
        <v>#DIV/0!</v>
      </c>
      <c r="M86" s="89" t="e">
        <f t="shared" si="39"/>
        <v>#DIV/0!</v>
      </c>
      <c r="N86" s="89" t="e">
        <f t="shared" si="40"/>
        <v>#DIV/0!</v>
      </c>
      <c r="O86" s="334"/>
      <c r="P86" s="334">
        <f t="shared" si="32"/>
        <v>0</v>
      </c>
      <c r="Q86" s="334">
        <f t="shared" si="33"/>
        <v>0</v>
      </c>
      <c r="R86" s="334">
        <f t="shared" si="34"/>
        <v>0</v>
      </c>
      <c r="S86" s="334">
        <f t="shared" si="41"/>
        <v>0</v>
      </c>
      <c r="T86" s="304">
        <f t="shared" si="42"/>
        <v>0</v>
      </c>
      <c r="U86" s="126"/>
      <c r="V86" s="208">
        <f t="shared" si="43"/>
        <v>0</v>
      </c>
    </row>
    <row r="87" spans="1:24" x14ac:dyDescent="0.2">
      <c r="A87" s="44"/>
      <c r="B87" s="45"/>
      <c r="C87" s="241"/>
      <c r="D87" s="242"/>
      <c r="E87" s="242"/>
      <c r="F87" s="242"/>
      <c r="G87" s="242"/>
      <c r="H87" s="242"/>
      <c r="I87" s="242"/>
      <c r="J87" s="242"/>
      <c r="K87" s="242"/>
      <c r="L87" s="188" t="e">
        <f t="shared" si="38"/>
        <v>#DIV/0!</v>
      </c>
      <c r="M87" s="188" t="e">
        <f t="shared" si="39"/>
        <v>#DIV/0!</v>
      </c>
      <c r="N87" s="188" t="e">
        <f t="shared" si="40"/>
        <v>#DIV/0!</v>
      </c>
      <c r="O87" s="242"/>
      <c r="P87" s="328">
        <f t="shared" si="32"/>
        <v>0</v>
      </c>
      <c r="Q87" s="328">
        <f t="shared" si="33"/>
        <v>0</v>
      </c>
      <c r="R87" s="328">
        <f t="shared" si="34"/>
        <v>0</v>
      </c>
      <c r="S87" s="328">
        <f t="shared" si="41"/>
        <v>0</v>
      </c>
      <c r="T87" s="304">
        <f t="shared" si="42"/>
        <v>0</v>
      </c>
      <c r="U87" s="126"/>
      <c r="V87" s="208">
        <f t="shared" si="43"/>
        <v>0</v>
      </c>
    </row>
    <row r="88" spans="1:24" hidden="1" x14ac:dyDescent="0.2">
      <c r="A88" s="14"/>
      <c r="B88" s="20"/>
      <c r="C88" s="241"/>
      <c r="D88" s="242"/>
      <c r="E88" s="242"/>
      <c r="F88" s="242"/>
      <c r="G88" s="242"/>
      <c r="H88" s="242"/>
      <c r="I88" s="242"/>
      <c r="J88" s="242"/>
      <c r="K88" s="242"/>
      <c r="L88" s="188" t="e">
        <f t="shared" si="38"/>
        <v>#DIV/0!</v>
      </c>
      <c r="M88" s="188" t="e">
        <f t="shared" si="39"/>
        <v>#DIV/0!</v>
      </c>
      <c r="N88" s="188" t="e">
        <f t="shared" si="40"/>
        <v>#DIV/0!</v>
      </c>
      <c r="O88" s="242"/>
      <c r="P88" s="328">
        <f t="shared" si="32"/>
        <v>0</v>
      </c>
      <c r="Q88" s="328">
        <f t="shared" si="33"/>
        <v>0</v>
      </c>
      <c r="R88" s="328">
        <f t="shared" si="34"/>
        <v>0</v>
      </c>
      <c r="S88" s="328">
        <f t="shared" si="41"/>
        <v>0</v>
      </c>
      <c r="T88" s="304">
        <f t="shared" si="42"/>
        <v>0</v>
      </c>
      <c r="U88" s="126"/>
      <c r="V88" s="208">
        <f t="shared" si="43"/>
        <v>0</v>
      </c>
    </row>
    <row r="89" spans="1:24" ht="18" customHeight="1" x14ac:dyDescent="0.2">
      <c r="A89" s="7"/>
      <c r="B89" s="501" t="s">
        <v>378</v>
      </c>
      <c r="C89" s="509">
        <f>C13+C29+C32+C83+C86</f>
        <v>31145000</v>
      </c>
      <c r="D89" s="509">
        <f t="shared" ref="D89:J89" si="46">D13+D29+D32+D83+D86</f>
        <v>32745000</v>
      </c>
      <c r="E89" s="509">
        <f t="shared" si="46"/>
        <v>0</v>
      </c>
      <c r="F89" s="509">
        <f t="shared" si="46"/>
        <v>0</v>
      </c>
      <c r="G89" s="509"/>
      <c r="H89" s="509">
        <f t="shared" si="46"/>
        <v>14585841</v>
      </c>
      <c r="I89" s="509">
        <f t="shared" si="46"/>
        <v>0</v>
      </c>
      <c r="J89" s="509">
        <f t="shared" si="46"/>
        <v>0</v>
      </c>
      <c r="K89" s="237"/>
      <c r="L89" s="89">
        <f>+H89/D89</f>
        <v>0.44543719651855246</v>
      </c>
      <c r="M89" s="89" t="e">
        <f>+I89/E89</f>
        <v>#DIV/0!</v>
      </c>
      <c r="N89" s="89" t="e">
        <f>+J89/F89</f>
        <v>#DIV/0!</v>
      </c>
      <c r="O89" s="237"/>
      <c r="P89" s="237">
        <f t="shared" si="32"/>
        <v>1600000</v>
      </c>
      <c r="Q89" s="237">
        <f t="shared" si="33"/>
        <v>-32745000</v>
      </c>
      <c r="R89" s="237">
        <f t="shared" si="34"/>
        <v>0</v>
      </c>
      <c r="S89" s="237">
        <f t="shared" si="20"/>
        <v>-31145000</v>
      </c>
      <c r="T89" s="304">
        <f t="shared" si="29"/>
        <v>-1</v>
      </c>
      <c r="U89" s="126"/>
      <c r="V89" s="208">
        <f t="shared" si="30"/>
        <v>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30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ht="12.75" customHeight="1" x14ac:dyDescent="0.2">
      <c r="A93" s="4" t="s">
        <v>241</v>
      </c>
      <c r="B93" s="3" t="s">
        <v>400</v>
      </c>
      <c r="C93" s="240">
        <v>0</v>
      </c>
      <c r="D93" s="331">
        <f>+D94</f>
        <v>0</v>
      </c>
      <c r="E93" s="331">
        <f>+E94</f>
        <v>0</v>
      </c>
      <c r="F93" s="331">
        <f>+F94</f>
        <v>0</v>
      </c>
      <c r="G93" s="331"/>
      <c r="H93" s="331">
        <f>+H94</f>
        <v>0</v>
      </c>
      <c r="I93" s="331">
        <f>+I94</f>
        <v>0</v>
      </c>
      <c r="J93" s="331">
        <f>+J94</f>
        <v>0</v>
      </c>
      <c r="K93" s="331"/>
      <c r="L93" s="89" t="e">
        <f t="shared" ref="L93:L102" si="47">+H93/D93</f>
        <v>#DIV/0!</v>
      </c>
      <c r="M93" s="89" t="e">
        <f t="shared" ref="M93:M102" si="48">+I93/E93</f>
        <v>#DIV/0!</v>
      </c>
      <c r="N93" s="89" t="e">
        <f t="shared" ref="N93:N102" si="49">+J93/F93</f>
        <v>#DIV/0!</v>
      </c>
      <c r="O93" s="331"/>
      <c r="P93" s="331">
        <f t="shared" si="32"/>
        <v>0</v>
      </c>
      <c r="Q93" s="331">
        <f t="shared" si="33"/>
        <v>0</v>
      </c>
      <c r="R93" s="331">
        <f t="shared" si="34"/>
        <v>0</v>
      </c>
      <c r="S93" s="331">
        <f t="shared" si="20"/>
        <v>0</v>
      </c>
      <c r="T93" s="304">
        <f t="shared" si="29"/>
        <v>0</v>
      </c>
      <c r="U93" s="126"/>
      <c r="V93" s="208">
        <f t="shared" si="30"/>
        <v>0</v>
      </c>
    </row>
    <row r="94" spans="1:24" ht="12.75" customHeight="1" x14ac:dyDescent="0.2">
      <c r="A94" s="44" t="s">
        <v>261</v>
      </c>
      <c r="B94" s="45" t="s">
        <v>399</v>
      </c>
      <c r="C94" s="332">
        <v>0</v>
      </c>
      <c r="D94" s="333">
        <v>0</v>
      </c>
      <c r="E94" s="333">
        <v>0</v>
      </c>
      <c r="F94" s="333"/>
      <c r="G94" s="333"/>
      <c r="H94" s="333">
        <v>0</v>
      </c>
      <c r="I94" s="333">
        <f>+H94</f>
        <v>0</v>
      </c>
      <c r="J94" s="333"/>
      <c r="K94" s="333"/>
      <c r="L94" s="188" t="e">
        <f t="shared" si="47"/>
        <v>#DIV/0!</v>
      </c>
      <c r="M94" s="188" t="e">
        <f t="shared" si="48"/>
        <v>#DIV/0!</v>
      </c>
      <c r="N94" s="188" t="e">
        <f t="shared" si="49"/>
        <v>#DIV/0!</v>
      </c>
      <c r="O94" s="333"/>
      <c r="P94" s="328">
        <f t="shared" si="32"/>
        <v>0</v>
      </c>
      <c r="Q94" s="328">
        <f t="shared" si="33"/>
        <v>0</v>
      </c>
      <c r="R94" s="328">
        <f t="shared" si="34"/>
        <v>0</v>
      </c>
      <c r="S94" s="328">
        <f t="shared" si="20"/>
        <v>0</v>
      </c>
      <c r="T94" s="304">
        <f t="shared" si="29"/>
        <v>0</v>
      </c>
      <c r="U94" s="126"/>
      <c r="V94" s="208">
        <f t="shared" si="30"/>
        <v>0</v>
      </c>
    </row>
    <row r="95" spans="1:24" s="43" customFormat="1" ht="15" customHeight="1" x14ac:dyDescent="0.2">
      <c r="A95" s="4" t="s">
        <v>284</v>
      </c>
      <c r="B95" s="3" t="s">
        <v>285</v>
      </c>
      <c r="C95" s="240">
        <f>SUM(C96:C97)</f>
        <v>1521000</v>
      </c>
      <c r="D95" s="331">
        <f>+D96+D97+D98</f>
        <v>1521000</v>
      </c>
      <c r="E95" s="331">
        <f>+E96+E97+E98</f>
        <v>0</v>
      </c>
      <c r="F95" s="331">
        <f>+F96+F97+F98</f>
        <v>0</v>
      </c>
      <c r="G95" s="331"/>
      <c r="H95" s="331">
        <f>+H96+H97+H98</f>
        <v>749529</v>
      </c>
      <c r="I95" s="331">
        <f>+I96+I97+I98</f>
        <v>0</v>
      </c>
      <c r="J95" s="331">
        <f>+J96+J97+J98</f>
        <v>0</v>
      </c>
      <c r="K95" s="331"/>
      <c r="L95" s="89">
        <f t="shared" si="47"/>
        <v>0.49278698224852069</v>
      </c>
      <c r="M95" s="89" t="e">
        <f t="shared" si="48"/>
        <v>#DIV/0!</v>
      </c>
      <c r="N95" s="89" t="e">
        <f t="shared" si="49"/>
        <v>#DIV/0!</v>
      </c>
      <c r="O95" s="331"/>
      <c r="P95" s="331">
        <f t="shared" si="32"/>
        <v>0</v>
      </c>
      <c r="Q95" s="331">
        <f t="shared" si="33"/>
        <v>-1521000</v>
      </c>
      <c r="R95" s="331">
        <f t="shared" si="34"/>
        <v>0</v>
      </c>
      <c r="S95" s="331">
        <f t="shared" si="20"/>
        <v>-1521000</v>
      </c>
      <c r="T95" s="304">
        <f t="shared" si="29"/>
        <v>-1</v>
      </c>
      <c r="U95" s="126"/>
      <c r="V95" s="208">
        <f t="shared" si="30"/>
        <v>0</v>
      </c>
    </row>
    <row r="96" spans="1:24" s="8" customFormat="1" x14ac:dyDescent="0.2">
      <c r="A96" s="14" t="s">
        <v>288</v>
      </c>
      <c r="B96" s="20" t="s">
        <v>289</v>
      </c>
      <c r="C96" s="332">
        <v>1510000</v>
      </c>
      <c r="D96" s="333">
        <v>1508000</v>
      </c>
      <c r="E96" s="333">
        <v>0</v>
      </c>
      <c r="F96" s="333"/>
      <c r="G96" s="333"/>
      <c r="H96" s="333">
        <v>743206</v>
      </c>
      <c r="I96" s="333">
        <v>0</v>
      </c>
      <c r="J96" s="333"/>
      <c r="K96" s="333"/>
      <c r="L96" s="188">
        <f t="shared" si="47"/>
        <v>0.492842175066313</v>
      </c>
      <c r="M96" s="188" t="e">
        <f t="shared" si="48"/>
        <v>#DIV/0!</v>
      </c>
      <c r="N96" s="188" t="e">
        <f t="shared" si="49"/>
        <v>#DIV/0!</v>
      </c>
      <c r="O96" s="333"/>
      <c r="P96" s="328">
        <f t="shared" ref="P96:P102" si="50">+(D96-C96)*P$10</f>
        <v>-2000</v>
      </c>
      <c r="Q96" s="328">
        <f t="shared" ref="Q96:Q102" si="51">+(E96-D96)*Q$10</f>
        <v>-1508000</v>
      </c>
      <c r="R96" s="328">
        <f t="shared" ref="R96:R102" si="52">+(F96-E96)*R$10</f>
        <v>0</v>
      </c>
      <c r="S96" s="328">
        <f t="shared" ref="S96:S102" si="53">SUM(P96:R96)</f>
        <v>-1510000</v>
      </c>
      <c r="T96" s="304">
        <f t="shared" si="29"/>
        <v>-1</v>
      </c>
      <c r="U96" s="126"/>
      <c r="V96" s="208">
        <f t="shared" si="30"/>
        <v>0</v>
      </c>
    </row>
    <row r="97" spans="1:22" x14ac:dyDescent="0.2">
      <c r="A97" s="14" t="s">
        <v>299</v>
      </c>
      <c r="B97" s="20" t="s">
        <v>300</v>
      </c>
      <c r="C97" s="241">
        <v>11000</v>
      </c>
      <c r="D97" s="242">
        <v>11000</v>
      </c>
      <c r="E97" s="242">
        <v>0</v>
      </c>
      <c r="F97" s="242"/>
      <c r="G97" s="242"/>
      <c r="H97" s="242">
        <v>4644</v>
      </c>
      <c r="I97" s="242">
        <v>0</v>
      </c>
      <c r="J97" s="242"/>
      <c r="K97" s="242"/>
      <c r="L97" s="188">
        <f t="shared" si="47"/>
        <v>0.42218181818181816</v>
      </c>
      <c r="M97" s="188" t="e">
        <f t="shared" si="48"/>
        <v>#DIV/0!</v>
      </c>
      <c r="N97" s="188" t="e">
        <f t="shared" si="49"/>
        <v>#DIV/0!</v>
      </c>
      <c r="O97" s="242"/>
      <c r="P97" s="328">
        <f t="shared" si="50"/>
        <v>0</v>
      </c>
      <c r="Q97" s="328">
        <f t="shared" si="51"/>
        <v>-11000</v>
      </c>
      <c r="R97" s="328">
        <f t="shared" si="52"/>
        <v>0</v>
      </c>
      <c r="S97" s="328">
        <f t="shared" si="53"/>
        <v>-11000</v>
      </c>
      <c r="T97" s="304">
        <f t="shared" si="29"/>
        <v>-1</v>
      </c>
      <c r="U97" s="126"/>
      <c r="V97" s="208">
        <f t="shared" si="30"/>
        <v>0</v>
      </c>
    </row>
    <row r="98" spans="1:22" x14ac:dyDescent="0.2">
      <c r="A98" s="44" t="s">
        <v>304</v>
      </c>
      <c r="B98" s="45" t="s">
        <v>305</v>
      </c>
      <c r="C98" s="241">
        <v>0</v>
      </c>
      <c r="D98" s="242">
        <v>2000</v>
      </c>
      <c r="E98" s="242">
        <v>0</v>
      </c>
      <c r="F98" s="242"/>
      <c r="G98" s="242"/>
      <c r="H98" s="242">
        <f>1599+80</f>
        <v>1679</v>
      </c>
      <c r="I98" s="242">
        <v>0</v>
      </c>
      <c r="J98" s="242"/>
      <c r="K98" s="242"/>
      <c r="L98" s="188">
        <f t="shared" si="47"/>
        <v>0.83950000000000002</v>
      </c>
      <c r="M98" s="188" t="e">
        <f t="shared" si="48"/>
        <v>#DIV/0!</v>
      </c>
      <c r="N98" s="188" t="e">
        <f t="shared" si="49"/>
        <v>#DIV/0!</v>
      </c>
      <c r="O98" s="242"/>
      <c r="P98" s="328">
        <f t="shared" si="50"/>
        <v>2000</v>
      </c>
      <c r="Q98" s="328">
        <f t="shared" si="51"/>
        <v>-2000</v>
      </c>
      <c r="R98" s="328">
        <f t="shared" si="52"/>
        <v>0</v>
      </c>
      <c r="S98" s="328">
        <f t="shared" si="53"/>
        <v>0</v>
      </c>
      <c r="T98" s="304">
        <f t="shared" si="29"/>
        <v>0</v>
      </c>
      <c r="U98" s="126"/>
      <c r="V98" s="208">
        <f t="shared" si="30"/>
        <v>0</v>
      </c>
    </row>
    <row r="99" spans="1:22" s="43" customFormat="1" x14ac:dyDescent="0.2">
      <c r="A99" s="4" t="s">
        <v>333</v>
      </c>
      <c r="B99" s="3" t="s">
        <v>334</v>
      </c>
      <c r="C99" s="334">
        <f>SUM(C100:C101)</f>
        <v>29624000</v>
      </c>
      <c r="D99" s="334">
        <f t="shared" ref="D99:J99" si="54">SUM(D100:D101)</f>
        <v>31224000</v>
      </c>
      <c r="E99" s="334">
        <f t="shared" si="54"/>
        <v>0</v>
      </c>
      <c r="F99" s="334">
        <f t="shared" si="54"/>
        <v>0</v>
      </c>
      <c r="G99" s="334"/>
      <c r="H99" s="334">
        <f t="shared" si="54"/>
        <v>16521197</v>
      </c>
      <c r="I99" s="334">
        <f t="shared" si="54"/>
        <v>0</v>
      </c>
      <c r="J99" s="334">
        <f t="shared" si="54"/>
        <v>0</v>
      </c>
      <c r="K99" s="334"/>
      <c r="L99" s="89">
        <f t="shared" si="47"/>
        <v>0.52911853061747371</v>
      </c>
      <c r="M99" s="89" t="e">
        <f t="shared" si="48"/>
        <v>#DIV/0!</v>
      </c>
      <c r="N99" s="89" t="e">
        <f t="shared" si="49"/>
        <v>#DIV/0!</v>
      </c>
      <c r="O99" s="334"/>
      <c r="P99" s="334">
        <f t="shared" si="50"/>
        <v>1600000</v>
      </c>
      <c r="Q99" s="334">
        <f t="shared" si="51"/>
        <v>-31224000</v>
      </c>
      <c r="R99" s="334">
        <f t="shared" si="52"/>
        <v>0</v>
      </c>
      <c r="S99" s="334">
        <f t="shared" si="53"/>
        <v>-29624000</v>
      </c>
      <c r="T99" s="304">
        <f t="shared" si="29"/>
        <v>-1</v>
      </c>
      <c r="U99" s="126"/>
      <c r="V99" s="208">
        <f t="shared" si="30"/>
        <v>0</v>
      </c>
    </row>
    <row r="100" spans="1:22" x14ac:dyDescent="0.2">
      <c r="A100" s="44" t="s">
        <v>359</v>
      </c>
      <c r="B100" s="45" t="s">
        <v>390</v>
      </c>
      <c r="C100" s="241">
        <f>C105</f>
        <v>29366179</v>
      </c>
      <c r="D100" s="242">
        <v>30966179</v>
      </c>
      <c r="E100" s="242">
        <v>0</v>
      </c>
      <c r="F100" s="242"/>
      <c r="G100" s="242"/>
      <c r="H100" s="242">
        <v>16263376</v>
      </c>
      <c r="I100" s="242">
        <v>0</v>
      </c>
      <c r="J100" s="242"/>
      <c r="K100" s="242"/>
      <c r="L100" s="188">
        <f t="shared" si="47"/>
        <v>0.52519802330148646</v>
      </c>
      <c r="M100" s="188" t="e">
        <f t="shared" si="48"/>
        <v>#DIV/0!</v>
      </c>
      <c r="N100" s="188" t="e">
        <f t="shared" si="49"/>
        <v>#DIV/0!</v>
      </c>
      <c r="O100" s="242"/>
      <c r="P100" s="328">
        <f t="shared" si="50"/>
        <v>1600000</v>
      </c>
      <c r="Q100" s="328">
        <f t="shared" si="51"/>
        <v>-30966179</v>
      </c>
      <c r="R100" s="328">
        <f t="shared" si="52"/>
        <v>0</v>
      </c>
      <c r="S100" s="328">
        <f t="shared" si="53"/>
        <v>-29366179</v>
      </c>
      <c r="T100" s="304">
        <f t="shared" si="29"/>
        <v>-1</v>
      </c>
      <c r="U100" s="126"/>
      <c r="V100" s="208">
        <f t="shared" si="30"/>
        <v>0</v>
      </c>
    </row>
    <row r="101" spans="1:22" x14ac:dyDescent="0.2">
      <c r="A101" s="14" t="s">
        <v>347</v>
      </c>
      <c r="B101" s="20" t="s">
        <v>348</v>
      </c>
      <c r="C101" s="626">
        <v>257821</v>
      </c>
      <c r="D101" s="242">
        <v>257821</v>
      </c>
      <c r="E101" s="242">
        <v>0</v>
      </c>
      <c r="F101" s="242"/>
      <c r="G101" s="242"/>
      <c r="H101" s="242">
        <v>257821</v>
      </c>
      <c r="I101" s="242">
        <v>0</v>
      </c>
      <c r="J101" s="242"/>
      <c r="K101" s="242"/>
      <c r="L101" s="188">
        <f t="shared" si="47"/>
        <v>1</v>
      </c>
      <c r="M101" s="188" t="e">
        <f t="shared" si="48"/>
        <v>#DIV/0!</v>
      </c>
      <c r="N101" s="188" t="e">
        <f t="shared" si="49"/>
        <v>#DIV/0!</v>
      </c>
      <c r="O101" s="242"/>
      <c r="P101" s="328">
        <f t="shared" si="50"/>
        <v>0</v>
      </c>
      <c r="Q101" s="328">
        <f t="shared" si="51"/>
        <v>-257821</v>
      </c>
      <c r="R101" s="328">
        <f t="shared" si="52"/>
        <v>0</v>
      </c>
      <c r="S101" s="328">
        <f t="shared" si="53"/>
        <v>-257821</v>
      </c>
      <c r="T101" s="304">
        <f t="shared" si="29"/>
        <v>-1</v>
      </c>
      <c r="U101" s="126"/>
      <c r="V101" s="208">
        <f t="shared" si="30"/>
        <v>0</v>
      </c>
    </row>
    <row r="102" spans="1:22" ht="23.25" customHeight="1" x14ac:dyDescent="0.2">
      <c r="A102" s="5"/>
      <c r="B102" s="5" t="s">
        <v>377</v>
      </c>
      <c r="C102" s="237">
        <f>+C93+C95+C99</f>
        <v>31145000</v>
      </c>
      <c r="D102" s="237">
        <f>+D93+D95+D99</f>
        <v>32745000</v>
      </c>
      <c r="E102" s="237">
        <f>+E93+E95+E99</f>
        <v>0</v>
      </c>
      <c r="F102" s="237">
        <f>+F93+F95+F99</f>
        <v>0</v>
      </c>
      <c r="G102" s="237"/>
      <c r="H102" s="237">
        <f>+H93+H95+H99</f>
        <v>17270726</v>
      </c>
      <c r="I102" s="237">
        <f>+I93+I95+I99</f>
        <v>0</v>
      </c>
      <c r="J102" s="237">
        <f>+J93+J95+J99</f>
        <v>0</v>
      </c>
      <c r="K102" s="237"/>
      <c r="L102" s="89">
        <f t="shared" si="47"/>
        <v>0.52743093602076652</v>
      </c>
      <c r="M102" s="89" t="e">
        <f t="shared" si="48"/>
        <v>#DIV/0!</v>
      </c>
      <c r="N102" s="89" t="e">
        <f t="shared" si="49"/>
        <v>#DIV/0!</v>
      </c>
      <c r="O102" s="237"/>
      <c r="P102" s="237">
        <f t="shared" si="50"/>
        <v>1600000</v>
      </c>
      <c r="Q102" s="237">
        <f t="shared" si="51"/>
        <v>-32745000</v>
      </c>
      <c r="R102" s="237">
        <f t="shared" si="52"/>
        <v>0</v>
      </c>
      <c r="S102" s="237">
        <f t="shared" si="53"/>
        <v>-31145000</v>
      </c>
      <c r="T102" s="304">
        <f t="shared" si="29"/>
        <v>-1</v>
      </c>
      <c r="U102" s="126"/>
      <c r="V102" s="208">
        <f t="shared" si="30"/>
        <v>0</v>
      </c>
    </row>
    <row r="103" spans="1:22" x14ac:dyDescent="0.2">
      <c r="C103" s="303"/>
      <c r="D103" s="302"/>
      <c r="E103" s="302"/>
      <c r="F103" s="302"/>
      <c r="G103" s="302"/>
      <c r="H103" s="302"/>
      <c r="I103" s="302"/>
      <c r="J103" s="302"/>
      <c r="K103" s="302"/>
      <c r="O103" s="302"/>
      <c r="P103" s="302"/>
      <c r="Q103" s="302"/>
      <c r="R103" s="302"/>
      <c r="S103" s="302"/>
    </row>
    <row r="104" spans="1:22" x14ac:dyDescent="0.2">
      <c r="C104" s="303"/>
      <c r="D104" s="303"/>
      <c r="E104" s="303"/>
      <c r="F104" s="303"/>
      <c r="G104" s="303"/>
      <c r="H104" s="303"/>
      <c r="I104" s="303"/>
      <c r="J104" s="303"/>
      <c r="K104" s="303"/>
      <c r="O104" s="303"/>
      <c r="P104" s="303"/>
      <c r="Q104" s="303"/>
      <c r="R104" s="303"/>
      <c r="S104" s="303"/>
    </row>
    <row r="105" spans="1:22" x14ac:dyDescent="0.2">
      <c r="C105" s="303">
        <f>+C89-C95-C101</f>
        <v>29366179</v>
      </c>
      <c r="D105" s="303"/>
      <c r="E105" s="303"/>
      <c r="F105" s="303"/>
      <c r="G105" s="303"/>
      <c r="H105" s="303"/>
      <c r="I105" s="303"/>
      <c r="J105" s="303"/>
      <c r="K105" s="303"/>
      <c r="O105" s="303"/>
      <c r="P105" s="303"/>
      <c r="Q105" s="303"/>
      <c r="R105" s="303"/>
      <c r="S105" s="303"/>
    </row>
    <row r="106" spans="1:22" x14ac:dyDescent="0.2">
      <c r="C106" s="303"/>
      <c r="D106" s="303"/>
      <c r="E106" s="303"/>
      <c r="F106" s="303"/>
      <c r="G106" s="303"/>
      <c r="H106" s="303"/>
      <c r="I106" s="303"/>
      <c r="J106" s="303"/>
      <c r="K106" s="303"/>
      <c r="O106" s="303"/>
      <c r="P106" s="303"/>
      <c r="Q106" s="303"/>
      <c r="R106" s="303"/>
      <c r="S106" s="303"/>
    </row>
    <row r="107" spans="1:22" x14ac:dyDescent="0.2">
      <c r="A107" s="61" t="s">
        <v>359</v>
      </c>
      <c r="B107" s="61" t="s">
        <v>535</v>
      </c>
      <c r="C107" s="303">
        <v>9393600</v>
      </c>
      <c r="D107" s="303"/>
      <c r="E107" s="303"/>
      <c r="F107" s="303"/>
      <c r="G107" s="303"/>
      <c r="H107" s="303"/>
      <c r="I107" s="303"/>
      <c r="J107" s="303"/>
      <c r="K107" s="303"/>
      <c r="O107" s="303"/>
      <c r="P107" s="303"/>
      <c r="Q107" s="303"/>
      <c r="R107" s="303"/>
      <c r="S107" s="303"/>
    </row>
    <row r="108" spans="1:22" x14ac:dyDescent="0.2">
      <c r="C108" s="303"/>
      <c r="D108" s="303"/>
      <c r="E108" s="303"/>
      <c r="F108" s="303"/>
      <c r="G108" s="303"/>
      <c r="H108" s="303"/>
      <c r="I108" s="303"/>
      <c r="J108" s="303"/>
      <c r="K108" s="303"/>
      <c r="O108" s="303"/>
      <c r="P108" s="303"/>
      <c r="Q108" s="303"/>
      <c r="R108" s="303"/>
      <c r="S108" s="303"/>
    </row>
    <row r="109" spans="1:22" x14ac:dyDescent="0.2">
      <c r="C109" s="303"/>
      <c r="D109" s="303"/>
      <c r="E109" s="303"/>
      <c r="F109" s="303"/>
      <c r="G109" s="303"/>
      <c r="H109" s="303"/>
      <c r="I109" s="303"/>
      <c r="J109" s="303"/>
      <c r="K109" s="303"/>
      <c r="O109" s="303"/>
      <c r="P109" s="303"/>
      <c r="Q109" s="303"/>
      <c r="R109" s="303"/>
      <c r="S109" s="303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.19685039370078741" header="0.51181102362204722" footer="0.51181102362204722"/>
  <pageSetup paperSize="9" scale="37" fitToHeight="0" orientation="portrait" r:id="rId1"/>
  <headerFooter alignWithMargins="0">
    <oddHeader>&amp;R&amp;"Arial,Félkövér dőlt"&amp;A  /&amp;"Arial,Normál"
&amp;"Arial,Dőlt"&amp;8&amp;F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topLeftCell="A70" zoomScaleNormal="100" zoomScaleSheetLayoutView="100" workbookViewId="0">
      <selection activeCell="H95" sqref="H93:H95"/>
    </sheetView>
  </sheetViews>
  <sheetFormatPr defaultRowHeight="12.75" customHeight="1" x14ac:dyDescent="0.2"/>
  <cols>
    <col min="1" max="1" width="6.42578125" style="13" bestFit="1" customWidth="1"/>
    <col min="2" max="2" width="48.5703125" style="13" customWidth="1"/>
    <col min="3" max="6" width="15.5703125" style="13" customWidth="1"/>
    <col min="7" max="7" width="1.5703125" style="13" customWidth="1"/>
    <col min="8" max="10" width="15.5703125" style="13" customWidth="1"/>
    <col min="11" max="11" width="1.5703125" style="13" customWidth="1"/>
    <col min="12" max="14" width="10.5703125" style="13" customWidth="1"/>
    <col min="15" max="15" width="1.5703125" style="13" customWidth="1"/>
    <col min="16" max="19" width="14.5703125" style="13" customWidth="1"/>
    <col min="21" max="21" width="0.85546875" customWidth="1"/>
    <col min="23" max="23" width="14.5703125" bestFit="1" customWidth="1"/>
  </cols>
  <sheetData>
    <row r="1" spans="1:27" ht="26.25" x14ac:dyDescent="0.4">
      <c r="A1" s="325" t="s">
        <v>435</v>
      </c>
      <c r="B1" s="249"/>
      <c r="C1" s="249"/>
      <c r="D1" s="249"/>
      <c r="G1" s="248"/>
      <c r="H1" s="247"/>
      <c r="I1" s="251"/>
      <c r="J1" s="245" t="str">
        <f>+'1. Sülysáp összesen'!J1</f>
        <v>2017. FÉLÉVES BESZÁMOLÓ</v>
      </c>
      <c r="K1" s="251"/>
      <c r="L1" s="247"/>
      <c r="M1" s="247"/>
      <c r="N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7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7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7" ht="20.100000000000001" customHeight="1" x14ac:dyDescent="0.25">
      <c r="A5" s="272"/>
      <c r="B5" s="272" t="s">
        <v>378</v>
      </c>
      <c r="C5" s="273">
        <f>+C89</f>
        <v>98992000</v>
      </c>
      <c r="D5" s="273">
        <f t="shared" ref="D5:E5" si="0">+D89</f>
        <v>98992000</v>
      </c>
      <c r="E5" s="273">
        <f t="shared" si="0"/>
        <v>0</v>
      </c>
      <c r="F5" s="273">
        <f>+F89</f>
        <v>0</v>
      </c>
      <c r="G5" s="273"/>
      <c r="H5" s="273">
        <f>+H89</f>
        <v>50787336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0.51304485210926132</v>
      </c>
      <c r="M5" s="32">
        <f t="shared" si="2"/>
        <v>0</v>
      </c>
      <c r="N5" s="32">
        <f t="shared" si="2"/>
        <v>0</v>
      </c>
      <c r="O5" s="95"/>
      <c r="P5" s="273">
        <f>+P89</f>
        <v>0</v>
      </c>
      <c r="Q5" s="273">
        <f>+Q89</f>
        <v>-98992000</v>
      </c>
      <c r="R5" s="273">
        <f>+R89</f>
        <v>0</v>
      </c>
      <c r="S5" s="273">
        <f>+S89</f>
        <v>-98992000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7" ht="20.100000000000001" customHeight="1" x14ac:dyDescent="0.25">
      <c r="A6" s="274"/>
      <c r="B6" s="274" t="s">
        <v>377</v>
      </c>
      <c r="C6" s="275">
        <f>+C102</f>
        <v>98992000</v>
      </c>
      <c r="D6" s="275">
        <f t="shared" ref="D6:J6" si="4">+D102</f>
        <v>98992000</v>
      </c>
      <c r="E6" s="275">
        <f t="shared" si="4"/>
        <v>0</v>
      </c>
      <c r="F6" s="275">
        <f t="shared" si="4"/>
        <v>0</v>
      </c>
      <c r="G6" s="275"/>
      <c r="H6" s="275">
        <f t="shared" si="4"/>
        <v>55632923</v>
      </c>
      <c r="I6" s="275">
        <f t="shared" si="4"/>
        <v>0</v>
      </c>
      <c r="J6" s="275">
        <f t="shared" si="4"/>
        <v>0</v>
      </c>
      <c r="K6" s="69"/>
      <c r="L6" s="32">
        <f t="shared" si="2"/>
        <v>0.56199413083885563</v>
      </c>
      <c r="M6" s="32">
        <f t="shared" si="2"/>
        <v>0</v>
      </c>
      <c r="N6" s="32">
        <f t="shared" si="2"/>
        <v>0</v>
      </c>
      <c r="O6" s="69"/>
      <c r="P6" s="275">
        <f>+P102</f>
        <v>0</v>
      </c>
      <c r="Q6" s="275">
        <f t="shared" ref="Q6:S6" si="5">+Q102</f>
        <v>-98992000</v>
      </c>
      <c r="R6" s="275">
        <f t="shared" si="5"/>
        <v>0</v>
      </c>
      <c r="S6" s="275">
        <f t="shared" si="5"/>
        <v>-98992000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7" ht="20.100000000000001" customHeight="1" x14ac:dyDescent="0.25">
      <c r="A7" s="274"/>
      <c r="B7" s="274" t="s">
        <v>413</v>
      </c>
      <c r="C7" s="275">
        <f>+C6-C5</f>
        <v>0</v>
      </c>
      <c r="D7" s="275">
        <f t="shared" ref="D7:H7" si="6">+D6-D5</f>
        <v>0</v>
      </c>
      <c r="E7" s="275">
        <f t="shared" si="6"/>
        <v>0</v>
      </c>
      <c r="F7" s="275">
        <f t="shared" si="6"/>
        <v>0</v>
      </c>
      <c r="G7" s="275"/>
      <c r="H7" s="275">
        <f t="shared" si="6"/>
        <v>4845587</v>
      </c>
      <c r="I7" s="275">
        <f>+I6-I5</f>
        <v>0</v>
      </c>
      <c r="J7" s="275">
        <f t="shared" ref="J7" si="7">+J6-J5</f>
        <v>0</v>
      </c>
      <c r="K7" s="69"/>
      <c r="L7" s="32"/>
      <c r="M7" s="32"/>
      <c r="N7" s="32"/>
      <c r="O7" s="69"/>
      <c r="P7" s="275">
        <f t="shared" ref="P7:S7" si="8">+P6-P5</f>
        <v>0</v>
      </c>
      <c r="Q7" s="275">
        <f t="shared" si="8"/>
        <v>0</v>
      </c>
      <c r="R7" s="275">
        <f t="shared" si="8"/>
        <v>0</v>
      </c>
      <c r="S7" s="275">
        <f t="shared" si="8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7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7" ht="15.75" x14ac:dyDescent="0.25">
      <c r="A9" s="64"/>
      <c r="B9" s="259"/>
      <c r="C9" s="716" t="s">
        <v>412</v>
      </c>
      <c r="D9" s="721"/>
      <c r="E9" s="721"/>
      <c r="F9" s="722"/>
      <c r="G9" s="165"/>
      <c r="H9" s="716" t="s">
        <v>411</v>
      </c>
      <c r="I9" s="721"/>
      <c r="J9" s="721"/>
      <c r="K9" s="721"/>
      <c r="L9" s="721"/>
      <c r="M9" s="721"/>
      <c r="N9" s="722"/>
      <c r="O9" s="165"/>
      <c r="P9" s="716" t="s">
        <v>408</v>
      </c>
      <c r="Q9" s="721"/>
      <c r="R9" s="721"/>
      <c r="S9" s="721"/>
      <c r="T9" s="722"/>
      <c r="U9" s="212"/>
      <c r="V9" s="208"/>
      <c r="W9" s="128"/>
      <c r="X9" s="128"/>
    </row>
    <row r="10" spans="1:27" x14ac:dyDescent="0.2">
      <c r="A10" s="291"/>
      <c r="B10" s="290"/>
      <c r="C10" s="255"/>
      <c r="D10" s="94"/>
      <c r="E10" s="94"/>
      <c r="F10" s="256"/>
      <c r="G10" s="140"/>
      <c r="H10" s="713" t="s">
        <v>425</v>
      </c>
      <c r="I10" s="723"/>
      <c r="J10" s="724"/>
      <c r="K10" s="140"/>
      <c r="L10" s="713" t="s">
        <v>424</v>
      </c>
      <c r="M10" s="723"/>
      <c r="N10" s="724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7" ht="67.5" x14ac:dyDescent="0.2">
      <c r="A11" s="27" t="s">
        <v>373</v>
      </c>
      <c r="B11" s="27" t="s">
        <v>371</v>
      </c>
      <c r="C11" s="551" t="s">
        <v>483</v>
      </c>
      <c r="D11" s="388" t="s">
        <v>484</v>
      </c>
      <c r="E11" s="388" t="s">
        <v>485</v>
      </c>
      <c r="F11" s="552" t="s">
        <v>486</v>
      </c>
      <c r="G11" s="388"/>
      <c r="H11" s="525" t="s">
        <v>487</v>
      </c>
      <c r="I11" s="389" t="s">
        <v>488</v>
      </c>
      <c r="J11" s="389" t="s">
        <v>489</v>
      </c>
      <c r="K11" s="388"/>
      <c r="L11" s="390" t="s">
        <v>490</v>
      </c>
      <c r="M11" s="390" t="s">
        <v>494</v>
      </c>
      <c r="N11" s="526" t="s">
        <v>495</v>
      </c>
      <c r="O11" s="388"/>
      <c r="P11" s="525" t="s">
        <v>491</v>
      </c>
      <c r="Q11" s="389" t="s">
        <v>493</v>
      </c>
      <c r="R11" s="389" t="s">
        <v>492</v>
      </c>
      <c r="S11" s="389" t="s">
        <v>409</v>
      </c>
      <c r="T11" s="526" t="s">
        <v>410</v>
      </c>
      <c r="U11" s="202"/>
      <c r="V11" s="138" t="s">
        <v>414</v>
      </c>
      <c r="W11" s="128"/>
      <c r="X11" s="128"/>
    </row>
    <row r="12" spans="1:27" ht="12.75" customHeight="1" x14ac:dyDescent="0.2">
      <c r="A12" s="14"/>
      <c r="B12" s="20"/>
      <c r="C12" s="335"/>
      <c r="D12" s="336"/>
      <c r="E12" s="336"/>
      <c r="F12" s="336"/>
      <c r="G12" s="336"/>
      <c r="H12" s="336"/>
      <c r="I12" s="336"/>
      <c r="J12" s="336"/>
      <c r="K12" s="336"/>
      <c r="L12" s="142"/>
      <c r="M12" s="142"/>
      <c r="N12" s="142"/>
      <c r="O12" s="336"/>
      <c r="P12" s="336"/>
      <c r="Q12" s="336"/>
      <c r="R12" s="336"/>
      <c r="S12" s="336"/>
    </row>
    <row r="13" spans="1:27" ht="12.75" customHeight="1" x14ac:dyDescent="0.2">
      <c r="A13" s="7" t="s">
        <v>0</v>
      </c>
      <c r="B13" s="5" t="s">
        <v>3</v>
      </c>
      <c r="C13" s="337">
        <f>SUM(C14:C28)</f>
        <v>23625000</v>
      </c>
      <c r="D13" s="337">
        <f t="shared" ref="D13:J13" si="9">SUM(D14:D28)</f>
        <v>23625000</v>
      </c>
      <c r="E13" s="337">
        <f t="shared" si="9"/>
        <v>0</v>
      </c>
      <c r="F13" s="337">
        <f t="shared" si="9"/>
        <v>0</v>
      </c>
      <c r="G13" s="337"/>
      <c r="H13" s="337">
        <f t="shared" si="9"/>
        <v>11298003</v>
      </c>
      <c r="I13" s="337">
        <f t="shared" si="9"/>
        <v>0</v>
      </c>
      <c r="J13" s="337">
        <f t="shared" si="9"/>
        <v>0</v>
      </c>
      <c r="K13" s="337"/>
      <c r="L13" s="89">
        <f t="shared" ref="L13" si="10">+H13/C13</f>
        <v>0.47822234920634921</v>
      </c>
      <c r="M13" s="89">
        <f t="shared" ref="M13:N13" si="11">+I13/D13</f>
        <v>0</v>
      </c>
      <c r="N13" s="89" t="e">
        <f t="shared" si="11"/>
        <v>#DIV/0!</v>
      </c>
      <c r="O13" s="337"/>
      <c r="P13" s="338">
        <f t="shared" ref="P13:P14" si="12">+(D13-C13)*P$10</f>
        <v>0</v>
      </c>
      <c r="Q13" s="338">
        <f t="shared" ref="Q13:Q14" si="13">+(E13-D13)*Q$10</f>
        <v>-23625000</v>
      </c>
      <c r="R13" s="338">
        <f t="shared" ref="R13:R14" si="14">+(F13-E13)*R$10</f>
        <v>0</v>
      </c>
      <c r="S13" s="338">
        <f t="shared" ref="S13:S14" si="15">SUM(P13:R13)</f>
        <v>-23625000</v>
      </c>
      <c r="T13" s="305">
        <f>IF('8. WAMKK'!C13=0,0,+S13/'8. WAMKK'!C13)</f>
        <v>-1.680298719772404</v>
      </c>
      <c r="U13" s="126"/>
      <c r="V13" s="208">
        <f t="shared" ref="V13:V71" si="16">+S13-E13+C13</f>
        <v>0</v>
      </c>
    </row>
    <row r="14" spans="1:27" ht="12.75" customHeight="1" x14ac:dyDescent="0.2">
      <c r="A14" s="14" t="s">
        <v>1</v>
      </c>
      <c r="B14" s="20"/>
      <c r="C14" s="335"/>
      <c r="D14" s="336"/>
      <c r="E14" s="336"/>
      <c r="F14" s="336"/>
      <c r="G14" s="336"/>
      <c r="H14" s="336"/>
      <c r="I14" s="336"/>
      <c r="J14" s="336"/>
      <c r="K14" s="336"/>
      <c r="L14" s="142"/>
      <c r="M14" s="142"/>
      <c r="N14" s="142"/>
      <c r="O14" s="336"/>
      <c r="P14" s="336">
        <f t="shared" si="12"/>
        <v>0</v>
      </c>
      <c r="Q14" s="336">
        <f t="shared" si="13"/>
        <v>0</v>
      </c>
      <c r="R14" s="336">
        <f t="shared" si="14"/>
        <v>0</v>
      </c>
      <c r="S14" s="336">
        <f t="shared" si="15"/>
        <v>0</v>
      </c>
      <c r="T14" s="304">
        <f>IF('8. WAMKK'!C14=0,0,+S14/'8. WAMKK'!C14)</f>
        <v>0</v>
      </c>
      <c r="U14" s="126"/>
      <c r="V14" s="208">
        <f t="shared" si="16"/>
        <v>0</v>
      </c>
    </row>
    <row r="15" spans="1:27" ht="12.75" customHeight="1" x14ac:dyDescent="0.2">
      <c r="A15" s="14" t="s">
        <v>2</v>
      </c>
      <c r="B15" s="513" t="s">
        <v>402</v>
      </c>
      <c r="C15" s="335">
        <v>22411000</v>
      </c>
      <c r="D15" s="177">
        <v>22341000</v>
      </c>
      <c r="E15" s="177">
        <v>0</v>
      </c>
      <c r="F15" s="177">
        <v>0</v>
      </c>
      <c r="G15" s="177"/>
      <c r="H15" s="177">
        <v>10643594</v>
      </c>
      <c r="I15" s="177">
        <v>0</v>
      </c>
      <c r="J15" s="177"/>
      <c r="K15" s="177"/>
      <c r="L15" s="143">
        <f>+H15/C15</f>
        <v>0.47492722323858821</v>
      </c>
      <c r="M15" s="143">
        <f>+I15/D15</f>
        <v>0</v>
      </c>
      <c r="N15" s="143" t="e">
        <f>+J15/E15</f>
        <v>#DIV/0!</v>
      </c>
      <c r="O15" s="177"/>
      <c r="P15" s="328">
        <f>+(D15-C15)*P$10</f>
        <v>-70000</v>
      </c>
      <c r="Q15" s="328">
        <f t="shared" ref="Q15:R15" si="17">+(E15-D15)*Q$10</f>
        <v>-22341000</v>
      </c>
      <c r="R15" s="328">
        <f t="shared" si="17"/>
        <v>0</v>
      </c>
      <c r="S15" s="328">
        <f>SUM(P15:R15)</f>
        <v>-22411000</v>
      </c>
      <c r="T15" s="304">
        <f>IF('8. WAMKK'!C15=0,0,+S15/'8. WAMKK'!C15)</f>
        <v>-1.7188986040803804</v>
      </c>
      <c r="U15" s="126"/>
      <c r="V15" s="208">
        <f t="shared" si="16"/>
        <v>0</v>
      </c>
    </row>
    <row r="16" spans="1:27" ht="12.75" customHeight="1" x14ac:dyDescent="0.2">
      <c r="A16" s="14" t="s">
        <v>12</v>
      </c>
      <c r="B16" s="20" t="s">
        <v>4</v>
      </c>
      <c r="C16" s="335"/>
      <c r="D16" s="177"/>
      <c r="E16" s="177"/>
      <c r="F16" s="177"/>
      <c r="G16" s="177"/>
      <c r="H16" s="177"/>
      <c r="I16" s="177"/>
      <c r="J16" s="177"/>
      <c r="K16" s="177"/>
      <c r="L16" s="142"/>
      <c r="M16" s="142"/>
      <c r="N16" s="142"/>
      <c r="O16" s="177"/>
      <c r="P16" s="177">
        <f t="shared" ref="P16:P79" si="18">+(D16-C16)*P$10</f>
        <v>0</v>
      </c>
      <c r="Q16" s="177">
        <f t="shared" ref="Q16:Q79" si="19">+(E16-D16)*Q$10</f>
        <v>0</v>
      </c>
      <c r="R16" s="177">
        <f t="shared" ref="R16:R79" si="20">+(F16-E16)*R$10</f>
        <v>0</v>
      </c>
      <c r="S16" s="177">
        <f t="shared" ref="S16:S79" si="21">SUM(P16:R16)</f>
        <v>0</v>
      </c>
      <c r="T16" s="304">
        <f>IF('8. WAMKK'!C16=0,0,+S16/'8. WAMKK'!C16)</f>
        <v>0</v>
      </c>
      <c r="U16" s="126"/>
      <c r="V16" s="208">
        <f t="shared" si="16"/>
        <v>0</v>
      </c>
    </row>
    <row r="17" spans="1:22" ht="12.75" customHeight="1" x14ac:dyDescent="0.2">
      <c r="A17" s="14" t="s">
        <v>13</v>
      </c>
      <c r="B17" s="20" t="s">
        <v>5</v>
      </c>
      <c r="C17" s="335"/>
      <c r="D17" s="177"/>
      <c r="E17" s="177"/>
      <c r="F17" s="177"/>
      <c r="G17" s="177"/>
      <c r="H17" s="177"/>
      <c r="I17" s="177"/>
      <c r="J17" s="177"/>
      <c r="K17" s="177"/>
      <c r="L17" s="142"/>
      <c r="M17" s="142"/>
      <c r="N17" s="142"/>
      <c r="O17" s="177"/>
      <c r="P17" s="177">
        <f t="shared" si="18"/>
        <v>0</v>
      </c>
      <c r="Q17" s="177">
        <f t="shared" si="19"/>
        <v>0</v>
      </c>
      <c r="R17" s="177">
        <f t="shared" si="20"/>
        <v>0</v>
      </c>
      <c r="S17" s="177">
        <f t="shared" si="21"/>
        <v>0</v>
      </c>
      <c r="T17" s="304">
        <f>IF('8. WAMKK'!C17=0,0,+S17/'8. WAMKK'!C17)</f>
        <v>0</v>
      </c>
      <c r="U17" s="126"/>
      <c r="V17" s="208">
        <f t="shared" si="16"/>
        <v>0</v>
      </c>
    </row>
    <row r="18" spans="1:22" ht="12.75" customHeight="1" x14ac:dyDescent="0.2">
      <c r="A18" s="560" t="s">
        <v>386</v>
      </c>
      <c r="B18" s="20" t="s">
        <v>6</v>
      </c>
      <c r="C18" s="335">
        <v>0</v>
      </c>
      <c r="D18" s="177">
        <v>0</v>
      </c>
      <c r="E18" s="177">
        <v>0</v>
      </c>
      <c r="F18" s="177">
        <v>0</v>
      </c>
      <c r="G18" s="177"/>
      <c r="H18" s="177">
        <v>0</v>
      </c>
      <c r="I18" s="177">
        <f>+H18</f>
        <v>0</v>
      </c>
      <c r="J18" s="177"/>
      <c r="K18" s="177"/>
      <c r="L18" s="143" t="e">
        <f t="shared" ref="L18:L74" si="22">+H18/C18</f>
        <v>#DIV/0!</v>
      </c>
      <c r="M18" s="143" t="e">
        <f t="shared" ref="M18:N74" si="23">+I18/D18</f>
        <v>#DIV/0!</v>
      </c>
      <c r="N18" s="143" t="e">
        <f t="shared" si="23"/>
        <v>#DIV/0!</v>
      </c>
      <c r="O18" s="177"/>
      <c r="P18" s="328">
        <f t="shared" si="18"/>
        <v>0</v>
      </c>
      <c r="Q18" s="328">
        <f t="shared" si="19"/>
        <v>0</v>
      </c>
      <c r="R18" s="328">
        <f t="shared" si="20"/>
        <v>0</v>
      </c>
      <c r="S18" s="328">
        <f t="shared" si="21"/>
        <v>0</v>
      </c>
      <c r="T18" s="304">
        <f>IF('8. WAMKK'!C18=0,0,+S18/'8. WAMKK'!C18)</f>
        <v>0</v>
      </c>
      <c r="U18" s="126"/>
      <c r="V18" s="208">
        <f t="shared" si="16"/>
        <v>0</v>
      </c>
    </row>
    <row r="19" spans="1:22" ht="12.75" customHeight="1" x14ac:dyDescent="0.2">
      <c r="A19" s="14" t="s">
        <v>14</v>
      </c>
      <c r="B19" s="20" t="s">
        <v>7</v>
      </c>
      <c r="C19" s="335">
        <f>5000*12*14</f>
        <v>840000</v>
      </c>
      <c r="D19" s="177">
        <v>840000</v>
      </c>
      <c r="E19" s="177">
        <v>0</v>
      </c>
      <c r="F19" s="177">
        <v>0</v>
      </c>
      <c r="G19" s="177"/>
      <c r="H19" s="177">
        <v>390000</v>
      </c>
      <c r="I19" s="177">
        <v>0</v>
      </c>
      <c r="J19" s="177"/>
      <c r="K19" s="177"/>
      <c r="L19" s="143">
        <f t="shared" si="22"/>
        <v>0.4642857142857143</v>
      </c>
      <c r="M19" s="143">
        <f t="shared" si="23"/>
        <v>0</v>
      </c>
      <c r="N19" s="143" t="e">
        <f t="shared" si="23"/>
        <v>#DIV/0!</v>
      </c>
      <c r="O19" s="177"/>
      <c r="P19" s="328">
        <f t="shared" si="18"/>
        <v>0</v>
      </c>
      <c r="Q19" s="328">
        <f t="shared" si="19"/>
        <v>-840000</v>
      </c>
      <c r="R19" s="328">
        <f t="shared" si="20"/>
        <v>0</v>
      </c>
      <c r="S19" s="328">
        <f t="shared" si="21"/>
        <v>-840000</v>
      </c>
      <c r="T19" s="304">
        <f>IF('8. WAMKK'!C19=0,0,+S19/'8. WAMKK'!C19)</f>
        <v>-2.847457627118644</v>
      </c>
      <c r="U19" s="126"/>
      <c r="V19" s="208">
        <f t="shared" si="16"/>
        <v>0</v>
      </c>
    </row>
    <row r="20" spans="1:22" ht="12.75" customHeight="1" x14ac:dyDescent="0.2">
      <c r="A20" s="14" t="s">
        <v>15</v>
      </c>
      <c r="B20" s="20" t="s">
        <v>8</v>
      </c>
      <c r="C20" s="335"/>
      <c r="D20" s="177"/>
      <c r="E20" s="177"/>
      <c r="F20" s="177"/>
      <c r="G20" s="177"/>
      <c r="H20" s="177"/>
      <c r="I20" s="177"/>
      <c r="J20" s="177"/>
      <c r="K20" s="177"/>
      <c r="L20" s="142"/>
      <c r="M20" s="142"/>
      <c r="N20" s="142"/>
      <c r="O20" s="177"/>
      <c r="P20" s="177">
        <f t="shared" si="18"/>
        <v>0</v>
      </c>
      <c r="Q20" s="177">
        <f t="shared" si="19"/>
        <v>0</v>
      </c>
      <c r="R20" s="177">
        <f t="shared" si="20"/>
        <v>0</v>
      </c>
      <c r="S20" s="177">
        <f t="shared" si="21"/>
        <v>0</v>
      </c>
      <c r="T20" s="304">
        <f>IF('8. WAMKK'!C20=0,0,+S20/'8. WAMKK'!C20)</f>
        <v>0</v>
      </c>
      <c r="U20" s="126"/>
      <c r="V20" s="208">
        <f t="shared" si="16"/>
        <v>0</v>
      </c>
    </row>
    <row r="21" spans="1:22" ht="12.75" customHeight="1" x14ac:dyDescent="0.2">
      <c r="A21" s="14" t="s">
        <v>16</v>
      </c>
      <c r="B21" s="20" t="s">
        <v>9</v>
      </c>
      <c r="C21" s="335">
        <v>20000</v>
      </c>
      <c r="D21" s="177">
        <v>20000</v>
      </c>
      <c r="E21" s="177">
        <v>0</v>
      </c>
      <c r="F21" s="177">
        <v>0</v>
      </c>
      <c r="G21" s="177"/>
      <c r="H21" s="177">
        <v>15120</v>
      </c>
      <c r="I21" s="177">
        <v>0</v>
      </c>
      <c r="J21" s="177"/>
      <c r="K21" s="177"/>
      <c r="L21" s="143">
        <f t="shared" si="22"/>
        <v>0.75600000000000001</v>
      </c>
      <c r="M21" s="143">
        <f t="shared" si="23"/>
        <v>0</v>
      </c>
      <c r="N21" s="143" t="e">
        <f t="shared" si="23"/>
        <v>#DIV/0!</v>
      </c>
      <c r="O21" s="177"/>
      <c r="P21" s="328">
        <f t="shared" si="18"/>
        <v>0</v>
      </c>
      <c r="Q21" s="328">
        <f t="shared" si="19"/>
        <v>-20000</v>
      </c>
      <c r="R21" s="328">
        <f t="shared" si="20"/>
        <v>0</v>
      </c>
      <c r="S21" s="328">
        <f t="shared" si="21"/>
        <v>-20000</v>
      </c>
      <c r="T21" s="304">
        <f>IF('8. WAMKK'!C21=0,0,+S21/'8. WAMKK'!C21)</f>
        <v>-0.1360544217687075</v>
      </c>
      <c r="U21" s="126"/>
      <c r="V21" s="208">
        <f t="shared" si="16"/>
        <v>0</v>
      </c>
    </row>
    <row r="22" spans="1:22" ht="12.75" customHeight="1" x14ac:dyDescent="0.2">
      <c r="A22" s="14" t="s">
        <v>17</v>
      </c>
      <c r="B22" s="20" t="s">
        <v>10</v>
      </c>
      <c r="C22" s="335">
        <v>0</v>
      </c>
      <c r="D22" s="177">
        <v>0</v>
      </c>
      <c r="E22" s="177">
        <v>0</v>
      </c>
      <c r="F22" s="177">
        <v>0</v>
      </c>
      <c r="G22" s="177"/>
      <c r="H22" s="177"/>
      <c r="I22" s="177"/>
      <c r="J22" s="177"/>
      <c r="K22" s="177"/>
      <c r="L22" s="142"/>
      <c r="M22" s="142"/>
      <c r="N22" s="142"/>
      <c r="O22" s="177"/>
      <c r="P22" s="177">
        <f t="shared" si="18"/>
        <v>0</v>
      </c>
      <c r="Q22" s="177">
        <f t="shared" si="19"/>
        <v>0</v>
      </c>
      <c r="R22" s="177">
        <f t="shared" si="20"/>
        <v>0</v>
      </c>
      <c r="S22" s="177">
        <f t="shared" si="21"/>
        <v>0</v>
      </c>
      <c r="T22" s="304">
        <f>IF('8. WAMKK'!C22=0,0,+S22/'8. WAMKK'!C22)</f>
        <v>0</v>
      </c>
      <c r="U22" s="126"/>
      <c r="V22" s="208">
        <f t="shared" si="16"/>
        <v>0</v>
      </c>
    </row>
    <row r="23" spans="1:22" ht="12.75" customHeight="1" x14ac:dyDescent="0.2">
      <c r="A23" s="14" t="s">
        <v>18</v>
      </c>
      <c r="B23" s="20" t="s">
        <v>11</v>
      </c>
      <c r="C23" s="335">
        <v>354000</v>
      </c>
      <c r="D23" s="177">
        <v>354000</v>
      </c>
      <c r="E23" s="177">
        <v>0</v>
      </c>
      <c r="F23" s="177">
        <v>0</v>
      </c>
      <c r="G23" s="177"/>
      <c r="H23" s="177">
        <v>179289</v>
      </c>
      <c r="I23" s="177">
        <v>0</v>
      </c>
      <c r="J23" s="177"/>
      <c r="K23" s="177"/>
      <c r="L23" s="143">
        <f t="shared" si="22"/>
        <v>0.50646610169491524</v>
      </c>
      <c r="M23" s="143">
        <f t="shared" si="23"/>
        <v>0</v>
      </c>
      <c r="N23" s="143" t="e">
        <f t="shared" si="23"/>
        <v>#DIV/0!</v>
      </c>
      <c r="O23" s="177"/>
      <c r="P23" s="177">
        <f t="shared" si="18"/>
        <v>0</v>
      </c>
      <c r="Q23" s="177">
        <f t="shared" si="19"/>
        <v>-354000</v>
      </c>
      <c r="R23" s="177">
        <f t="shared" si="20"/>
        <v>0</v>
      </c>
      <c r="S23" s="177">
        <f t="shared" si="21"/>
        <v>-354000</v>
      </c>
      <c r="T23" s="304">
        <f>IF('8. WAMKK'!C23=0,0,+S23/'8. WAMKK'!C23)</f>
        <v>-1.77</v>
      </c>
      <c r="U23" s="126"/>
      <c r="V23" s="208">
        <f t="shared" si="16"/>
        <v>0</v>
      </c>
    </row>
    <row r="24" spans="1:22" ht="12.75" customHeight="1" x14ac:dyDescent="0.2">
      <c r="A24" s="14" t="s">
        <v>19</v>
      </c>
      <c r="B24" s="20"/>
      <c r="C24" s="335"/>
      <c r="D24" s="177"/>
      <c r="E24" s="177"/>
      <c r="F24" s="177"/>
      <c r="G24" s="177"/>
      <c r="H24" s="177"/>
      <c r="I24" s="177"/>
      <c r="J24" s="177"/>
      <c r="K24" s="177"/>
      <c r="L24" s="142"/>
      <c r="M24" s="142"/>
      <c r="N24" s="142"/>
      <c r="O24" s="177"/>
      <c r="P24" s="177">
        <f t="shared" si="18"/>
        <v>0</v>
      </c>
      <c r="Q24" s="177">
        <f t="shared" si="19"/>
        <v>0</v>
      </c>
      <c r="R24" s="177">
        <f t="shared" si="20"/>
        <v>0</v>
      </c>
      <c r="S24" s="177">
        <f t="shared" si="21"/>
        <v>0</v>
      </c>
      <c r="T24" s="304">
        <f>IF('8. WAMKK'!C24=0,0,+S24/'8. WAMKK'!C24)</f>
        <v>0</v>
      </c>
      <c r="U24" s="126"/>
      <c r="V24" s="208">
        <f t="shared" si="16"/>
        <v>0</v>
      </c>
    </row>
    <row r="25" spans="1:22" ht="12.75" customHeight="1" x14ac:dyDescent="0.2">
      <c r="A25" s="14" t="s">
        <v>20</v>
      </c>
      <c r="B25" s="513" t="s">
        <v>21</v>
      </c>
      <c r="C25" s="335"/>
      <c r="D25" s="177"/>
      <c r="E25" s="177"/>
      <c r="F25" s="177"/>
      <c r="G25" s="177"/>
      <c r="H25" s="177"/>
      <c r="I25" s="177"/>
      <c r="J25" s="177"/>
      <c r="K25" s="177"/>
      <c r="L25" s="142"/>
      <c r="M25" s="142"/>
      <c r="N25" s="142"/>
      <c r="O25" s="177"/>
      <c r="P25" s="177">
        <f t="shared" si="18"/>
        <v>0</v>
      </c>
      <c r="Q25" s="177">
        <f t="shared" si="19"/>
        <v>0</v>
      </c>
      <c r="R25" s="177">
        <f t="shared" si="20"/>
        <v>0</v>
      </c>
      <c r="S25" s="177">
        <f t="shared" si="21"/>
        <v>0</v>
      </c>
      <c r="T25" s="304">
        <f>IF('8. WAMKK'!C25=0,0,+S25/'8. WAMKK'!C25)</f>
        <v>0</v>
      </c>
      <c r="U25" s="126"/>
      <c r="V25" s="208">
        <f t="shared" si="16"/>
        <v>0</v>
      </c>
    </row>
    <row r="26" spans="1:22" ht="12.75" customHeight="1" x14ac:dyDescent="0.2">
      <c r="A26" s="14" t="s">
        <v>22</v>
      </c>
      <c r="B26" s="20" t="s">
        <v>23</v>
      </c>
      <c r="C26" s="335">
        <v>0</v>
      </c>
      <c r="D26" s="177">
        <v>70000</v>
      </c>
      <c r="E26" s="177">
        <v>0</v>
      </c>
      <c r="F26" s="177">
        <v>0</v>
      </c>
      <c r="G26" s="177"/>
      <c r="H26" s="177">
        <v>70000</v>
      </c>
      <c r="I26" s="177"/>
      <c r="J26" s="177"/>
      <c r="K26" s="177"/>
      <c r="L26" s="142"/>
      <c r="M26" s="142"/>
      <c r="N26" s="142"/>
      <c r="O26" s="177"/>
      <c r="P26" s="177">
        <f t="shared" si="18"/>
        <v>70000</v>
      </c>
      <c r="Q26" s="177">
        <f t="shared" si="19"/>
        <v>-70000</v>
      </c>
      <c r="R26" s="177">
        <f t="shared" si="20"/>
        <v>0</v>
      </c>
      <c r="S26" s="177">
        <f t="shared" si="21"/>
        <v>0</v>
      </c>
      <c r="T26" s="304">
        <f>IF('8. WAMKK'!C26=0,0,+S26/'8. WAMKK'!C26)</f>
        <v>0</v>
      </c>
      <c r="U26" s="126"/>
      <c r="V26" s="208">
        <f t="shared" si="16"/>
        <v>0</v>
      </c>
    </row>
    <row r="27" spans="1:22" ht="12.75" customHeight="1" x14ac:dyDescent="0.2">
      <c r="A27" s="14" t="s">
        <v>24</v>
      </c>
      <c r="B27" s="20" t="s">
        <v>25</v>
      </c>
      <c r="C27" s="335"/>
      <c r="D27" s="177"/>
      <c r="E27" s="177"/>
      <c r="F27" s="177"/>
      <c r="G27" s="177"/>
      <c r="H27" s="177"/>
      <c r="I27" s="177"/>
      <c r="J27" s="177"/>
      <c r="K27" s="177"/>
      <c r="L27" s="142"/>
      <c r="M27" s="142"/>
      <c r="N27" s="142"/>
      <c r="O27" s="177"/>
      <c r="P27" s="177">
        <f t="shared" si="18"/>
        <v>0</v>
      </c>
      <c r="Q27" s="177">
        <f t="shared" si="19"/>
        <v>0</v>
      </c>
      <c r="R27" s="177">
        <f t="shared" si="20"/>
        <v>0</v>
      </c>
      <c r="S27" s="177">
        <f t="shared" si="21"/>
        <v>0</v>
      </c>
      <c r="T27" s="304">
        <f>IF('8. WAMKK'!C27=0,0,+S27/'8. WAMKK'!C27)</f>
        <v>0</v>
      </c>
      <c r="U27" s="126"/>
      <c r="V27" s="208">
        <f t="shared" si="16"/>
        <v>0</v>
      </c>
    </row>
    <row r="28" spans="1:22" ht="12.75" customHeight="1" x14ac:dyDescent="0.2">
      <c r="A28" s="14"/>
      <c r="B28" s="14"/>
      <c r="C28" s="335"/>
      <c r="D28" s="177"/>
      <c r="E28" s="177"/>
      <c r="F28" s="177"/>
      <c r="G28" s="177"/>
      <c r="H28" s="177"/>
      <c r="I28" s="177"/>
      <c r="J28" s="177"/>
      <c r="K28" s="177"/>
      <c r="L28" s="161"/>
      <c r="M28" s="161"/>
      <c r="N28" s="161"/>
      <c r="O28" s="177"/>
      <c r="P28" s="177">
        <f t="shared" si="18"/>
        <v>0</v>
      </c>
      <c r="Q28" s="177">
        <f t="shared" si="19"/>
        <v>0</v>
      </c>
      <c r="R28" s="177">
        <f t="shared" si="20"/>
        <v>0</v>
      </c>
      <c r="S28" s="177">
        <f t="shared" si="21"/>
        <v>0</v>
      </c>
      <c r="T28" s="304">
        <f>IF('8. WAMKK'!C28=0,0,+S28/'8. WAMKK'!C28)</f>
        <v>0</v>
      </c>
      <c r="U28" s="126"/>
      <c r="V28" s="208">
        <f t="shared" si="16"/>
        <v>0</v>
      </c>
    </row>
    <row r="29" spans="1:22" ht="12.75" customHeight="1" x14ac:dyDescent="0.2">
      <c r="A29" s="7" t="s">
        <v>26</v>
      </c>
      <c r="B29" s="5" t="s">
        <v>27</v>
      </c>
      <c r="C29" s="337">
        <f>SUM(C30)</f>
        <v>5375000</v>
      </c>
      <c r="D29" s="337">
        <f>SUM(D30)</f>
        <v>5375000</v>
      </c>
      <c r="E29" s="337">
        <f>SUM(E30)</f>
        <v>0</v>
      </c>
      <c r="F29" s="337">
        <f>SUM(F30)</f>
        <v>0</v>
      </c>
      <c r="G29" s="337"/>
      <c r="H29" s="337">
        <f>SUM(H30)</f>
        <v>2994544</v>
      </c>
      <c r="I29" s="337">
        <f>+I30</f>
        <v>0</v>
      </c>
      <c r="J29" s="337">
        <f>+J30</f>
        <v>0</v>
      </c>
      <c r="K29" s="337"/>
      <c r="L29" s="89">
        <f t="shared" si="22"/>
        <v>0.55712446511627911</v>
      </c>
      <c r="M29" s="89">
        <f t="shared" si="23"/>
        <v>0</v>
      </c>
      <c r="N29" s="89" t="e">
        <f t="shared" si="23"/>
        <v>#DIV/0!</v>
      </c>
      <c r="O29" s="337"/>
      <c r="P29" s="337">
        <f t="shared" si="18"/>
        <v>0</v>
      </c>
      <c r="Q29" s="337">
        <f t="shared" si="19"/>
        <v>-5375000</v>
      </c>
      <c r="R29" s="337">
        <f t="shared" si="20"/>
        <v>0</v>
      </c>
      <c r="S29" s="337">
        <f t="shared" si="21"/>
        <v>-5375000</v>
      </c>
      <c r="T29" s="305">
        <f>IF('8. WAMKK'!C29=0,0,+S29/'8. WAMKK'!C29)</f>
        <v>-1.7216527866752083</v>
      </c>
      <c r="U29" s="126"/>
      <c r="V29" s="208">
        <f t="shared" si="16"/>
        <v>0</v>
      </c>
    </row>
    <row r="30" spans="1:22" ht="12.75" customHeight="1" x14ac:dyDescent="0.2">
      <c r="A30" s="14"/>
      <c r="B30" s="20" t="s">
        <v>28</v>
      </c>
      <c r="C30" s="335">
        <v>5375000</v>
      </c>
      <c r="D30" s="177">
        <v>5375000</v>
      </c>
      <c r="E30" s="177">
        <v>0</v>
      </c>
      <c r="F30" s="177"/>
      <c r="G30" s="177"/>
      <c r="H30" s="177">
        <v>2994544</v>
      </c>
      <c r="I30" s="177">
        <v>0</v>
      </c>
      <c r="J30" s="177"/>
      <c r="K30" s="177"/>
      <c r="L30" s="143">
        <f t="shared" si="22"/>
        <v>0.55712446511627911</v>
      </c>
      <c r="M30" s="143">
        <f t="shared" si="23"/>
        <v>0</v>
      </c>
      <c r="N30" s="143" t="e">
        <f t="shared" si="23"/>
        <v>#DIV/0!</v>
      </c>
      <c r="O30" s="177"/>
      <c r="P30" s="177">
        <f t="shared" si="18"/>
        <v>0</v>
      </c>
      <c r="Q30" s="177">
        <f t="shared" si="19"/>
        <v>-5375000</v>
      </c>
      <c r="R30" s="177">
        <f t="shared" si="20"/>
        <v>0</v>
      </c>
      <c r="S30" s="177">
        <f t="shared" si="21"/>
        <v>-5375000</v>
      </c>
      <c r="T30" s="304">
        <f>IF('8. WAMKK'!C30=0,0,+S30/'8. WAMKK'!C30)</f>
        <v>-1.7216527866752083</v>
      </c>
      <c r="U30" s="126"/>
      <c r="V30" s="208">
        <f t="shared" si="16"/>
        <v>0</v>
      </c>
    </row>
    <row r="31" spans="1:22" ht="12.75" customHeight="1" x14ac:dyDescent="0.2">
      <c r="A31" s="14"/>
      <c r="B31" s="14"/>
      <c r="C31" s="335"/>
      <c r="D31" s="177"/>
      <c r="E31" s="177"/>
      <c r="F31" s="177"/>
      <c r="G31" s="177"/>
      <c r="H31" s="177"/>
      <c r="I31" s="177"/>
      <c r="J31" s="177"/>
      <c r="K31" s="177"/>
      <c r="L31" s="161"/>
      <c r="M31" s="161"/>
      <c r="N31" s="161"/>
      <c r="O31" s="177"/>
      <c r="P31" s="177">
        <f t="shared" si="18"/>
        <v>0</v>
      </c>
      <c r="Q31" s="177">
        <f t="shared" si="19"/>
        <v>0</v>
      </c>
      <c r="R31" s="177">
        <f t="shared" si="20"/>
        <v>0</v>
      </c>
      <c r="S31" s="177">
        <f t="shared" si="21"/>
        <v>0</v>
      </c>
      <c r="T31" s="304">
        <f>IF('8. WAMKK'!C31=0,0,+S31/'8. WAMKK'!C31)</f>
        <v>0</v>
      </c>
      <c r="U31" s="126"/>
      <c r="V31" s="208">
        <f t="shared" si="16"/>
        <v>0</v>
      </c>
    </row>
    <row r="32" spans="1:22" ht="12.75" customHeight="1" x14ac:dyDescent="0.2">
      <c r="A32" s="7" t="s">
        <v>29</v>
      </c>
      <c r="B32" s="5" t="s">
        <v>30</v>
      </c>
      <c r="C32" s="294">
        <f t="shared" ref="C32:J32" si="24">+C33+C41+C48+C66+C71</f>
        <v>69192000</v>
      </c>
      <c r="D32" s="294">
        <f t="shared" si="24"/>
        <v>69192000</v>
      </c>
      <c r="E32" s="294">
        <f t="shared" si="24"/>
        <v>0</v>
      </c>
      <c r="F32" s="294">
        <f t="shared" si="24"/>
        <v>0</v>
      </c>
      <c r="G32" s="294"/>
      <c r="H32" s="294">
        <f t="shared" si="24"/>
        <v>36293747</v>
      </c>
      <c r="I32" s="294">
        <f t="shared" si="24"/>
        <v>0</v>
      </c>
      <c r="J32" s="294">
        <f t="shared" si="24"/>
        <v>0</v>
      </c>
      <c r="K32" s="338"/>
      <c r="L32" s="89">
        <f t="shared" si="22"/>
        <v>0.52453675280379231</v>
      </c>
      <c r="M32" s="89">
        <f t="shared" si="23"/>
        <v>0</v>
      </c>
      <c r="N32" s="89" t="e">
        <f t="shared" si="23"/>
        <v>#DIV/0!</v>
      </c>
      <c r="O32" s="338"/>
      <c r="P32" s="338">
        <f t="shared" si="18"/>
        <v>0</v>
      </c>
      <c r="Q32" s="338">
        <f t="shared" si="19"/>
        <v>-69192000</v>
      </c>
      <c r="R32" s="338">
        <f t="shared" si="20"/>
        <v>0</v>
      </c>
      <c r="S32" s="338">
        <f t="shared" si="21"/>
        <v>-69192000</v>
      </c>
      <c r="T32" s="305">
        <f>IF('8. WAMKK'!C32=0,0,+S32/'8. WAMKK'!C32)</f>
        <v>-5.0827885109821498</v>
      </c>
      <c r="U32" s="126"/>
      <c r="V32" s="208">
        <f t="shared" si="16"/>
        <v>0</v>
      </c>
    </row>
    <row r="33" spans="1:22" s="43" customFormat="1" ht="12.75" customHeight="1" x14ac:dyDescent="0.2">
      <c r="A33" s="39" t="s">
        <v>31</v>
      </c>
      <c r="B33" s="40" t="s">
        <v>32</v>
      </c>
      <c r="C33" s="298">
        <f>SUM(C34:C40)</f>
        <v>50006000</v>
      </c>
      <c r="D33" s="298">
        <f t="shared" ref="D33:F33" si="25">SUM(D34:D40)</f>
        <v>50021000</v>
      </c>
      <c r="E33" s="298">
        <f t="shared" si="25"/>
        <v>0</v>
      </c>
      <c r="F33" s="298">
        <f t="shared" si="25"/>
        <v>0</v>
      </c>
      <c r="G33" s="298"/>
      <c r="H33" s="298">
        <f t="shared" ref="H33" si="26">SUM(H34:H40)</f>
        <v>26345669</v>
      </c>
      <c r="I33" s="298">
        <f t="shared" ref="I33" si="27">SUM(I34:I40)</f>
        <v>0</v>
      </c>
      <c r="J33" s="298">
        <f t="shared" ref="J33" si="28">SUM(J34:J40)</f>
        <v>0</v>
      </c>
      <c r="K33" s="586"/>
      <c r="L33" s="161"/>
      <c r="M33" s="161"/>
      <c r="N33" s="161"/>
      <c r="O33" s="586"/>
      <c r="P33" s="586">
        <f t="shared" si="18"/>
        <v>15000</v>
      </c>
      <c r="Q33" s="586">
        <f t="shared" si="19"/>
        <v>-50021000</v>
      </c>
      <c r="R33" s="586">
        <f t="shared" si="20"/>
        <v>0</v>
      </c>
      <c r="S33" s="586">
        <f t="shared" si="21"/>
        <v>-50006000</v>
      </c>
      <c r="T33" s="304">
        <f>IF('8. WAMKK'!C33=0,0,+S33/'8. WAMKK'!C33)</f>
        <v>-13.929247910863509</v>
      </c>
      <c r="U33" s="127"/>
      <c r="V33" s="587">
        <f t="shared" si="16"/>
        <v>0</v>
      </c>
    </row>
    <row r="34" spans="1:22" ht="12.75" customHeight="1" x14ac:dyDescent="0.2">
      <c r="A34" s="14" t="s">
        <v>33</v>
      </c>
      <c r="B34" s="20" t="s">
        <v>35</v>
      </c>
      <c r="C34" s="177">
        <v>6000</v>
      </c>
      <c r="D34" s="177">
        <v>21000</v>
      </c>
      <c r="E34" s="177">
        <v>0</v>
      </c>
      <c r="F34" s="177"/>
      <c r="G34" s="177"/>
      <c r="H34" s="177">
        <v>14619</v>
      </c>
      <c r="I34" s="177">
        <v>0</v>
      </c>
      <c r="J34" s="177"/>
      <c r="K34" s="177"/>
      <c r="L34" s="143">
        <f t="shared" si="22"/>
        <v>2.4365000000000001</v>
      </c>
      <c r="M34" s="143">
        <f t="shared" si="23"/>
        <v>0</v>
      </c>
      <c r="N34" s="143" t="e">
        <f t="shared" si="23"/>
        <v>#DIV/0!</v>
      </c>
      <c r="O34" s="177"/>
      <c r="P34" s="177">
        <f t="shared" si="18"/>
        <v>15000</v>
      </c>
      <c r="Q34" s="177">
        <f t="shared" si="19"/>
        <v>-21000</v>
      </c>
      <c r="R34" s="177">
        <f t="shared" si="20"/>
        <v>0</v>
      </c>
      <c r="S34" s="177">
        <f t="shared" si="21"/>
        <v>-6000</v>
      </c>
      <c r="T34" s="304">
        <f>IF('8. WAMKK'!C34=0,0,+S34/'8. WAMKK'!C34)</f>
        <v>-4.0268456375838931E-3</v>
      </c>
      <c r="U34" s="126"/>
      <c r="V34" s="208">
        <f t="shared" si="16"/>
        <v>0</v>
      </c>
    </row>
    <row r="35" spans="1:22" ht="12.75" customHeight="1" x14ac:dyDescent="0.2">
      <c r="A35" s="14"/>
      <c r="B35" s="20" t="s">
        <v>89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42"/>
      <c r="M35" s="142"/>
      <c r="N35" s="142"/>
      <c r="O35" s="177"/>
      <c r="P35" s="177">
        <f t="shared" si="18"/>
        <v>0</v>
      </c>
      <c r="Q35" s="177">
        <f t="shared" si="19"/>
        <v>0</v>
      </c>
      <c r="R35" s="177">
        <f t="shared" si="20"/>
        <v>0</v>
      </c>
      <c r="S35" s="177">
        <f t="shared" si="21"/>
        <v>0</v>
      </c>
      <c r="T35" s="304">
        <f>IF('8. WAMKK'!C35=0,0,+S35/'8. WAMKK'!C35)</f>
        <v>0</v>
      </c>
      <c r="U35" s="126"/>
      <c r="V35" s="208">
        <f t="shared" si="16"/>
        <v>0</v>
      </c>
    </row>
    <row r="36" spans="1:22" ht="12.75" customHeight="1" x14ac:dyDescent="0.2">
      <c r="A36" s="14" t="s">
        <v>34</v>
      </c>
      <c r="B36" s="20" t="s">
        <v>36</v>
      </c>
      <c r="C36" s="623">
        <v>50000000</v>
      </c>
      <c r="D36" s="177">
        <v>50000000</v>
      </c>
      <c r="E36" s="177">
        <v>0</v>
      </c>
      <c r="F36" s="177"/>
      <c r="G36" s="177"/>
      <c r="H36" s="177">
        <v>26331050</v>
      </c>
      <c r="I36" s="177">
        <v>0</v>
      </c>
      <c r="J36" s="177"/>
      <c r="K36" s="177"/>
      <c r="L36" s="143">
        <f t="shared" si="22"/>
        <v>0.52662100000000001</v>
      </c>
      <c r="M36" s="143">
        <f t="shared" si="23"/>
        <v>0</v>
      </c>
      <c r="N36" s="143" t="e">
        <f t="shared" si="23"/>
        <v>#DIV/0!</v>
      </c>
      <c r="O36" s="177"/>
      <c r="P36" s="177">
        <f t="shared" si="18"/>
        <v>0</v>
      </c>
      <c r="Q36" s="177">
        <f t="shared" si="19"/>
        <v>-50000000</v>
      </c>
      <c r="R36" s="177">
        <f t="shared" si="20"/>
        <v>0</v>
      </c>
      <c r="S36" s="177">
        <f t="shared" si="21"/>
        <v>-50000000</v>
      </c>
      <c r="T36" s="304">
        <f>IF('8. WAMKK'!C36=0,0,+S36/'8. WAMKK'!C36)</f>
        <v>-23.80952380952381</v>
      </c>
      <c r="U36" s="126"/>
      <c r="V36" s="208">
        <f t="shared" si="16"/>
        <v>0</v>
      </c>
    </row>
    <row r="37" spans="1:22" ht="12.75" customHeight="1" x14ac:dyDescent="0.2">
      <c r="A37" s="14"/>
      <c r="B37" s="20" t="s">
        <v>105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42"/>
      <c r="M37" s="142"/>
      <c r="N37" s="142"/>
      <c r="O37" s="177"/>
      <c r="P37" s="177">
        <f t="shared" si="18"/>
        <v>0</v>
      </c>
      <c r="Q37" s="177">
        <f t="shared" si="19"/>
        <v>0</v>
      </c>
      <c r="R37" s="177">
        <f t="shared" si="20"/>
        <v>0</v>
      </c>
      <c r="S37" s="177">
        <f t="shared" si="21"/>
        <v>0</v>
      </c>
      <c r="T37" s="304">
        <f>IF('8. WAMKK'!C37=0,0,+S37/'8. WAMKK'!C37)</f>
        <v>0</v>
      </c>
      <c r="U37" s="126"/>
      <c r="V37" s="208">
        <f t="shared" si="16"/>
        <v>0</v>
      </c>
    </row>
    <row r="38" spans="1:22" ht="12.75" customHeight="1" x14ac:dyDescent="0.2">
      <c r="A38" s="14"/>
      <c r="B38" s="20" t="s">
        <v>95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42"/>
      <c r="M38" s="142"/>
      <c r="N38" s="142"/>
      <c r="O38" s="177"/>
      <c r="P38" s="177">
        <f t="shared" si="18"/>
        <v>0</v>
      </c>
      <c r="Q38" s="177">
        <f t="shared" si="19"/>
        <v>0</v>
      </c>
      <c r="R38" s="177">
        <f t="shared" si="20"/>
        <v>0</v>
      </c>
      <c r="S38" s="177">
        <f t="shared" si="21"/>
        <v>0</v>
      </c>
      <c r="T38" s="304">
        <f>IF('8. WAMKK'!C38=0,0,+S38/'8. WAMKK'!C38)</f>
        <v>0</v>
      </c>
      <c r="U38" s="126"/>
      <c r="V38" s="208">
        <f t="shared" si="16"/>
        <v>0</v>
      </c>
    </row>
    <row r="39" spans="1:22" ht="12.75" customHeight="1" x14ac:dyDescent="0.2">
      <c r="A39" s="14"/>
      <c r="B39" s="20" t="s">
        <v>94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42"/>
      <c r="M39" s="142"/>
      <c r="N39" s="142"/>
      <c r="O39" s="177"/>
      <c r="P39" s="177">
        <f t="shared" si="18"/>
        <v>0</v>
      </c>
      <c r="Q39" s="177">
        <f t="shared" si="19"/>
        <v>0</v>
      </c>
      <c r="R39" s="177">
        <f t="shared" si="20"/>
        <v>0</v>
      </c>
      <c r="S39" s="177">
        <f t="shared" si="21"/>
        <v>0</v>
      </c>
      <c r="T39" s="304">
        <f>IF('8. WAMKK'!C39=0,0,+S39/'8. WAMKK'!C39)</f>
        <v>0</v>
      </c>
      <c r="U39" s="126"/>
      <c r="V39" s="208">
        <f t="shared" si="16"/>
        <v>0</v>
      </c>
    </row>
    <row r="40" spans="1:22" ht="12.75" customHeight="1" x14ac:dyDescent="0.2">
      <c r="A40" s="14"/>
      <c r="B40" s="20" t="s">
        <v>93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42"/>
      <c r="M40" s="142"/>
      <c r="N40" s="142"/>
      <c r="O40" s="177"/>
      <c r="P40" s="177">
        <f t="shared" si="18"/>
        <v>0</v>
      </c>
      <c r="Q40" s="177">
        <f t="shared" si="19"/>
        <v>0</v>
      </c>
      <c r="R40" s="177">
        <f t="shared" si="20"/>
        <v>0</v>
      </c>
      <c r="S40" s="177">
        <f t="shared" si="21"/>
        <v>0</v>
      </c>
      <c r="T40" s="304">
        <f>IF('8. WAMKK'!C40=0,0,+S40/'8. WAMKK'!C40)</f>
        <v>0</v>
      </c>
      <c r="U40" s="126"/>
      <c r="V40" s="208">
        <f t="shared" si="16"/>
        <v>0</v>
      </c>
    </row>
    <row r="41" spans="1:22" s="43" customFormat="1" ht="12.75" customHeight="1" x14ac:dyDescent="0.2">
      <c r="A41" s="39" t="s">
        <v>37</v>
      </c>
      <c r="B41" s="40" t="s">
        <v>38</v>
      </c>
      <c r="C41" s="298">
        <f>SUM(C42:C47)</f>
        <v>49000</v>
      </c>
      <c r="D41" s="298">
        <f t="shared" ref="D41:F41" si="29">SUM(D42:D47)</f>
        <v>49000</v>
      </c>
      <c r="E41" s="298">
        <f t="shared" si="29"/>
        <v>0</v>
      </c>
      <c r="F41" s="298">
        <f t="shared" si="29"/>
        <v>0</v>
      </c>
      <c r="G41" s="298"/>
      <c r="H41" s="298">
        <f t="shared" ref="H41" si="30">SUM(H42:H47)</f>
        <v>25667</v>
      </c>
      <c r="I41" s="298">
        <f t="shared" ref="I41" si="31">SUM(I42:I47)</f>
        <v>0</v>
      </c>
      <c r="J41" s="298">
        <f t="shared" ref="J41" si="32">SUM(J42:J47)</f>
        <v>0</v>
      </c>
      <c r="K41" s="586"/>
      <c r="L41" s="153"/>
      <c r="M41" s="153"/>
      <c r="N41" s="153"/>
      <c r="O41" s="586"/>
      <c r="P41" s="586">
        <f t="shared" si="18"/>
        <v>0</v>
      </c>
      <c r="Q41" s="586">
        <f t="shared" si="19"/>
        <v>-49000</v>
      </c>
      <c r="R41" s="586">
        <f t="shared" si="20"/>
        <v>0</v>
      </c>
      <c r="S41" s="586">
        <f t="shared" si="21"/>
        <v>-49000</v>
      </c>
      <c r="T41" s="304">
        <f>IF('8. WAMKK'!C41=0,0,+S41/'8. WAMKK'!C41)</f>
        <v>-0.49</v>
      </c>
      <c r="U41" s="127"/>
      <c r="V41" s="587">
        <f t="shared" si="16"/>
        <v>0</v>
      </c>
    </row>
    <row r="42" spans="1:22" ht="12.75" customHeight="1" x14ac:dyDescent="0.2">
      <c r="A42" s="14" t="s">
        <v>39</v>
      </c>
      <c r="B42" s="20" t="s">
        <v>40</v>
      </c>
      <c r="C42" s="177">
        <v>0</v>
      </c>
      <c r="D42" s="177">
        <v>0</v>
      </c>
      <c r="E42" s="177">
        <v>0</v>
      </c>
      <c r="F42" s="177">
        <v>0</v>
      </c>
      <c r="G42" s="177"/>
      <c r="H42" s="177">
        <v>0</v>
      </c>
      <c r="I42" s="177">
        <v>0</v>
      </c>
      <c r="J42" s="177"/>
      <c r="K42" s="177"/>
      <c r="L42" s="143" t="e">
        <f t="shared" si="22"/>
        <v>#DIV/0!</v>
      </c>
      <c r="M42" s="143" t="e">
        <f t="shared" si="23"/>
        <v>#DIV/0!</v>
      </c>
      <c r="N42" s="143" t="e">
        <f t="shared" si="23"/>
        <v>#DIV/0!</v>
      </c>
      <c r="O42" s="177"/>
      <c r="P42" s="177">
        <f t="shared" si="18"/>
        <v>0</v>
      </c>
      <c r="Q42" s="177">
        <f t="shared" si="19"/>
        <v>0</v>
      </c>
      <c r="R42" s="177">
        <f t="shared" si="20"/>
        <v>0</v>
      </c>
      <c r="S42" s="177">
        <f t="shared" si="21"/>
        <v>0</v>
      </c>
      <c r="T42" s="304">
        <f>IF('8. WAMKK'!C42=0,0,+S42/'8. WAMKK'!C42)</f>
        <v>0</v>
      </c>
      <c r="U42" s="126"/>
      <c r="V42" s="208">
        <f t="shared" si="16"/>
        <v>0</v>
      </c>
    </row>
    <row r="43" spans="1:22" ht="25.5" customHeight="1" x14ac:dyDescent="0.2">
      <c r="A43" s="14"/>
      <c r="B43" s="20" t="s">
        <v>41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42"/>
      <c r="M43" s="142"/>
      <c r="N43" s="142"/>
      <c r="O43" s="177"/>
      <c r="P43" s="177">
        <f t="shared" si="18"/>
        <v>0</v>
      </c>
      <c r="Q43" s="177">
        <f t="shared" si="19"/>
        <v>0</v>
      </c>
      <c r="R43" s="177">
        <f t="shared" si="20"/>
        <v>0</v>
      </c>
      <c r="S43" s="177">
        <f t="shared" si="21"/>
        <v>0</v>
      </c>
      <c r="T43" s="304">
        <f>IF('8. WAMKK'!C43=0,0,+S43/'8. WAMKK'!C43)</f>
        <v>0</v>
      </c>
      <c r="U43" s="126"/>
      <c r="V43" s="208">
        <f t="shared" si="16"/>
        <v>0</v>
      </c>
    </row>
    <row r="44" spans="1:22" ht="12.75" customHeight="1" x14ac:dyDescent="0.2">
      <c r="A44" s="14"/>
      <c r="B44" s="20" t="s">
        <v>42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42"/>
      <c r="M44" s="142"/>
      <c r="N44" s="142"/>
      <c r="O44" s="177"/>
      <c r="P44" s="177">
        <f t="shared" si="18"/>
        <v>0</v>
      </c>
      <c r="Q44" s="177">
        <f t="shared" si="19"/>
        <v>0</v>
      </c>
      <c r="R44" s="177">
        <f t="shared" si="20"/>
        <v>0</v>
      </c>
      <c r="S44" s="177">
        <f t="shared" si="21"/>
        <v>0</v>
      </c>
      <c r="T44" s="304">
        <f>IF('8. WAMKK'!C44=0,0,+S44/'8. WAMKK'!C44)</f>
        <v>0</v>
      </c>
      <c r="U44" s="126"/>
      <c r="V44" s="208">
        <f t="shared" si="16"/>
        <v>0</v>
      </c>
    </row>
    <row r="45" spans="1:22" ht="12.75" customHeight="1" x14ac:dyDescent="0.2">
      <c r="A45" s="14"/>
      <c r="B45" s="20" t="s">
        <v>43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42"/>
      <c r="M45" s="142"/>
      <c r="N45" s="142"/>
      <c r="O45" s="177"/>
      <c r="P45" s="177">
        <f t="shared" si="18"/>
        <v>0</v>
      </c>
      <c r="Q45" s="177">
        <f t="shared" si="19"/>
        <v>0</v>
      </c>
      <c r="R45" s="177">
        <f t="shared" si="20"/>
        <v>0</v>
      </c>
      <c r="S45" s="177">
        <f t="shared" si="21"/>
        <v>0</v>
      </c>
      <c r="T45" s="304">
        <f>IF('8. WAMKK'!C45=0,0,+S45/'8. WAMKK'!C45)</f>
        <v>0</v>
      </c>
      <c r="U45" s="126"/>
      <c r="V45" s="208">
        <f t="shared" si="16"/>
        <v>0</v>
      </c>
    </row>
    <row r="46" spans="1:22" ht="12.75" customHeight="1" x14ac:dyDescent="0.2">
      <c r="A46" s="14" t="s">
        <v>44</v>
      </c>
      <c r="B46" s="20" t="s">
        <v>45</v>
      </c>
      <c r="C46" s="177">
        <v>49000</v>
      </c>
      <c r="D46" s="177">
        <v>49000</v>
      </c>
      <c r="E46" s="177">
        <v>0</v>
      </c>
      <c r="F46" s="177">
        <v>0</v>
      </c>
      <c r="G46" s="177"/>
      <c r="H46" s="177">
        <v>25667</v>
      </c>
      <c r="I46" s="177">
        <v>0</v>
      </c>
      <c r="J46" s="177"/>
      <c r="K46" s="177"/>
      <c r="L46" s="143">
        <f t="shared" si="22"/>
        <v>0.52381632653061228</v>
      </c>
      <c r="M46" s="143">
        <f t="shared" si="23"/>
        <v>0</v>
      </c>
      <c r="N46" s="143" t="e">
        <f t="shared" si="23"/>
        <v>#DIV/0!</v>
      </c>
      <c r="O46" s="177"/>
      <c r="P46" s="177">
        <f t="shared" si="18"/>
        <v>0</v>
      </c>
      <c r="Q46" s="177">
        <f t="shared" si="19"/>
        <v>-49000</v>
      </c>
      <c r="R46" s="177">
        <f t="shared" si="20"/>
        <v>0</v>
      </c>
      <c r="S46" s="177">
        <f t="shared" si="21"/>
        <v>-49000</v>
      </c>
      <c r="T46" s="304">
        <f>IF('8. WAMKK'!C46=0,0,+S46/'8. WAMKK'!C46)</f>
        <v>-4.9000000000000004</v>
      </c>
      <c r="U46" s="126"/>
      <c r="V46" s="208">
        <f t="shared" si="16"/>
        <v>0</v>
      </c>
    </row>
    <row r="47" spans="1:22" ht="12.75" customHeight="1" x14ac:dyDescent="0.2">
      <c r="A47" s="14"/>
      <c r="B47" s="20" t="s">
        <v>46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42"/>
      <c r="M47" s="142"/>
      <c r="N47" s="142"/>
      <c r="O47" s="177"/>
      <c r="P47" s="177">
        <f t="shared" si="18"/>
        <v>0</v>
      </c>
      <c r="Q47" s="177">
        <f t="shared" si="19"/>
        <v>0</v>
      </c>
      <c r="R47" s="177">
        <f t="shared" si="20"/>
        <v>0</v>
      </c>
      <c r="S47" s="177">
        <f t="shared" si="21"/>
        <v>0</v>
      </c>
      <c r="T47" s="304">
        <f>IF('8. WAMKK'!C47=0,0,+S47/'8. WAMKK'!C47)</f>
        <v>0</v>
      </c>
      <c r="U47" s="126"/>
      <c r="V47" s="208">
        <f t="shared" si="16"/>
        <v>0</v>
      </c>
    </row>
    <row r="48" spans="1:22" s="43" customFormat="1" ht="12.75" customHeight="1" x14ac:dyDescent="0.2">
      <c r="A48" s="39" t="s">
        <v>47</v>
      </c>
      <c r="B48" s="40" t="s">
        <v>48</v>
      </c>
      <c r="C48" s="298">
        <f>SUM(C49:C65)</f>
        <v>2592000</v>
      </c>
      <c r="D48" s="298">
        <f t="shared" ref="D48:F48" si="33">SUM(D49:D65)</f>
        <v>2575000</v>
      </c>
      <c r="E48" s="298">
        <f t="shared" si="33"/>
        <v>0</v>
      </c>
      <c r="F48" s="298">
        <f t="shared" si="33"/>
        <v>0</v>
      </c>
      <c r="G48" s="298"/>
      <c r="H48" s="298">
        <f t="shared" ref="H48" si="34">SUM(H49:H65)</f>
        <v>1533970</v>
      </c>
      <c r="I48" s="298">
        <f t="shared" ref="I48" si="35">SUM(I49:I65)</f>
        <v>0</v>
      </c>
      <c r="J48" s="298">
        <f t="shared" ref="J48" si="36">SUM(J49:J65)</f>
        <v>0</v>
      </c>
      <c r="K48" s="586"/>
      <c r="L48" s="153"/>
      <c r="M48" s="153"/>
      <c r="N48" s="153"/>
      <c r="O48" s="586"/>
      <c r="P48" s="586">
        <f t="shared" si="18"/>
        <v>-17000</v>
      </c>
      <c r="Q48" s="586">
        <f t="shared" si="19"/>
        <v>-2575000</v>
      </c>
      <c r="R48" s="586">
        <f t="shared" si="20"/>
        <v>0</v>
      </c>
      <c r="S48" s="586">
        <f t="shared" si="21"/>
        <v>-2592000</v>
      </c>
      <c r="T48" s="304">
        <f>IF('8. WAMKK'!C48=0,0,+S48/'8. WAMKK'!C48)</f>
        <v>-0.33466752743705619</v>
      </c>
      <c r="U48" s="127"/>
      <c r="V48" s="587">
        <f t="shared" si="16"/>
        <v>0</v>
      </c>
    </row>
    <row r="49" spans="1:22" ht="12.75" customHeight="1" x14ac:dyDescent="0.2">
      <c r="A49" s="14" t="s">
        <v>49</v>
      </c>
      <c r="B49" s="20" t="s">
        <v>50</v>
      </c>
      <c r="C49" s="177">
        <v>1025000</v>
      </c>
      <c r="D49" s="177">
        <v>1025000</v>
      </c>
      <c r="E49" s="177">
        <v>0</v>
      </c>
      <c r="F49" s="177">
        <v>0</v>
      </c>
      <c r="G49" s="177"/>
      <c r="H49" s="177">
        <v>652068</v>
      </c>
      <c r="I49" s="177">
        <v>0</v>
      </c>
      <c r="J49" s="177"/>
      <c r="K49" s="177"/>
      <c r="L49" s="143">
        <f t="shared" si="22"/>
        <v>0.63616390243902443</v>
      </c>
      <c r="M49" s="143">
        <f t="shared" si="23"/>
        <v>0</v>
      </c>
      <c r="N49" s="143" t="e">
        <f t="shared" si="23"/>
        <v>#DIV/0!</v>
      </c>
      <c r="O49" s="177"/>
      <c r="P49" s="177">
        <f t="shared" si="18"/>
        <v>0</v>
      </c>
      <c r="Q49" s="177">
        <f t="shared" si="19"/>
        <v>-1025000</v>
      </c>
      <c r="R49" s="177">
        <f t="shared" si="20"/>
        <v>0</v>
      </c>
      <c r="S49" s="177">
        <f t="shared" si="21"/>
        <v>-1025000</v>
      </c>
      <c r="T49" s="304">
        <f>IF('8. WAMKK'!C49=0,0,+S49/'8. WAMKK'!C49)</f>
        <v>-0.78846153846153844</v>
      </c>
      <c r="U49" s="126"/>
      <c r="V49" s="208">
        <f t="shared" si="16"/>
        <v>0</v>
      </c>
    </row>
    <row r="50" spans="1:22" ht="12.75" customHeight="1" x14ac:dyDescent="0.2">
      <c r="A50" s="14" t="s">
        <v>103</v>
      </c>
      <c r="B50" s="20" t="s">
        <v>97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42"/>
      <c r="M50" s="142"/>
      <c r="N50" s="142"/>
      <c r="O50" s="177"/>
      <c r="P50" s="177">
        <f t="shared" si="18"/>
        <v>0</v>
      </c>
      <c r="Q50" s="177">
        <f t="shared" si="19"/>
        <v>0</v>
      </c>
      <c r="R50" s="177">
        <f t="shared" si="20"/>
        <v>0</v>
      </c>
      <c r="S50" s="177">
        <f t="shared" si="21"/>
        <v>0</v>
      </c>
      <c r="T50" s="304">
        <f>IF('8. WAMKK'!C50=0,0,+S50/'8. WAMKK'!C50)</f>
        <v>0</v>
      </c>
      <c r="U50" s="126"/>
      <c r="V50" s="208">
        <f t="shared" si="16"/>
        <v>0</v>
      </c>
    </row>
    <row r="51" spans="1:22" ht="12.75" customHeight="1" x14ac:dyDescent="0.2">
      <c r="A51" s="14"/>
      <c r="B51" s="20" t="s">
        <v>98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42"/>
      <c r="M51" s="142"/>
      <c r="N51" s="142"/>
      <c r="O51" s="177"/>
      <c r="P51" s="177">
        <f t="shared" si="18"/>
        <v>0</v>
      </c>
      <c r="Q51" s="177">
        <f t="shared" si="19"/>
        <v>0</v>
      </c>
      <c r="R51" s="177">
        <f t="shared" si="20"/>
        <v>0</v>
      </c>
      <c r="S51" s="177">
        <f t="shared" si="21"/>
        <v>0</v>
      </c>
      <c r="T51" s="304">
        <f>IF('8. WAMKK'!C51=0,0,+S51/'8. WAMKK'!C51)</f>
        <v>0</v>
      </c>
      <c r="U51" s="126"/>
      <c r="V51" s="208">
        <f t="shared" si="16"/>
        <v>0</v>
      </c>
    </row>
    <row r="52" spans="1:22" ht="12.75" customHeight="1" x14ac:dyDescent="0.2">
      <c r="A52" s="14"/>
      <c r="B52" s="20" t="s">
        <v>99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42"/>
      <c r="M52" s="142"/>
      <c r="N52" s="142"/>
      <c r="O52" s="177"/>
      <c r="P52" s="177">
        <f t="shared" si="18"/>
        <v>0</v>
      </c>
      <c r="Q52" s="177">
        <f t="shared" si="19"/>
        <v>0</v>
      </c>
      <c r="R52" s="177">
        <f t="shared" si="20"/>
        <v>0</v>
      </c>
      <c r="S52" s="177">
        <f t="shared" si="21"/>
        <v>0</v>
      </c>
      <c r="T52" s="304">
        <f>IF('8. WAMKK'!C52=0,0,+S52/'8. WAMKK'!C52)</f>
        <v>0</v>
      </c>
      <c r="U52" s="126"/>
      <c r="V52" s="208">
        <f t="shared" si="16"/>
        <v>0</v>
      </c>
    </row>
    <row r="53" spans="1:22" ht="12.75" customHeight="1" x14ac:dyDescent="0.2">
      <c r="A53" s="14" t="s">
        <v>51</v>
      </c>
      <c r="B53" s="20" t="s">
        <v>52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42"/>
      <c r="M53" s="142"/>
      <c r="N53" s="142"/>
      <c r="O53" s="177"/>
      <c r="P53" s="177">
        <f t="shared" si="18"/>
        <v>0</v>
      </c>
      <c r="Q53" s="177">
        <f t="shared" si="19"/>
        <v>0</v>
      </c>
      <c r="R53" s="177">
        <f t="shared" si="20"/>
        <v>0</v>
      </c>
      <c r="S53" s="177">
        <f t="shared" si="21"/>
        <v>0</v>
      </c>
      <c r="T53" s="304">
        <f>IF('8. WAMKK'!C53=0,0,+S53/'8. WAMKK'!C53)</f>
        <v>0</v>
      </c>
      <c r="U53" s="126"/>
      <c r="V53" s="208">
        <f t="shared" si="16"/>
        <v>0</v>
      </c>
    </row>
    <row r="54" spans="1:22" ht="12.75" customHeight="1" x14ac:dyDescent="0.2">
      <c r="A54" s="14"/>
      <c r="B54" s="20" t="s">
        <v>90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42"/>
      <c r="M54" s="142"/>
      <c r="N54" s="142"/>
      <c r="O54" s="177"/>
      <c r="P54" s="177">
        <f t="shared" si="18"/>
        <v>0</v>
      </c>
      <c r="Q54" s="177">
        <f t="shared" si="19"/>
        <v>0</v>
      </c>
      <c r="R54" s="177">
        <f t="shared" si="20"/>
        <v>0</v>
      </c>
      <c r="S54" s="177">
        <f t="shared" si="21"/>
        <v>0</v>
      </c>
      <c r="T54" s="304">
        <f>IF('8. WAMKK'!C54=0,0,+S54/'8. WAMKK'!C54)</f>
        <v>0</v>
      </c>
      <c r="U54" s="126"/>
      <c r="V54" s="208">
        <f t="shared" si="16"/>
        <v>0</v>
      </c>
    </row>
    <row r="55" spans="1:22" ht="12.75" customHeight="1" x14ac:dyDescent="0.2">
      <c r="A55" s="14"/>
      <c r="B55" s="20" t="s">
        <v>53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42"/>
      <c r="M55" s="142"/>
      <c r="N55" s="142"/>
      <c r="O55" s="177"/>
      <c r="P55" s="177">
        <f t="shared" si="18"/>
        <v>0</v>
      </c>
      <c r="Q55" s="177">
        <f t="shared" si="19"/>
        <v>0</v>
      </c>
      <c r="R55" s="177">
        <f t="shared" si="20"/>
        <v>0</v>
      </c>
      <c r="S55" s="177">
        <f t="shared" si="21"/>
        <v>0</v>
      </c>
      <c r="T55" s="304">
        <f>IF('8. WAMKK'!C55=0,0,+S55/'8. WAMKK'!C55)</f>
        <v>0</v>
      </c>
      <c r="U55" s="126"/>
      <c r="V55" s="208">
        <f t="shared" si="16"/>
        <v>0</v>
      </c>
    </row>
    <row r="56" spans="1:22" ht="12.75" customHeight="1" x14ac:dyDescent="0.2">
      <c r="A56" s="14" t="s">
        <v>54</v>
      </c>
      <c r="B56" s="20" t="s">
        <v>55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42"/>
      <c r="M56" s="142"/>
      <c r="N56" s="142"/>
      <c r="O56" s="177"/>
      <c r="P56" s="177">
        <f t="shared" si="18"/>
        <v>0</v>
      </c>
      <c r="Q56" s="177">
        <f t="shared" si="19"/>
        <v>0</v>
      </c>
      <c r="R56" s="177">
        <f t="shared" si="20"/>
        <v>0</v>
      </c>
      <c r="S56" s="177">
        <f t="shared" si="21"/>
        <v>0</v>
      </c>
      <c r="T56" s="304">
        <f>IF('8. WAMKK'!C56=0,0,+S56/'8. WAMKK'!C56)</f>
        <v>0</v>
      </c>
      <c r="U56" s="126"/>
      <c r="V56" s="208">
        <f t="shared" si="16"/>
        <v>0</v>
      </c>
    </row>
    <row r="57" spans="1:22" ht="12.75" customHeight="1" x14ac:dyDescent="0.2">
      <c r="A57" s="14"/>
      <c r="B57" s="20" t="s">
        <v>56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42"/>
      <c r="M57" s="142"/>
      <c r="N57" s="142"/>
      <c r="O57" s="177"/>
      <c r="P57" s="177">
        <f t="shared" si="18"/>
        <v>0</v>
      </c>
      <c r="Q57" s="177">
        <f t="shared" si="19"/>
        <v>0</v>
      </c>
      <c r="R57" s="177">
        <f t="shared" si="20"/>
        <v>0</v>
      </c>
      <c r="S57" s="177">
        <f t="shared" si="21"/>
        <v>0</v>
      </c>
      <c r="T57" s="304">
        <f>IF('8. WAMKK'!C57=0,0,+S57/'8. WAMKK'!C57)</f>
        <v>0</v>
      </c>
      <c r="U57" s="126"/>
      <c r="V57" s="208">
        <f t="shared" si="16"/>
        <v>0</v>
      </c>
    </row>
    <row r="58" spans="1:22" ht="12.75" customHeight="1" x14ac:dyDescent="0.2">
      <c r="A58" s="14" t="s">
        <v>57</v>
      </c>
      <c r="B58" s="20" t="s">
        <v>91</v>
      </c>
      <c r="C58" s="177">
        <v>616000</v>
      </c>
      <c r="D58" s="177">
        <v>616000</v>
      </c>
      <c r="E58" s="177">
        <v>0</v>
      </c>
      <c r="F58" s="177">
        <v>0</v>
      </c>
      <c r="G58" s="177"/>
      <c r="H58" s="177">
        <v>0</v>
      </c>
      <c r="I58" s="177">
        <v>0</v>
      </c>
      <c r="J58" s="177"/>
      <c r="K58" s="177"/>
      <c r="L58" s="143">
        <f t="shared" si="22"/>
        <v>0</v>
      </c>
      <c r="M58" s="143">
        <f t="shared" si="23"/>
        <v>0</v>
      </c>
      <c r="N58" s="143" t="e">
        <f t="shared" si="23"/>
        <v>#DIV/0!</v>
      </c>
      <c r="O58" s="177"/>
      <c r="P58" s="177">
        <f t="shared" si="18"/>
        <v>0</v>
      </c>
      <c r="Q58" s="177">
        <f t="shared" si="19"/>
        <v>-616000</v>
      </c>
      <c r="R58" s="177">
        <f t="shared" si="20"/>
        <v>0</v>
      </c>
      <c r="S58" s="177">
        <f t="shared" si="21"/>
        <v>-616000</v>
      </c>
      <c r="T58" s="304">
        <f>IF('8. WAMKK'!C58=0,0,+S58/'8. WAMKK'!C58)</f>
        <v>-8.2133333333333329</v>
      </c>
      <c r="U58" s="126"/>
      <c r="V58" s="208">
        <f t="shared" si="16"/>
        <v>0</v>
      </c>
    </row>
    <row r="59" spans="1:22" ht="12.75" customHeight="1" x14ac:dyDescent="0.2">
      <c r="A59" s="14"/>
      <c r="B59" s="20" t="s">
        <v>58</v>
      </c>
      <c r="C59" s="339"/>
      <c r="D59" s="177"/>
      <c r="E59" s="177"/>
      <c r="F59" s="177"/>
      <c r="G59" s="177"/>
      <c r="H59" s="177"/>
      <c r="I59" s="177"/>
      <c r="J59" s="177"/>
      <c r="K59" s="177"/>
      <c r="L59" s="142"/>
      <c r="M59" s="142"/>
      <c r="N59" s="142"/>
      <c r="O59" s="177"/>
      <c r="P59" s="177">
        <f t="shared" si="18"/>
        <v>0</v>
      </c>
      <c r="Q59" s="177">
        <f t="shared" si="19"/>
        <v>0</v>
      </c>
      <c r="R59" s="177">
        <f t="shared" si="20"/>
        <v>0</v>
      </c>
      <c r="S59" s="177">
        <f t="shared" si="21"/>
        <v>0</v>
      </c>
      <c r="T59" s="304">
        <f>IF('8. WAMKK'!C59=0,0,+S59/'8. WAMKK'!C59)</f>
        <v>0</v>
      </c>
      <c r="U59" s="126"/>
      <c r="V59" s="208">
        <f t="shared" si="16"/>
        <v>0</v>
      </c>
    </row>
    <row r="60" spans="1:22" ht="12.75" customHeight="1" x14ac:dyDescent="0.2">
      <c r="A60" s="14" t="s">
        <v>59</v>
      </c>
      <c r="B60" s="20" t="s">
        <v>60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42"/>
      <c r="M60" s="142"/>
      <c r="N60" s="142"/>
      <c r="O60" s="177"/>
      <c r="P60" s="177">
        <f t="shared" si="18"/>
        <v>0</v>
      </c>
      <c r="Q60" s="177">
        <f t="shared" si="19"/>
        <v>0</v>
      </c>
      <c r="R60" s="177">
        <f t="shared" si="20"/>
        <v>0</v>
      </c>
      <c r="S60" s="177">
        <f t="shared" si="21"/>
        <v>0</v>
      </c>
      <c r="T60" s="304">
        <f>IF('8. WAMKK'!C60=0,0,+S60/'8. WAMKK'!C60)</f>
        <v>0</v>
      </c>
      <c r="U60" s="126"/>
      <c r="V60" s="208">
        <f t="shared" si="16"/>
        <v>0</v>
      </c>
    </row>
    <row r="61" spans="1:22" ht="24.75" customHeight="1" x14ac:dyDescent="0.2">
      <c r="A61" s="20"/>
      <c r="B61" s="20" t="s">
        <v>61</v>
      </c>
      <c r="C61" s="177"/>
      <c r="D61" s="177"/>
      <c r="E61" s="177"/>
      <c r="F61" s="177"/>
      <c r="G61" s="177"/>
      <c r="H61" s="177">
        <v>209897</v>
      </c>
      <c r="I61" s="177"/>
      <c r="J61" s="177"/>
      <c r="K61" s="177"/>
      <c r="L61" s="142"/>
      <c r="M61" s="142"/>
      <c r="N61" s="142"/>
      <c r="O61" s="177"/>
      <c r="P61" s="177">
        <f t="shared" si="18"/>
        <v>0</v>
      </c>
      <c r="Q61" s="177">
        <f t="shared" si="19"/>
        <v>0</v>
      </c>
      <c r="R61" s="177">
        <f t="shared" si="20"/>
        <v>0</v>
      </c>
      <c r="S61" s="177">
        <f t="shared" si="21"/>
        <v>0</v>
      </c>
      <c r="T61" s="304">
        <f>IF('8. WAMKK'!C61=0,0,+S61/'8. WAMKK'!C61)</f>
        <v>0</v>
      </c>
      <c r="U61" s="126"/>
      <c r="V61" s="208">
        <f t="shared" si="16"/>
        <v>0</v>
      </c>
    </row>
    <row r="62" spans="1:22" ht="12.75" customHeight="1" x14ac:dyDescent="0.2">
      <c r="A62" s="14" t="s">
        <v>62</v>
      </c>
      <c r="B62" s="20" t="s">
        <v>63</v>
      </c>
      <c r="C62" s="177">
        <v>51000</v>
      </c>
      <c r="D62" s="177">
        <v>111000</v>
      </c>
      <c r="E62" s="177">
        <v>0</v>
      </c>
      <c r="F62" s="177">
        <v>0</v>
      </c>
      <c r="G62" s="177"/>
      <c r="H62" s="177">
        <v>110700</v>
      </c>
      <c r="I62" s="177">
        <v>0</v>
      </c>
      <c r="J62" s="177"/>
      <c r="K62" s="177"/>
      <c r="L62" s="143">
        <f t="shared" si="22"/>
        <v>2.1705882352941175</v>
      </c>
      <c r="M62" s="143">
        <f t="shared" si="23"/>
        <v>0</v>
      </c>
      <c r="N62" s="143" t="e">
        <f t="shared" si="23"/>
        <v>#DIV/0!</v>
      </c>
      <c r="O62" s="177"/>
      <c r="P62" s="177">
        <f t="shared" si="18"/>
        <v>60000</v>
      </c>
      <c r="Q62" s="177">
        <f t="shared" si="19"/>
        <v>-111000</v>
      </c>
      <c r="R62" s="177">
        <f t="shared" si="20"/>
        <v>0</v>
      </c>
      <c r="S62" s="177">
        <f t="shared" si="21"/>
        <v>-51000</v>
      </c>
      <c r="T62" s="304">
        <f>IF('8. WAMKK'!C62=0,0,+S62/'8. WAMKK'!C62)</f>
        <v>-5.3684210526315793E-2</v>
      </c>
      <c r="U62" s="126"/>
      <c r="V62" s="208">
        <f t="shared" si="16"/>
        <v>0</v>
      </c>
    </row>
    <row r="63" spans="1:22" ht="39.75" customHeight="1" x14ac:dyDescent="0.2">
      <c r="A63" s="14"/>
      <c r="B63" s="20" t="s">
        <v>102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42"/>
      <c r="M63" s="142"/>
      <c r="N63" s="142"/>
      <c r="O63" s="177"/>
      <c r="P63" s="177">
        <f t="shared" si="18"/>
        <v>0</v>
      </c>
      <c r="Q63" s="177">
        <f t="shared" si="19"/>
        <v>0</v>
      </c>
      <c r="R63" s="177">
        <f t="shared" si="20"/>
        <v>0</v>
      </c>
      <c r="S63" s="177">
        <f t="shared" si="21"/>
        <v>0</v>
      </c>
      <c r="T63" s="304">
        <f>IF('8. WAMKK'!C63=0,0,+S63/'8. WAMKK'!C63)</f>
        <v>0</v>
      </c>
      <c r="U63" s="126"/>
      <c r="V63" s="208">
        <f t="shared" si="16"/>
        <v>0</v>
      </c>
    </row>
    <row r="64" spans="1:22" ht="12.75" customHeight="1" x14ac:dyDescent="0.2">
      <c r="A64" s="14" t="s">
        <v>64</v>
      </c>
      <c r="B64" s="20" t="s">
        <v>65</v>
      </c>
      <c r="C64" s="177">
        <v>900000</v>
      </c>
      <c r="D64" s="177">
        <v>823000</v>
      </c>
      <c r="E64" s="177">
        <v>0</v>
      </c>
      <c r="F64" s="177">
        <v>0</v>
      </c>
      <c r="G64" s="177"/>
      <c r="H64" s="177">
        <v>561305</v>
      </c>
      <c r="I64" s="177">
        <v>0</v>
      </c>
      <c r="J64" s="177"/>
      <c r="K64" s="177"/>
      <c r="L64" s="143">
        <f t="shared" si="22"/>
        <v>0.62367222222222218</v>
      </c>
      <c r="M64" s="143">
        <f t="shared" si="23"/>
        <v>0</v>
      </c>
      <c r="N64" s="143" t="e">
        <f t="shared" si="23"/>
        <v>#DIV/0!</v>
      </c>
      <c r="O64" s="177"/>
      <c r="P64" s="177">
        <f t="shared" si="18"/>
        <v>-77000</v>
      </c>
      <c r="Q64" s="177">
        <f t="shared" si="19"/>
        <v>-823000</v>
      </c>
      <c r="R64" s="177">
        <f t="shared" si="20"/>
        <v>0</v>
      </c>
      <c r="S64" s="177">
        <f t="shared" si="21"/>
        <v>-900000</v>
      </c>
      <c r="T64" s="304">
        <f>IF('8. WAMKK'!C64=0,0,+S64/'8. WAMKK'!C64)</f>
        <v>-0.20454545454545456</v>
      </c>
      <c r="U64" s="126"/>
      <c r="V64" s="208">
        <f t="shared" si="16"/>
        <v>0</v>
      </c>
    </row>
    <row r="65" spans="1:22" ht="39" customHeight="1" x14ac:dyDescent="0.2">
      <c r="A65" s="14"/>
      <c r="B65" s="20" t="s">
        <v>66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42"/>
      <c r="M65" s="142"/>
      <c r="N65" s="142"/>
      <c r="O65" s="177"/>
      <c r="P65" s="177">
        <f t="shared" si="18"/>
        <v>0</v>
      </c>
      <c r="Q65" s="177">
        <f t="shared" si="19"/>
        <v>0</v>
      </c>
      <c r="R65" s="177">
        <f t="shared" si="20"/>
        <v>0</v>
      </c>
      <c r="S65" s="177">
        <f t="shared" si="21"/>
        <v>0</v>
      </c>
      <c r="T65" s="304">
        <f>IF('8. WAMKK'!C65=0,0,+S65/'8. WAMKK'!C65)</f>
        <v>0</v>
      </c>
      <c r="U65" s="126"/>
      <c r="V65" s="208">
        <f t="shared" si="16"/>
        <v>0</v>
      </c>
    </row>
    <row r="66" spans="1:22" s="43" customFormat="1" ht="12.75" customHeight="1" x14ac:dyDescent="0.2">
      <c r="A66" s="39" t="s">
        <v>67</v>
      </c>
      <c r="B66" s="40" t="s">
        <v>68</v>
      </c>
      <c r="C66" s="298">
        <f>+C67+C69</f>
        <v>200000</v>
      </c>
      <c r="D66" s="298">
        <f t="shared" ref="D66:F66" si="37">+D67+D69</f>
        <v>200000</v>
      </c>
      <c r="E66" s="298">
        <f t="shared" si="37"/>
        <v>0</v>
      </c>
      <c r="F66" s="298">
        <f t="shared" si="37"/>
        <v>0</v>
      </c>
      <c r="G66" s="298"/>
      <c r="H66" s="298">
        <f t="shared" ref="H66" si="38">+H67+H69</f>
        <v>80885</v>
      </c>
      <c r="I66" s="298">
        <f t="shared" ref="I66" si="39">+I67+I69</f>
        <v>0</v>
      </c>
      <c r="J66" s="298">
        <f t="shared" ref="J66" si="40">+J67+J69</f>
        <v>0</v>
      </c>
      <c r="K66" s="586"/>
      <c r="L66" s="153"/>
      <c r="M66" s="153"/>
      <c r="N66" s="153"/>
      <c r="O66" s="586"/>
      <c r="P66" s="586">
        <f t="shared" si="18"/>
        <v>0</v>
      </c>
      <c r="Q66" s="586">
        <f t="shared" si="19"/>
        <v>-200000</v>
      </c>
      <c r="R66" s="586">
        <f t="shared" si="20"/>
        <v>0</v>
      </c>
      <c r="S66" s="586">
        <f t="shared" si="21"/>
        <v>-200000</v>
      </c>
      <c r="T66" s="304">
        <f>IF('8. WAMKK'!C66=0,0,+S66/'8. WAMKK'!C66)</f>
        <v>-2.5641025641025643</v>
      </c>
      <c r="U66" s="127"/>
      <c r="V66" s="587">
        <f t="shared" si="16"/>
        <v>0</v>
      </c>
    </row>
    <row r="67" spans="1:22" ht="12.75" customHeight="1" x14ac:dyDescent="0.2">
      <c r="A67" s="14" t="s">
        <v>69</v>
      </c>
      <c r="B67" s="20" t="s">
        <v>70</v>
      </c>
      <c r="C67" s="177">
        <v>200000</v>
      </c>
      <c r="D67" s="177">
        <v>200000</v>
      </c>
      <c r="E67" s="177">
        <v>0</v>
      </c>
      <c r="F67" s="177">
        <v>0</v>
      </c>
      <c r="G67" s="177"/>
      <c r="H67" s="177">
        <v>80885</v>
      </c>
      <c r="I67" s="177">
        <v>0</v>
      </c>
      <c r="J67" s="177">
        <v>0</v>
      </c>
      <c r="K67" s="177"/>
      <c r="L67" s="143">
        <f t="shared" si="22"/>
        <v>0.40442499999999998</v>
      </c>
      <c r="M67" s="143">
        <f t="shared" si="23"/>
        <v>0</v>
      </c>
      <c r="N67" s="143" t="e">
        <f t="shared" si="23"/>
        <v>#DIV/0!</v>
      </c>
      <c r="O67" s="177"/>
      <c r="P67" s="177">
        <f t="shared" si="18"/>
        <v>0</v>
      </c>
      <c r="Q67" s="177">
        <f t="shared" si="19"/>
        <v>-200000</v>
      </c>
      <c r="R67" s="177">
        <f t="shared" si="20"/>
        <v>0</v>
      </c>
      <c r="S67" s="177">
        <f t="shared" si="21"/>
        <v>-200000</v>
      </c>
      <c r="T67" s="304">
        <f>IF('8. WAMKK'!C67=0,0,+S67/'8. WAMKK'!C67)</f>
        <v>-2.5641025641025643</v>
      </c>
      <c r="U67" s="126"/>
      <c r="V67" s="208">
        <f t="shared" si="16"/>
        <v>0</v>
      </c>
    </row>
    <row r="68" spans="1:22" ht="12.75" customHeight="1" x14ac:dyDescent="0.2">
      <c r="A68" s="14"/>
      <c r="B68" s="20" t="s">
        <v>71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42"/>
      <c r="M68" s="142"/>
      <c r="N68" s="142"/>
      <c r="O68" s="177"/>
      <c r="P68" s="177">
        <f t="shared" si="18"/>
        <v>0</v>
      </c>
      <c r="Q68" s="177">
        <f t="shared" si="19"/>
        <v>0</v>
      </c>
      <c r="R68" s="177">
        <f t="shared" si="20"/>
        <v>0</v>
      </c>
      <c r="S68" s="177">
        <f t="shared" si="21"/>
        <v>0</v>
      </c>
      <c r="T68" s="304">
        <f>IF('8. WAMKK'!C68=0,0,+S68/'8. WAMKK'!C68)</f>
        <v>0</v>
      </c>
      <c r="U68" s="126"/>
      <c r="V68" s="208">
        <f t="shared" si="16"/>
        <v>0</v>
      </c>
    </row>
    <row r="69" spans="1:22" ht="12.75" customHeight="1" x14ac:dyDescent="0.2">
      <c r="A69" s="14" t="s">
        <v>72</v>
      </c>
      <c r="B69" s="20" t="s">
        <v>100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42"/>
      <c r="M69" s="142"/>
      <c r="N69" s="142"/>
      <c r="O69" s="177"/>
      <c r="P69" s="177">
        <f t="shared" si="18"/>
        <v>0</v>
      </c>
      <c r="Q69" s="177">
        <f t="shared" si="19"/>
        <v>0</v>
      </c>
      <c r="R69" s="177">
        <f t="shared" si="20"/>
        <v>0</v>
      </c>
      <c r="S69" s="177">
        <f t="shared" si="21"/>
        <v>0</v>
      </c>
      <c r="T69" s="304">
        <f>IF('8. WAMKK'!C69=0,0,+S69/'8. WAMKK'!C69)</f>
        <v>0</v>
      </c>
      <c r="U69" s="126"/>
      <c r="V69" s="208">
        <f t="shared" si="16"/>
        <v>0</v>
      </c>
    </row>
    <row r="70" spans="1:22" ht="12.75" customHeight="1" x14ac:dyDescent="0.2">
      <c r="A70" s="14"/>
      <c r="B70" s="20" t="s">
        <v>73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42"/>
      <c r="M70" s="142"/>
      <c r="N70" s="142"/>
      <c r="O70" s="177"/>
      <c r="P70" s="177">
        <f t="shared" si="18"/>
        <v>0</v>
      </c>
      <c r="Q70" s="177">
        <f t="shared" si="19"/>
        <v>0</v>
      </c>
      <c r="R70" s="177">
        <f t="shared" si="20"/>
        <v>0</v>
      </c>
      <c r="S70" s="177">
        <f t="shared" si="21"/>
        <v>0</v>
      </c>
      <c r="T70" s="304">
        <f>IF('8. WAMKK'!C70=0,0,+S70/'8. WAMKK'!C70)</f>
        <v>0</v>
      </c>
      <c r="U70" s="126"/>
      <c r="V70" s="208">
        <f t="shared" si="16"/>
        <v>0</v>
      </c>
    </row>
    <row r="71" spans="1:22" s="43" customFormat="1" ht="12.75" customHeight="1" x14ac:dyDescent="0.2">
      <c r="A71" s="39" t="s">
        <v>74</v>
      </c>
      <c r="B71" s="40" t="s">
        <v>75</v>
      </c>
      <c r="C71" s="298">
        <f>SUM(C72:C81)</f>
        <v>16345000</v>
      </c>
      <c r="D71" s="298">
        <f t="shared" ref="D71:F71" si="41">SUM(D72:D81)</f>
        <v>16347000</v>
      </c>
      <c r="E71" s="298">
        <f t="shared" si="41"/>
        <v>0</v>
      </c>
      <c r="F71" s="298">
        <f t="shared" si="41"/>
        <v>0</v>
      </c>
      <c r="G71" s="298"/>
      <c r="H71" s="298">
        <f t="shared" ref="H71" si="42">SUM(H72:H81)</f>
        <v>8307556</v>
      </c>
      <c r="I71" s="298">
        <f t="shared" ref="I71" si="43">SUM(I72:I81)</f>
        <v>0</v>
      </c>
      <c r="J71" s="298">
        <f t="shared" ref="J71" si="44">SUM(J72:J81)</f>
        <v>0</v>
      </c>
      <c r="K71" s="586"/>
      <c r="L71" s="153"/>
      <c r="M71" s="153"/>
      <c r="N71" s="153"/>
      <c r="O71" s="586"/>
      <c r="P71" s="586">
        <f t="shared" si="18"/>
        <v>2000</v>
      </c>
      <c r="Q71" s="586">
        <f t="shared" si="19"/>
        <v>-16347000</v>
      </c>
      <c r="R71" s="586">
        <f t="shared" si="20"/>
        <v>0</v>
      </c>
      <c r="S71" s="586">
        <f t="shared" si="21"/>
        <v>-16345000</v>
      </c>
      <c r="T71" s="304">
        <f>IF('8. WAMKK'!C71=0,0,+S71/'8. WAMKK'!C71)</f>
        <v>-7.4295454545454547</v>
      </c>
      <c r="U71" s="127"/>
      <c r="V71" s="587">
        <f t="shared" si="16"/>
        <v>0</v>
      </c>
    </row>
    <row r="72" spans="1:22" ht="12.75" customHeight="1" x14ac:dyDescent="0.2">
      <c r="A72" s="14" t="s">
        <v>76</v>
      </c>
      <c r="B72" s="20" t="s">
        <v>77</v>
      </c>
      <c r="C72" s="177">
        <v>11345000</v>
      </c>
      <c r="D72" s="177">
        <v>11345000</v>
      </c>
      <c r="E72" s="177">
        <v>0</v>
      </c>
      <c r="F72" s="177">
        <v>0</v>
      </c>
      <c r="G72" s="177"/>
      <c r="H72" s="177">
        <v>5341624</v>
      </c>
      <c r="I72" s="177">
        <v>0</v>
      </c>
      <c r="J72" s="177"/>
      <c r="K72" s="177"/>
      <c r="L72" s="143">
        <f t="shared" si="22"/>
        <v>0.47083508153371528</v>
      </c>
      <c r="M72" s="143">
        <f t="shared" si="23"/>
        <v>0</v>
      </c>
      <c r="N72" s="143" t="e">
        <f t="shared" si="23"/>
        <v>#DIV/0!</v>
      </c>
      <c r="O72" s="177"/>
      <c r="P72" s="177">
        <f t="shared" si="18"/>
        <v>0</v>
      </c>
      <c r="Q72" s="177">
        <f t="shared" si="19"/>
        <v>-11345000</v>
      </c>
      <c r="R72" s="177">
        <f t="shared" si="20"/>
        <v>0</v>
      </c>
      <c r="S72" s="177">
        <f t="shared" si="21"/>
        <v>-11345000</v>
      </c>
      <c r="T72" s="304">
        <f>IF('8. WAMKK'!C72=0,0,+S72/'8. WAMKK'!C72)</f>
        <v>-5.1568181818181822</v>
      </c>
      <c r="U72" s="126"/>
      <c r="V72" s="208">
        <f t="shared" ref="V72:V101" si="45">+S72-E72+C72</f>
        <v>0</v>
      </c>
    </row>
    <row r="73" spans="1:22" ht="12.75" customHeight="1" x14ac:dyDescent="0.2">
      <c r="A73" s="14"/>
      <c r="B73" s="20" t="s">
        <v>78</v>
      </c>
      <c r="C73" s="177">
        <v>0</v>
      </c>
      <c r="D73" s="177"/>
      <c r="E73" s="177"/>
      <c r="F73" s="177"/>
      <c r="G73" s="177"/>
      <c r="H73" s="177"/>
      <c r="I73" s="177">
        <v>0</v>
      </c>
      <c r="J73" s="177"/>
      <c r="K73" s="177"/>
      <c r="L73" s="142"/>
      <c r="M73" s="142"/>
      <c r="N73" s="142"/>
      <c r="O73" s="177"/>
      <c r="P73" s="177">
        <f t="shared" si="18"/>
        <v>0</v>
      </c>
      <c r="Q73" s="177">
        <f t="shared" si="19"/>
        <v>0</v>
      </c>
      <c r="R73" s="177">
        <f t="shared" si="20"/>
        <v>0</v>
      </c>
      <c r="S73" s="177">
        <f t="shared" si="21"/>
        <v>0</v>
      </c>
      <c r="T73" s="304">
        <f>IF('8. WAMKK'!C73=0,0,+S73/'8. WAMKK'!C73)</f>
        <v>0</v>
      </c>
      <c r="U73" s="126"/>
      <c r="V73" s="208">
        <f t="shared" si="45"/>
        <v>0</v>
      </c>
    </row>
    <row r="74" spans="1:22" ht="12.75" customHeight="1" x14ac:dyDescent="0.2">
      <c r="A74" s="14" t="s">
        <v>79</v>
      </c>
      <c r="B74" s="20" t="s">
        <v>80</v>
      </c>
      <c r="C74" s="177">
        <v>5000000</v>
      </c>
      <c r="D74" s="177">
        <v>5000000</v>
      </c>
      <c r="E74" s="177">
        <v>0</v>
      </c>
      <c r="F74" s="177">
        <v>0</v>
      </c>
      <c r="G74" s="177"/>
      <c r="H74" s="177">
        <v>2965000</v>
      </c>
      <c r="I74" s="177">
        <v>0</v>
      </c>
      <c r="J74" s="177"/>
      <c r="K74" s="177"/>
      <c r="L74" s="143">
        <f t="shared" si="22"/>
        <v>0.59299999999999997</v>
      </c>
      <c r="M74" s="143">
        <f t="shared" si="23"/>
        <v>0</v>
      </c>
      <c r="N74" s="143" t="e">
        <f t="shared" si="23"/>
        <v>#DIV/0!</v>
      </c>
      <c r="O74" s="177"/>
      <c r="P74" s="177">
        <f t="shared" si="18"/>
        <v>0</v>
      </c>
      <c r="Q74" s="177">
        <f t="shared" si="19"/>
        <v>-5000000</v>
      </c>
      <c r="R74" s="177">
        <f t="shared" si="20"/>
        <v>0</v>
      </c>
      <c r="S74" s="177">
        <f t="shared" si="21"/>
        <v>-5000000</v>
      </c>
      <c r="T74" s="304">
        <f>IF('8. WAMKK'!C74=0,0,+S74/'8. WAMKK'!C74)</f>
        <v>0</v>
      </c>
      <c r="U74" s="126"/>
      <c r="V74" s="208">
        <f t="shared" si="45"/>
        <v>0</v>
      </c>
    </row>
    <row r="75" spans="1:22" ht="12.75" customHeight="1" x14ac:dyDescent="0.2">
      <c r="A75" s="14"/>
      <c r="B75" s="20" t="s">
        <v>101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42"/>
      <c r="M75" s="142"/>
      <c r="N75" s="142"/>
      <c r="O75" s="177"/>
      <c r="P75" s="177">
        <f t="shared" si="18"/>
        <v>0</v>
      </c>
      <c r="Q75" s="177">
        <f t="shared" si="19"/>
        <v>0</v>
      </c>
      <c r="R75" s="177">
        <f t="shared" si="20"/>
        <v>0</v>
      </c>
      <c r="S75" s="177">
        <f t="shared" si="21"/>
        <v>0</v>
      </c>
      <c r="T75" s="304">
        <f>IF('8. WAMKK'!C75=0,0,+S75/'8. WAMKK'!C75)</f>
        <v>0</v>
      </c>
      <c r="U75" s="126"/>
      <c r="V75" s="208">
        <f t="shared" si="45"/>
        <v>0</v>
      </c>
    </row>
    <row r="76" spans="1:22" ht="12.75" customHeight="1" x14ac:dyDescent="0.2">
      <c r="A76" s="14" t="s">
        <v>81</v>
      </c>
      <c r="B76" s="20" t="s">
        <v>82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42"/>
      <c r="M76" s="142"/>
      <c r="N76" s="142"/>
      <c r="O76" s="177"/>
      <c r="P76" s="177">
        <f t="shared" si="18"/>
        <v>0</v>
      </c>
      <c r="Q76" s="177">
        <f t="shared" si="19"/>
        <v>0</v>
      </c>
      <c r="R76" s="177">
        <f t="shared" si="20"/>
        <v>0</v>
      </c>
      <c r="S76" s="177">
        <f t="shared" si="21"/>
        <v>0</v>
      </c>
      <c r="T76" s="304">
        <f>IF('8. WAMKK'!C76=0,0,+S76/'8. WAMKK'!C76)</f>
        <v>0</v>
      </c>
      <c r="U76" s="126"/>
      <c r="V76" s="208">
        <f t="shared" si="45"/>
        <v>0</v>
      </c>
    </row>
    <row r="77" spans="1:22" ht="12.75" customHeight="1" x14ac:dyDescent="0.2">
      <c r="A77" s="14"/>
      <c r="B77" s="20" t="s">
        <v>106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42"/>
      <c r="M77" s="142"/>
      <c r="N77" s="142"/>
      <c r="O77" s="177"/>
      <c r="P77" s="177">
        <f t="shared" si="18"/>
        <v>0</v>
      </c>
      <c r="Q77" s="177">
        <f t="shared" si="19"/>
        <v>0</v>
      </c>
      <c r="R77" s="177">
        <f t="shared" si="20"/>
        <v>0</v>
      </c>
      <c r="S77" s="177">
        <f t="shared" si="21"/>
        <v>0</v>
      </c>
      <c r="T77" s="304">
        <f>IF('8. WAMKK'!C77=0,0,+S77/'8. WAMKK'!C77)</f>
        <v>0</v>
      </c>
      <c r="U77" s="126"/>
      <c r="V77" s="208">
        <f t="shared" si="45"/>
        <v>0</v>
      </c>
    </row>
    <row r="78" spans="1:22" ht="12.75" customHeight="1" x14ac:dyDescent="0.2">
      <c r="A78" s="14" t="s">
        <v>84</v>
      </c>
      <c r="B78" s="20" t="s">
        <v>85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42"/>
      <c r="M78" s="142"/>
      <c r="N78" s="142"/>
      <c r="O78" s="177"/>
      <c r="P78" s="177">
        <f t="shared" si="18"/>
        <v>0</v>
      </c>
      <c r="Q78" s="177">
        <f t="shared" si="19"/>
        <v>0</v>
      </c>
      <c r="R78" s="177">
        <f t="shared" si="20"/>
        <v>0</v>
      </c>
      <c r="S78" s="177">
        <f t="shared" si="21"/>
        <v>0</v>
      </c>
      <c r="T78" s="304">
        <f>IF('8. WAMKK'!C78=0,0,+S78/'8. WAMKK'!C78)</f>
        <v>0</v>
      </c>
      <c r="U78" s="126"/>
      <c r="V78" s="208">
        <f t="shared" si="45"/>
        <v>0</v>
      </c>
    </row>
    <row r="79" spans="1:22" ht="12.75" customHeight="1" x14ac:dyDescent="0.2">
      <c r="A79" s="14"/>
      <c r="B79" s="20" t="s">
        <v>86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42"/>
      <c r="M79" s="142"/>
      <c r="N79" s="142"/>
      <c r="O79" s="177"/>
      <c r="P79" s="177">
        <f t="shared" si="18"/>
        <v>0</v>
      </c>
      <c r="Q79" s="177">
        <f t="shared" si="19"/>
        <v>0</v>
      </c>
      <c r="R79" s="177">
        <f t="shared" si="20"/>
        <v>0</v>
      </c>
      <c r="S79" s="177">
        <f t="shared" si="21"/>
        <v>0</v>
      </c>
      <c r="T79" s="304">
        <f>IF('8. WAMKK'!C79=0,0,+S79/'8. WAMKK'!C79)</f>
        <v>0</v>
      </c>
      <c r="U79" s="126"/>
      <c r="V79" s="208">
        <f t="shared" si="45"/>
        <v>0</v>
      </c>
    </row>
    <row r="80" spans="1:22" ht="12.75" customHeight="1" x14ac:dyDescent="0.2">
      <c r="A80" s="14" t="s">
        <v>87</v>
      </c>
      <c r="B80" s="20" t="s">
        <v>88</v>
      </c>
      <c r="C80" s="177">
        <v>0</v>
      </c>
      <c r="D80" s="177">
        <v>2000</v>
      </c>
      <c r="E80" s="177">
        <v>0</v>
      </c>
      <c r="F80" s="177">
        <v>0</v>
      </c>
      <c r="G80" s="177"/>
      <c r="H80" s="177">
        <v>932</v>
      </c>
      <c r="I80" s="177">
        <v>0</v>
      </c>
      <c r="J80" s="177"/>
      <c r="K80" s="177"/>
      <c r="L80" s="143" t="e">
        <f t="shared" ref="L80:L102" si="46">+H80/C80</f>
        <v>#DIV/0!</v>
      </c>
      <c r="M80" s="143">
        <f t="shared" ref="M80:N102" si="47">+I80/D80</f>
        <v>0</v>
      </c>
      <c r="N80" s="143" t="e">
        <f t="shared" si="47"/>
        <v>#DIV/0!</v>
      </c>
      <c r="O80" s="177"/>
      <c r="P80" s="177">
        <f t="shared" ref="P80:P102" si="48">+(D80-C80)*P$10</f>
        <v>2000</v>
      </c>
      <c r="Q80" s="177">
        <f t="shared" ref="Q80:Q102" si="49">+(E80-D80)*Q$10</f>
        <v>-2000</v>
      </c>
      <c r="R80" s="177">
        <f t="shared" ref="R80:R102" si="50">+(F80-E80)*R$10</f>
        <v>0</v>
      </c>
      <c r="S80" s="177">
        <f t="shared" ref="S80:S102" si="51">SUM(P80:R80)</f>
        <v>0</v>
      </c>
      <c r="T80" s="304">
        <f>IF('8. WAMKK'!C80=0,0,+S80/'8. WAMKK'!C80)</f>
        <v>0</v>
      </c>
      <c r="U80" s="126"/>
      <c r="V80" s="208">
        <f t="shared" si="45"/>
        <v>0</v>
      </c>
    </row>
    <row r="81" spans="1:24" ht="12.75" customHeight="1" x14ac:dyDescent="0.2">
      <c r="A81" s="14"/>
      <c r="B81" s="20" t="s">
        <v>92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42"/>
      <c r="M81" s="142"/>
      <c r="N81" s="142"/>
      <c r="O81" s="177"/>
      <c r="P81" s="177">
        <f t="shared" si="48"/>
        <v>0</v>
      </c>
      <c r="Q81" s="177">
        <f t="shared" si="49"/>
        <v>0</v>
      </c>
      <c r="R81" s="177">
        <f t="shared" si="50"/>
        <v>0</v>
      </c>
      <c r="S81" s="177">
        <f t="shared" si="51"/>
        <v>0</v>
      </c>
      <c r="T81" s="304">
        <f>IF('8. WAMKK'!C81=0,0,+S81/'8. WAMKK'!C81)</f>
        <v>0</v>
      </c>
      <c r="U81" s="126"/>
      <c r="V81" s="208">
        <f t="shared" si="45"/>
        <v>0</v>
      </c>
    </row>
    <row r="82" spans="1:24" ht="12.75" customHeight="1" x14ac:dyDescent="0.2">
      <c r="A82" s="29"/>
      <c r="B82" s="21"/>
      <c r="C82" s="177"/>
      <c r="D82" s="177"/>
      <c r="E82" s="177"/>
      <c r="F82" s="177"/>
      <c r="G82" s="177"/>
      <c r="H82" s="177"/>
      <c r="I82" s="177"/>
      <c r="J82" s="177"/>
      <c r="K82" s="177"/>
      <c r="L82" s="161"/>
      <c r="M82" s="161"/>
      <c r="N82" s="161"/>
      <c r="O82" s="177"/>
      <c r="P82" s="177">
        <f t="shared" si="48"/>
        <v>0</v>
      </c>
      <c r="Q82" s="177">
        <f t="shared" si="49"/>
        <v>0</v>
      </c>
      <c r="R82" s="177">
        <f t="shared" si="50"/>
        <v>0</v>
      </c>
      <c r="S82" s="177">
        <f t="shared" si="51"/>
        <v>0</v>
      </c>
      <c r="T82" s="304">
        <f>IF('8. WAMKK'!C82=0,0,+S82/'8. WAMKK'!C82)</f>
        <v>0</v>
      </c>
      <c r="U82" s="126"/>
      <c r="V82" s="208">
        <f t="shared" si="45"/>
        <v>0</v>
      </c>
    </row>
    <row r="83" spans="1:24" s="43" customFormat="1" ht="12.75" customHeight="1" x14ac:dyDescent="0.2">
      <c r="A83" s="4" t="s">
        <v>158</v>
      </c>
      <c r="B83" s="50" t="s">
        <v>159</v>
      </c>
      <c r="C83" s="340">
        <f>SUM(C84:C85)</f>
        <v>800000</v>
      </c>
      <c r="D83" s="340">
        <f t="shared" ref="D83:F83" si="52">SUM(D84:D85)</f>
        <v>800000</v>
      </c>
      <c r="E83" s="340">
        <f t="shared" si="52"/>
        <v>0</v>
      </c>
      <c r="F83" s="340">
        <f t="shared" si="52"/>
        <v>0</v>
      </c>
      <c r="G83" s="340"/>
      <c r="H83" s="340">
        <f t="shared" ref="H83:J83" si="53">SUM(H84:H85)</f>
        <v>201042</v>
      </c>
      <c r="I83" s="340">
        <f t="shared" si="53"/>
        <v>0</v>
      </c>
      <c r="J83" s="340">
        <f t="shared" si="53"/>
        <v>0</v>
      </c>
      <c r="K83" s="341"/>
      <c r="L83" s="89">
        <f t="shared" ref="L83:L85" si="54">+H83/C83</f>
        <v>0.25130249999999998</v>
      </c>
      <c r="M83" s="89">
        <f t="shared" ref="M83:M85" si="55">+I83/D83</f>
        <v>0</v>
      </c>
      <c r="N83" s="89" t="e">
        <f t="shared" ref="N83:N85" si="56">+J83/E83</f>
        <v>#DIV/0!</v>
      </c>
      <c r="O83" s="341"/>
      <c r="P83" s="341">
        <f t="shared" si="48"/>
        <v>0</v>
      </c>
      <c r="Q83" s="341">
        <f t="shared" si="49"/>
        <v>-800000</v>
      </c>
      <c r="R83" s="341">
        <f t="shared" si="50"/>
        <v>0</v>
      </c>
      <c r="S83" s="341">
        <f t="shared" si="51"/>
        <v>-800000</v>
      </c>
      <c r="T83" s="305">
        <f>IF('8. WAMKK'!C80=0,0,+S83/'8. WAMKK'!C80)</f>
        <v>0</v>
      </c>
      <c r="U83" s="126"/>
      <c r="V83" s="208">
        <f t="shared" si="45"/>
        <v>0</v>
      </c>
    </row>
    <row r="84" spans="1:24" ht="12.75" customHeight="1" x14ac:dyDescent="0.2">
      <c r="A84" s="44"/>
      <c r="B84" s="20"/>
      <c r="C84" s="342">
        <v>800000</v>
      </c>
      <c r="D84" s="342">
        <v>800000</v>
      </c>
      <c r="E84" s="342">
        <v>0</v>
      </c>
      <c r="F84" s="342"/>
      <c r="G84" s="342"/>
      <c r="H84" s="177">
        <v>201042</v>
      </c>
      <c r="I84" s="177">
        <v>0</v>
      </c>
      <c r="J84" s="177"/>
      <c r="K84" s="342"/>
      <c r="L84" s="143">
        <f t="shared" si="54"/>
        <v>0.25130249999999998</v>
      </c>
      <c r="M84" s="143">
        <f t="shared" si="55"/>
        <v>0</v>
      </c>
      <c r="N84" s="143" t="e">
        <f t="shared" si="56"/>
        <v>#DIV/0!</v>
      </c>
      <c r="O84" s="342"/>
      <c r="P84" s="177">
        <f t="shared" si="48"/>
        <v>0</v>
      </c>
      <c r="Q84" s="177">
        <f t="shared" si="49"/>
        <v>-800000</v>
      </c>
      <c r="R84" s="177">
        <f t="shared" si="50"/>
        <v>0</v>
      </c>
      <c r="S84" s="177">
        <f t="shared" si="51"/>
        <v>-800000</v>
      </c>
      <c r="T84" s="304">
        <f>IF('8. WAMKK'!C81=0,0,+S84/'8. WAMKK'!C81)</f>
        <v>0</v>
      </c>
      <c r="U84" s="126"/>
      <c r="V84" s="208">
        <f t="shared" si="45"/>
        <v>0</v>
      </c>
      <c r="W84" s="2"/>
    </row>
    <row r="85" spans="1:24" ht="12.75" hidden="1" customHeight="1" x14ac:dyDescent="0.2">
      <c r="A85" s="14"/>
      <c r="B85" s="20"/>
      <c r="C85" s="342"/>
      <c r="D85" s="177"/>
      <c r="E85" s="177"/>
      <c r="F85" s="177"/>
      <c r="G85" s="177"/>
      <c r="H85" s="177"/>
      <c r="I85" s="177"/>
      <c r="J85" s="177"/>
      <c r="K85" s="177"/>
      <c r="L85" s="161" t="e">
        <f t="shared" si="54"/>
        <v>#DIV/0!</v>
      </c>
      <c r="M85" s="161" t="e">
        <f t="shared" si="55"/>
        <v>#DIV/0!</v>
      </c>
      <c r="N85" s="161" t="e">
        <f t="shared" si="56"/>
        <v>#DIV/0!</v>
      </c>
      <c r="O85" s="177"/>
      <c r="P85" s="177">
        <f t="shared" si="48"/>
        <v>0</v>
      </c>
      <c r="Q85" s="177">
        <f t="shared" si="49"/>
        <v>0</v>
      </c>
      <c r="R85" s="177">
        <f t="shared" si="50"/>
        <v>0</v>
      </c>
      <c r="S85" s="177">
        <f t="shared" si="51"/>
        <v>0</v>
      </c>
      <c r="T85" s="304">
        <f>IF('8. WAMKK'!C82=0,0,+S85/'8. WAMKK'!C82)</f>
        <v>0</v>
      </c>
      <c r="U85" s="126"/>
      <c r="V85" s="208">
        <f t="shared" si="45"/>
        <v>0</v>
      </c>
    </row>
    <row r="86" spans="1:24" s="43" customFormat="1" ht="12.75" customHeight="1" x14ac:dyDescent="0.2">
      <c r="A86" s="4" t="s">
        <v>173</v>
      </c>
      <c r="B86" s="50" t="s">
        <v>174</v>
      </c>
      <c r="C86" s="340">
        <f>SUM(C87:C88)</f>
        <v>0</v>
      </c>
      <c r="D86" s="340">
        <f t="shared" ref="D86:F86" si="57">SUM(D87:D88)</f>
        <v>0</v>
      </c>
      <c r="E86" s="340">
        <f t="shared" si="57"/>
        <v>0</v>
      </c>
      <c r="F86" s="340">
        <f t="shared" si="57"/>
        <v>0</v>
      </c>
      <c r="G86" s="340"/>
      <c r="H86" s="340">
        <f t="shared" ref="H86:J86" si="58">SUM(H87:H88)</f>
        <v>0</v>
      </c>
      <c r="I86" s="340">
        <f t="shared" si="58"/>
        <v>0</v>
      </c>
      <c r="J86" s="340">
        <f t="shared" si="58"/>
        <v>0</v>
      </c>
      <c r="K86" s="341"/>
      <c r="L86" s="89" t="e">
        <f t="shared" ref="L86:L88" si="59">+H86/C86</f>
        <v>#DIV/0!</v>
      </c>
      <c r="M86" s="89" t="e">
        <f t="shared" ref="M86:M88" si="60">+I86/D86</f>
        <v>#DIV/0!</v>
      </c>
      <c r="N86" s="89" t="e">
        <f t="shared" ref="N86:N88" si="61">+J86/E86</f>
        <v>#DIV/0!</v>
      </c>
      <c r="O86" s="341"/>
      <c r="P86" s="341">
        <f t="shared" ref="P86:P88" si="62">+(D86-C86)*P$10</f>
        <v>0</v>
      </c>
      <c r="Q86" s="341">
        <f t="shared" ref="Q86:Q88" si="63">+(E86-D86)*Q$10</f>
        <v>0</v>
      </c>
      <c r="R86" s="341">
        <f t="shared" ref="R86:R88" si="64">+(F86-E86)*R$10</f>
        <v>0</v>
      </c>
      <c r="S86" s="341">
        <f t="shared" ref="S86:S88" si="65">SUM(P86:R86)</f>
        <v>0</v>
      </c>
      <c r="T86" s="305">
        <f>IF('8. WAMKK'!C83=0,0,+S86/'8. WAMKK'!C83)</f>
        <v>0</v>
      </c>
      <c r="U86" s="126"/>
      <c r="V86" s="208">
        <f t="shared" ref="V86:V88" si="66">+S86-E86+C86</f>
        <v>0</v>
      </c>
    </row>
    <row r="87" spans="1:24" ht="12.75" customHeight="1" x14ac:dyDescent="0.2">
      <c r="A87" s="44"/>
      <c r="B87" s="20"/>
      <c r="C87" s="342"/>
      <c r="D87" s="342"/>
      <c r="E87" s="342"/>
      <c r="F87" s="342"/>
      <c r="G87" s="342"/>
      <c r="H87" s="177"/>
      <c r="I87" s="177"/>
      <c r="J87" s="177"/>
      <c r="K87" s="342"/>
      <c r="L87" s="143" t="e">
        <f t="shared" si="59"/>
        <v>#DIV/0!</v>
      </c>
      <c r="M87" s="143" t="e">
        <f t="shared" si="60"/>
        <v>#DIV/0!</v>
      </c>
      <c r="N87" s="143" t="e">
        <f t="shared" si="61"/>
        <v>#DIV/0!</v>
      </c>
      <c r="O87" s="342"/>
      <c r="P87" s="177">
        <f t="shared" si="62"/>
        <v>0</v>
      </c>
      <c r="Q87" s="177">
        <f t="shared" si="63"/>
        <v>0</v>
      </c>
      <c r="R87" s="177">
        <f t="shared" si="64"/>
        <v>0</v>
      </c>
      <c r="S87" s="177">
        <f t="shared" si="65"/>
        <v>0</v>
      </c>
      <c r="T87" s="304">
        <f>IF('8. WAMKK'!C84=0,0,+S87/'8. WAMKK'!C84)</f>
        <v>0</v>
      </c>
      <c r="U87" s="126"/>
      <c r="V87" s="208">
        <f t="shared" si="66"/>
        <v>0</v>
      </c>
      <c r="W87" s="2"/>
    </row>
    <row r="88" spans="1:24" ht="12.75" hidden="1" customHeight="1" x14ac:dyDescent="0.2">
      <c r="A88" s="14"/>
      <c r="B88" s="20"/>
      <c r="C88" s="342"/>
      <c r="D88" s="177"/>
      <c r="E88" s="177"/>
      <c r="F88" s="177"/>
      <c r="G88" s="177"/>
      <c r="H88" s="177"/>
      <c r="I88" s="177"/>
      <c r="J88" s="177"/>
      <c r="K88" s="177"/>
      <c r="L88" s="161" t="e">
        <f t="shared" si="59"/>
        <v>#DIV/0!</v>
      </c>
      <c r="M88" s="161" t="e">
        <f t="shared" si="60"/>
        <v>#DIV/0!</v>
      </c>
      <c r="N88" s="161" t="e">
        <f t="shared" si="61"/>
        <v>#DIV/0!</v>
      </c>
      <c r="O88" s="177"/>
      <c r="P88" s="177">
        <f t="shared" si="62"/>
        <v>0</v>
      </c>
      <c r="Q88" s="177">
        <f t="shared" si="63"/>
        <v>0</v>
      </c>
      <c r="R88" s="177">
        <f t="shared" si="64"/>
        <v>0</v>
      </c>
      <c r="S88" s="177">
        <f t="shared" si="65"/>
        <v>0</v>
      </c>
      <c r="T88" s="304">
        <f>IF('8. WAMKK'!C85=0,0,+S88/'8. WAMKK'!C85)</f>
        <v>0</v>
      </c>
      <c r="U88" s="126"/>
      <c r="V88" s="208">
        <f t="shared" si="66"/>
        <v>0</v>
      </c>
    </row>
    <row r="89" spans="1:24" ht="17.25" customHeight="1" x14ac:dyDescent="0.2">
      <c r="A89" s="512"/>
      <c r="B89" s="501" t="s">
        <v>379</v>
      </c>
      <c r="C89" s="509">
        <f>C13+C29+C32+C83+C86</f>
        <v>98992000</v>
      </c>
      <c r="D89" s="509">
        <f t="shared" ref="D89:J89" si="67">D13+D29+D32+D83+D86</f>
        <v>98992000</v>
      </c>
      <c r="E89" s="509">
        <f t="shared" si="67"/>
        <v>0</v>
      </c>
      <c r="F89" s="509">
        <f t="shared" si="67"/>
        <v>0</v>
      </c>
      <c r="G89" s="509"/>
      <c r="H89" s="509">
        <f t="shared" si="67"/>
        <v>50787336</v>
      </c>
      <c r="I89" s="509">
        <f t="shared" si="67"/>
        <v>0</v>
      </c>
      <c r="J89" s="509">
        <f t="shared" si="67"/>
        <v>0</v>
      </c>
      <c r="K89" s="338"/>
      <c r="L89" s="505">
        <f t="shared" si="46"/>
        <v>0.51304485210926132</v>
      </c>
      <c r="M89" s="505">
        <f t="shared" si="47"/>
        <v>0</v>
      </c>
      <c r="N89" s="505" t="e">
        <f t="shared" si="47"/>
        <v>#DIV/0!</v>
      </c>
      <c r="O89" s="338"/>
      <c r="P89" s="509">
        <f t="shared" si="48"/>
        <v>0</v>
      </c>
      <c r="Q89" s="509">
        <f t="shared" si="49"/>
        <v>-98992000</v>
      </c>
      <c r="R89" s="509">
        <f t="shared" si="50"/>
        <v>0</v>
      </c>
      <c r="S89" s="509">
        <f t="shared" si="51"/>
        <v>-98992000</v>
      </c>
      <c r="T89" s="506">
        <f>IF('8. WAMKK'!C89=0,0,+S89/'8. WAMKK'!C89)</f>
        <v>-3.178423502969979</v>
      </c>
      <c r="U89" s="126"/>
      <c r="V89" s="208">
        <f t="shared" si="45"/>
        <v>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45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ht="12.75" customHeight="1" x14ac:dyDescent="0.2">
      <c r="A93" s="4" t="s">
        <v>241</v>
      </c>
      <c r="B93" s="50" t="s">
        <v>242</v>
      </c>
      <c r="C93" s="340">
        <f>SUM(C94:C94)</f>
        <v>0</v>
      </c>
      <c r="D93" s="340">
        <v>500000</v>
      </c>
      <c r="E93" s="340">
        <f>SUM(E94:E94)</f>
        <v>0</v>
      </c>
      <c r="F93" s="340">
        <f>SUM(F94:F94)</f>
        <v>0</v>
      </c>
      <c r="G93" s="340"/>
      <c r="H93" s="340">
        <v>411810</v>
      </c>
      <c r="I93" s="340">
        <f>SUM(I94:I94)</f>
        <v>0</v>
      </c>
      <c r="J93" s="340">
        <f>SUM(J94:J94)</f>
        <v>0</v>
      </c>
      <c r="K93" s="341"/>
      <c r="L93" s="89" t="e">
        <f t="shared" ref="L93:L94" si="68">+H93/C93</f>
        <v>#DIV/0!</v>
      </c>
      <c r="M93" s="89">
        <f t="shared" ref="M93:M94" si="69">+I93/D93</f>
        <v>0</v>
      </c>
      <c r="N93" s="89" t="e">
        <f t="shared" ref="N93:N94" si="70">+J93/E93</f>
        <v>#DIV/0!</v>
      </c>
      <c r="O93" s="341"/>
      <c r="P93" s="341">
        <f t="shared" ref="P93:P94" si="71">+(D93-C93)*P$10</f>
        <v>500000</v>
      </c>
      <c r="Q93" s="341">
        <f t="shared" ref="Q93:Q94" si="72">+(E93-D93)*Q$10</f>
        <v>-500000</v>
      </c>
      <c r="R93" s="341">
        <f t="shared" ref="R93:R94" si="73">+(F93-E93)*R$10</f>
        <v>0</v>
      </c>
      <c r="S93" s="341">
        <f t="shared" ref="S93:S94" si="74">SUM(P93:R93)</f>
        <v>0</v>
      </c>
      <c r="T93" s="305">
        <f>IF('8. WAMKK'!C90=0,0,+S93/'8. WAMKK'!C90)</f>
        <v>0</v>
      </c>
      <c r="U93" s="126"/>
      <c r="V93" s="208">
        <f t="shared" ref="V93:V94" si="75">+S93-E93+C93</f>
        <v>0</v>
      </c>
    </row>
    <row r="94" spans="1:24" ht="12.75" customHeight="1" x14ac:dyDescent="0.2">
      <c r="A94" s="44"/>
      <c r="B94" s="20"/>
      <c r="C94" s="342"/>
      <c r="D94" s="342"/>
      <c r="E94" s="342"/>
      <c r="F94" s="342"/>
      <c r="G94" s="342"/>
      <c r="H94" s="177"/>
      <c r="I94" s="177"/>
      <c r="J94" s="177"/>
      <c r="K94" s="342"/>
      <c r="L94" s="143" t="e">
        <f t="shared" si="68"/>
        <v>#DIV/0!</v>
      </c>
      <c r="M94" s="143" t="e">
        <f t="shared" si="69"/>
        <v>#DIV/0!</v>
      </c>
      <c r="N94" s="143" t="e">
        <f t="shared" si="70"/>
        <v>#DIV/0!</v>
      </c>
      <c r="O94" s="342"/>
      <c r="P94" s="177">
        <f t="shared" si="71"/>
        <v>0</v>
      </c>
      <c r="Q94" s="177">
        <f t="shared" si="72"/>
        <v>0</v>
      </c>
      <c r="R94" s="177">
        <f t="shared" si="73"/>
        <v>0</v>
      </c>
      <c r="S94" s="177">
        <f t="shared" si="74"/>
        <v>0</v>
      </c>
      <c r="T94" s="304">
        <f>IF('8. WAMKK'!C91=0,0,+S94/'8. WAMKK'!C91)</f>
        <v>0</v>
      </c>
      <c r="U94" s="126"/>
      <c r="V94" s="208">
        <f t="shared" si="75"/>
        <v>0</v>
      </c>
      <c r="W94" s="2"/>
    </row>
    <row r="95" spans="1:24" s="43" customFormat="1" ht="12.75" customHeight="1" x14ac:dyDescent="0.2">
      <c r="A95" s="4" t="s">
        <v>284</v>
      </c>
      <c r="B95" s="3" t="s">
        <v>285</v>
      </c>
      <c r="C95" s="340">
        <f>SUM(C96:C98)</f>
        <v>28181000</v>
      </c>
      <c r="D95" s="340">
        <f t="shared" ref="D95:J95" si="76">SUM(D96:D98)</f>
        <v>27681000</v>
      </c>
      <c r="E95" s="340">
        <f t="shared" si="76"/>
        <v>0</v>
      </c>
      <c r="F95" s="340">
        <f t="shared" si="76"/>
        <v>0</v>
      </c>
      <c r="G95" s="340"/>
      <c r="H95" s="340">
        <f t="shared" si="76"/>
        <v>16755980</v>
      </c>
      <c r="I95" s="340">
        <f t="shared" si="76"/>
        <v>0</v>
      </c>
      <c r="J95" s="340">
        <f t="shared" si="76"/>
        <v>0</v>
      </c>
      <c r="K95" s="341"/>
      <c r="L95" s="89">
        <f t="shared" si="46"/>
        <v>0.59458429438274019</v>
      </c>
      <c r="M95" s="89">
        <f t="shared" si="47"/>
        <v>0</v>
      </c>
      <c r="N95" s="89" t="e">
        <f t="shared" si="47"/>
        <v>#DIV/0!</v>
      </c>
      <c r="O95" s="341"/>
      <c r="P95" s="341">
        <f t="shared" si="48"/>
        <v>-500000</v>
      </c>
      <c r="Q95" s="341">
        <f t="shared" si="49"/>
        <v>-27681000</v>
      </c>
      <c r="R95" s="341">
        <f t="shared" si="50"/>
        <v>0</v>
      </c>
      <c r="S95" s="341">
        <f t="shared" si="51"/>
        <v>-28181000</v>
      </c>
      <c r="T95" s="305">
        <f>IF('8. WAMKK'!C93=0,0,+S95/'8. WAMKK'!C93)</f>
        <v>0</v>
      </c>
      <c r="U95" s="126"/>
      <c r="V95" s="208">
        <f t="shared" si="45"/>
        <v>0</v>
      </c>
    </row>
    <row r="96" spans="1:24" ht="12.75" customHeight="1" x14ac:dyDescent="0.2">
      <c r="A96" s="14" t="s">
        <v>296</v>
      </c>
      <c r="B96" s="20" t="s">
        <v>297</v>
      </c>
      <c r="C96" s="342">
        <v>21931000</v>
      </c>
      <c r="D96" s="177">
        <v>21431000</v>
      </c>
      <c r="E96" s="177">
        <v>0</v>
      </c>
      <c r="F96" s="177"/>
      <c r="G96" s="177"/>
      <c r="H96" s="177">
        <v>13172912</v>
      </c>
      <c r="I96" s="177">
        <v>0</v>
      </c>
      <c r="J96" s="177"/>
      <c r="K96" s="177"/>
      <c r="L96" s="143">
        <f t="shared" si="46"/>
        <v>0.60065259222105694</v>
      </c>
      <c r="M96" s="143">
        <f t="shared" si="47"/>
        <v>0</v>
      </c>
      <c r="N96" s="143" t="e">
        <f t="shared" si="47"/>
        <v>#DIV/0!</v>
      </c>
      <c r="O96" s="177"/>
      <c r="P96" s="177">
        <f t="shared" si="48"/>
        <v>-500000</v>
      </c>
      <c r="Q96" s="177">
        <f t="shared" si="49"/>
        <v>-21431000</v>
      </c>
      <c r="R96" s="177">
        <f t="shared" si="50"/>
        <v>0</v>
      </c>
      <c r="S96" s="177">
        <f t="shared" si="51"/>
        <v>-21931000</v>
      </c>
      <c r="T96" s="304">
        <f>IF('8. WAMKK'!C94=0,0,+S96/'8. WAMKK'!C94)</f>
        <v>0</v>
      </c>
      <c r="U96" s="126"/>
      <c r="V96" s="208">
        <f t="shared" si="45"/>
        <v>0</v>
      </c>
    </row>
    <row r="97" spans="1:23" ht="12.75" customHeight="1" x14ac:dyDescent="0.2">
      <c r="A97" s="14" t="s">
        <v>299</v>
      </c>
      <c r="B97" s="20" t="s">
        <v>300</v>
      </c>
      <c r="C97" s="342">
        <v>6125000</v>
      </c>
      <c r="D97" s="177">
        <v>6125000</v>
      </c>
      <c r="E97" s="177">
        <v>0</v>
      </c>
      <c r="F97" s="177"/>
      <c r="G97" s="177"/>
      <c r="H97" s="177">
        <v>3563191</v>
      </c>
      <c r="I97" s="584">
        <v>0</v>
      </c>
      <c r="J97" s="177"/>
      <c r="K97" s="177"/>
      <c r="L97" s="143">
        <f t="shared" si="46"/>
        <v>0.58174546938775507</v>
      </c>
      <c r="M97" s="143">
        <f t="shared" si="47"/>
        <v>0</v>
      </c>
      <c r="N97" s="143" t="e">
        <f t="shared" si="47"/>
        <v>#DIV/0!</v>
      </c>
      <c r="O97" s="177"/>
      <c r="P97" s="177">
        <f t="shared" si="48"/>
        <v>0</v>
      </c>
      <c r="Q97" s="177">
        <f t="shared" si="49"/>
        <v>-6125000</v>
      </c>
      <c r="R97" s="177">
        <f t="shared" si="50"/>
        <v>0</v>
      </c>
      <c r="S97" s="177">
        <f t="shared" si="51"/>
        <v>-6125000</v>
      </c>
      <c r="T97" s="304">
        <f>IF('8. WAMKK'!C95=0,0,+S97/'8. WAMKK'!C95)</f>
        <v>-4.0269559500328729</v>
      </c>
      <c r="U97" s="126"/>
      <c r="V97" s="208">
        <f t="shared" si="45"/>
        <v>0</v>
      </c>
    </row>
    <row r="98" spans="1:23" ht="12.75" customHeight="1" x14ac:dyDescent="0.2">
      <c r="A98" s="560" t="s">
        <v>475</v>
      </c>
      <c r="B98" s="513" t="s">
        <v>478</v>
      </c>
      <c r="C98" s="342">
        <v>125000</v>
      </c>
      <c r="D98" s="177">
        <v>125000</v>
      </c>
      <c r="E98" s="177">
        <v>0</v>
      </c>
      <c r="F98" s="177"/>
      <c r="G98" s="177"/>
      <c r="H98" s="177">
        <f>136+19741</f>
        <v>19877</v>
      </c>
      <c r="I98" s="177">
        <v>0</v>
      </c>
      <c r="J98" s="177"/>
      <c r="K98" s="177"/>
      <c r="L98" s="188">
        <f t="shared" si="46"/>
        <v>0.15901599999999999</v>
      </c>
      <c r="M98" s="188">
        <f t="shared" si="47"/>
        <v>0</v>
      </c>
      <c r="N98" s="188" t="e">
        <f t="shared" si="47"/>
        <v>#DIV/0!</v>
      </c>
      <c r="O98" s="177"/>
      <c r="P98" s="177">
        <f t="shared" si="48"/>
        <v>0</v>
      </c>
      <c r="Q98" s="177">
        <f t="shared" si="49"/>
        <v>-125000</v>
      </c>
      <c r="R98" s="177">
        <f t="shared" si="50"/>
        <v>0</v>
      </c>
      <c r="S98" s="177">
        <f t="shared" si="51"/>
        <v>-125000</v>
      </c>
      <c r="T98" s="304">
        <f>IF('8. WAMKK'!C96=0,0,+S98/'8. WAMKK'!C96)</f>
        <v>-8.2781456953642391E-2</v>
      </c>
      <c r="U98" s="126"/>
      <c r="V98" s="208">
        <f t="shared" si="45"/>
        <v>0</v>
      </c>
    </row>
    <row r="99" spans="1:23" s="43" customFormat="1" ht="12.75" customHeight="1" x14ac:dyDescent="0.2">
      <c r="A99" s="4" t="s">
        <v>333</v>
      </c>
      <c r="B99" s="3" t="s">
        <v>334</v>
      </c>
      <c r="C99" s="340">
        <f>SUM(C100:C101)</f>
        <v>70811000</v>
      </c>
      <c r="D99" s="340">
        <f t="shared" ref="D99:J99" si="77">SUM(D100:D101)</f>
        <v>70811000</v>
      </c>
      <c r="E99" s="340">
        <f t="shared" si="77"/>
        <v>0</v>
      </c>
      <c r="F99" s="340">
        <f t="shared" si="77"/>
        <v>0</v>
      </c>
      <c r="G99" s="340"/>
      <c r="H99" s="340">
        <f t="shared" si="77"/>
        <v>38465133</v>
      </c>
      <c r="I99" s="340">
        <f t="shared" si="77"/>
        <v>0</v>
      </c>
      <c r="J99" s="340">
        <f t="shared" si="77"/>
        <v>0</v>
      </c>
      <c r="K99" s="341"/>
      <c r="L99" s="89">
        <f t="shared" si="46"/>
        <v>0.54320844219118503</v>
      </c>
      <c r="M99" s="89">
        <f t="shared" si="47"/>
        <v>0</v>
      </c>
      <c r="N99" s="89" t="e">
        <f t="shared" si="47"/>
        <v>#DIV/0!</v>
      </c>
      <c r="O99" s="341"/>
      <c r="P99" s="341">
        <f t="shared" si="48"/>
        <v>0</v>
      </c>
      <c r="Q99" s="341">
        <f t="shared" si="49"/>
        <v>-70811000</v>
      </c>
      <c r="R99" s="341">
        <f t="shared" si="50"/>
        <v>0</v>
      </c>
      <c r="S99" s="341">
        <f t="shared" si="51"/>
        <v>-70811000</v>
      </c>
      <c r="T99" s="305">
        <f>IF('8. WAMKK'!C97=0,0,+S99/'8. WAMKK'!C97)</f>
        <v>-6437.363636363636</v>
      </c>
      <c r="U99" s="126"/>
      <c r="V99" s="208">
        <f t="shared" si="45"/>
        <v>0</v>
      </c>
    </row>
    <row r="100" spans="1:23" ht="12.75" customHeight="1" x14ac:dyDescent="0.2">
      <c r="A100" s="44" t="s">
        <v>359</v>
      </c>
      <c r="B100" s="20" t="s">
        <v>325</v>
      </c>
      <c r="C100" s="342">
        <v>65769773</v>
      </c>
      <c r="D100" s="342">
        <v>65769773</v>
      </c>
      <c r="E100" s="342">
        <v>0</v>
      </c>
      <c r="F100" s="342"/>
      <c r="G100" s="342"/>
      <c r="H100" s="177">
        <v>33423906</v>
      </c>
      <c r="I100" s="177">
        <v>0</v>
      </c>
      <c r="J100" s="177"/>
      <c r="K100" s="342"/>
      <c r="L100" s="143">
        <f t="shared" si="46"/>
        <v>0.50819555056089372</v>
      </c>
      <c r="M100" s="143">
        <f t="shared" si="47"/>
        <v>0</v>
      </c>
      <c r="N100" s="143" t="e">
        <f t="shared" si="47"/>
        <v>#DIV/0!</v>
      </c>
      <c r="O100" s="342"/>
      <c r="P100" s="177">
        <f t="shared" si="48"/>
        <v>0</v>
      </c>
      <c r="Q100" s="177">
        <f t="shared" si="49"/>
        <v>-65769773</v>
      </c>
      <c r="R100" s="177">
        <f t="shared" si="50"/>
        <v>0</v>
      </c>
      <c r="S100" s="177">
        <f t="shared" si="51"/>
        <v>-65769773</v>
      </c>
      <c r="T100" s="304">
        <f>IF('8. WAMKK'!C98=0,0,+S100/'8. WAMKK'!C98)</f>
        <v>0</v>
      </c>
      <c r="U100" s="126"/>
      <c r="V100" s="208">
        <f t="shared" si="45"/>
        <v>0</v>
      </c>
      <c r="W100" s="2"/>
    </row>
    <row r="101" spans="1:23" ht="12.75" customHeight="1" x14ac:dyDescent="0.2">
      <c r="A101" s="14" t="s">
        <v>347</v>
      </c>
      <c r="B101" s="20" t="s">
        <v>348</v>
      </c>
      <c r="C101" s="628">
        <v>5041227</v>
      </c>
      <c r="D101" s="177">
        <v>5041227</v>
      </c>
      <c r="E101" s="177">
        <v>0</v>
      </c>
      <c r="F101" s="177"/>
      <c r="G101" s="177"/>
      <c r="H101" s="177">
        <v>5041227</v>
      </c>
      <c r="I101" s="177">
        <v>0</v>
      </c>
      <c r="J101" s="177"/>
      <c r="K101" s="177"/>
      <c r="L101" s="161">
        <f t="shared" si="46"/>
        <v>1</v>
      </c>
      <c r="M101" s="161">
        <f t="shared" si="47"/>
        <v>0</v>
      </c>
      <c r="N101" s="161" t="e">
        <f t="shared" si="47"/>
        <v>#DIV/0!</v>
      </c>
      <c r="O101" s="177"/>
      <c r="P101" s="177">
        <f t="shared" si="48"/>
        <v>0</v>
      </c>
      <c r="Q101" s="177">
        <f t="shared" si="49"/>
        <v>-5041227</v>
      </c>
      <c r="R101" s="177">
        <f t="shared" si="50"/>
        <v>0</v>
      </c>
      <c r="S101" s="177">
        <f t="shared" si="51"/>
        <v>-5041227</v>
      </c>
      <c r="T101" s="304">
        <f>IF('8. WAMKK'!C99=0,0,+S101/'8. WAMKK'!C99)</f>
        <v>-0.17017374426140966</v>
      </c>
      <c r="U101" s="126"/>
      <c r="V101" s="208">
        <f t="shared" si="45"/>
        <v>0</v>
      </c>
    </row>
    <row r="102" spans="1:23" ht="21.75" customHeight="1" x14ac:dyDescent="0.2">
      <c r="A102" s="501"/>
      <c r="B102" s="501" t="s">
        <v>377</v>
      </c>
      <c r="C102" s="509">
        <f>+C95+C99+C93</f>
        <v>98992000</v>
      </c>
      <c r="D102" s="509">
        <f>+D95+D99+D93</f>
        <v>98992000</v>
      </c>
      <c r="E102" s="509">
        <f>+E95+E99+E93</f>
        <v>0</v>
      </c>
      <c r="F102" s="509">
        <f>+F95+F99+F93</f>
        <v>0</v>
      </c>
      <c r="G102" s="509"/>
      <c r="H102" s="509">
        <f>+H95+H99+H93</f>
        <v>55632923</v>
      </c>
      <c r="I102" s="509">
        <f>+I95+I99+I93</f>
        <v>0</v>
      </c>
      <c r="J102" s="509">
        <f>+J95+J99+J93</f>
        <v>0</v>
      </c>
      <c r="K102" s="338"/>
      <c r="L102" s="505">
        <f t="shared" si="46"/>
        <v>0.56199413083885563</v>
      </c>
      <c r="M102" s="505">
        <f t="shared" si="47"/>
        <v>0</v>
      </c>
      <c r="N102" s="505" t="e">
        <f t="shared" si="47"/>
        <v>#DIV/0!</v>
      </c>
      <c r="O102" s="338"/>
      <c r="P102" s="509">
        <f t="shared" si="48"/>
        <v>0</v>
      </c>
      <c r="Q102" s="509">
        <f t="shared" si="49"/>
        <v>-98992000</v>
      </c>
      <c r="R102" s="509">
        <f t="shared" si="50"/>
        <v>0</v>
      </c>
      <c r="S102" s="509">
        <f t="shared" si="51"/>
        <v>-98992000</v>
      </c>
      <c r="T102" s="506">
        <f>IF('8. WAMKK'!C100=0,0,+S102/'8. WAMKK'!C100)</f>
        <v>-3.3709526867625508</v>
      </c>
      <c r="U102" s="126"/>
      <c r="V102" s="208">
        <f>+S102-E102+C102</f>
        <v>0</v>
      </c>
    </row>
    <row r="103" spans="1:23" ht="12.75" customHeight="1" x14ac:dyDescent="0.2">
      <c r="C103" s="343"/>
      <c r="D103" s="343"/>
      <c r="E103" s="343"/>
      <c r="F103" s="343"/>
      <c r="G103" s="343"/>
      <c r="H103" s="343"/>
      <c r="I103" s="343"/>
      <c r="J103" s="343"/>
      <c r="K103" s="343"/>
      <c r="O103" s="343"/>
      <c r="P103" s="343"/>
      <c r="Q103" s="343"/>
      <c r="R103" s="343"/>
      <c r="S103" s="343"/>
    </row>
    <row r="104" spans="1:23" ht="12.75" customHeight="1" x14ac:dyDescent="0.2">
      <c r="C104" s="343"/>
      <c r="D104" s="343"/>
      <c r="E104" s="343"/>
      <c r="F104" s="343"/>
      <c r="G104" s="343"/>
      <c r="H104" s="343"/>
      <c r="I104" s="343"/>
      <c r="J104" s="343"/>
      <c r="K104" s="343"/>
      <c r="O104" s="343"/>
      <c r="P104" s="343"/>
      <c r="Q104" s="343"/>
      <c r="R104" s="343"/>
      <c r="S104" s="343"/>
    </row>
    <row r="107" spans="1:23" ht="12.75" customHeight="1" x14ac:dyDescent="0.2">
      <c r="A107" s="61"/>
      <c r="B107" s="61"/>
      <c r="C107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5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3:I34"/>
  <sheetViews>
    <sheetView workbookViewId="0">
      <selection activeCell="B1" sqref="B1"/>
    </sheetView>
  </sheetViews>
  <sheetFormatPr defaultColWidth="9.140625" defaultRowHeight="12.75" x14ac:dyDescent="0.2"/>
  <cols>
    <col min="1" max="1" width="9.140625" style="598" customWidth="1"/>
    <col min="2" max="2" width="55.5703125" style="598" customWidth="1"/>
    <col min="3" max="3" width="37.42578125" style="598" bestFit="1" customWidth="1"/>
    <col min="4" max="4" width="0.42578125" style="598" hidden="1" customWidth="1"/>
    <col min="5" max="5" width="14.5703125" style="598" bestFit="1" customWidth="1"/>
    <col min="6" max="8" width="9.140625" style="598" customWidth="1"/>
    <col min="9" max="9" width="14.5703125" style="598" bestFit="1" customWidth="1"/>
    <col min="10" max="256" width="9.140625" style="598"/>
    <col min="257" max="257" width="9.140625" style="598" customWidth="1"/>
    <col min="258" max="258" width="55.5703125" style="598" customWidth="1"/>
    <col min="259" max="259" width="26.140625" style="598" customWidth="1"/>
    <col min="260" max="260" width="0" style="598" hidden="1" customWidth="1"/>
    <col min="261" max="261" width="14.5703125" style="598" bestFit="1" customWidth="1"/>
    <col min="262" max="264" width="9.140625" style="598" customWidth="1"/>
    <col min="265" max="265" width="14.5703125" style="598" bestFit="1" customWidth="1"/>
    <col min="266" max="512" width="9.140625" style="598"/>
    <col min="513" max="513" width="9.140625" style="598" customWidth="1"/>
    <col min="514" max="514" width="55.5703125" style="598" customWidth="1"/>
    <col min="515" max="515" width="26.140625" style="598" customWidth="1"/>
    <col min="516" max="516" width="0" style="598" hidden="1" customWidth="1"/>
    <col min="517" max="517" width="14.5703125" style="598" bestFit="1" customWidth="1"/>
    <col min="518" max="520" width="9.140625" style="598" customWidth="1"/>
    <col min="521" max="521" width="14.5703125" style="598" bestFit="1" customWidth="1"/>
    <col min="522" max="768" width="9.140625" style="598"/>
    <col min="769" max="769" width="9.140625" style="598" customWidth="1"/>
    <col min="770" max="770" width="55.5703125" style="598" customWidth="1"/>
    <col min="771" max="771" width="26.140625" style="598" customWidth="1"/>
    <col min="772" max="772" width="0" style="598" hidden="1" customWidth="1"/>
    <col min="773" max="773" width="14.5703125" style="598" bestFit="1" customWidth="1"/>
    <col min="774" max="776" width="9.140625" style="598" customWidth="1"/>
    <col min="777" max="777" width="14.5703125" style="598" bestFit="1" customWidth="1"/>
    <col min="778" max="1024" width="9.140625" style="598"/>
    <col min="1025" max="1025" width="9.140625" style="598" customWidth="1"/>
    <col min="1026" max="1026" width="55.5703125" style="598" customWidth="1"/>
    <col min="1027" max="1027" width="26.140625" style="598" customWidth="1"/>
    <col min="1028" max="1028" width="0" style="598" hidden="1" customWidth="1"/>
    <col min="1029" max="1029" width="14.5703125" style="598" bestFit="1" customWidth="1"/>
    <col min="1030" max="1032" width="9.140625" style="598" customWidth="1"/>
    <col min="1033" max="1033" width="14.5703125" style="598" bestFit="1" customWidth="1"/>
    <col min="1034" max="1280" width="9.140625" style="598"/>
    <col min="1281" max="1281" width="9.140625" style="598" customWidth="1"/>
    <col min="1282" max="1282" width="55.5703125" style="598" customWidth="1"/>
    <col min="1283" max="1283" width="26.140625" style="598" customWidth="1"/>
    <col min="1284" max="1284" width="0" style="598" hidden="1" customWidth="1"/>
    <col min="1285" max="1285" width="14.5703125" style="598" bestFit="1" customWidth="1"/>
    <col min="1286" max="1288" width="9.140625" style="598" customWidth="1"/>
    <col min="1289" max="1289" width="14.5703125" style="598" bestFit="1" customWidth="1"/>
    <col min="1290" max="1536" width="9.140625" style="598"/>
    <col min="1537" max="1537" width="9.140625" style="598" customWidth="1"/>
    <col min="1538" max="1538" width="55.5703125" style="598" customWidth="1"/>
    <col min="1539" max="1539" width="26.140625" style="598" customWidth="1"/>
    <col min="1540" max="1540" width="0" style="598" hidden="1" customWidth="1"/>
    <col min="1541" max="1541" width="14.5703125" style="598" bestFit="1" customWidth="1"/>
    <col min="1542" max="1544" width="9.140625" style="598" customWidth="1"/>
    <col min="1545" max="1545" width="14.5703125" style="598" bestFit="1" customWidth="1"/>
    <col min="1546" max="1792" width="9.140625" style="598"/>
    <col min="1793" max="1793" width="9.140625" style="598" customWidth="1"/>
    <col min="1794" max="1794" width="55.5703125" style="598" customWidth="1"/>
    <col min="1795" max="1795" width="26.140625" style="598" customWidth="1"/>
    <col min="1796" max="1796" width="0" style="598" hidden="1" customWidth="1"/>
    <col min="1797" max="1797" width="14.5703125" style="598" bestFit="1" customWidth="1"/>
    <col min="1798" max="1800" width="9.140625" style="598" customWidth="1"/>
    <col min="1801" max="1801" width="14.5703125" style="598" bestFit="1" customWidth="1"/>
    <col min="1802" max="2048" width="9.140625" style="598"/>
    <col min="2049" max="2049" width="9.140625" style="598" customWidth="1"/>
    <col min="2050" max="2050" width="55.5703125" style="598" customWidth="1"/>
    <col min="2051" max="2051" width="26.140625" style="598" customWidth="1"/>
    <col min="2052" max="2052" width="0" style="598" hidden="1" customWidth="1"/>
    <col min="2053" max="2053" width="14.5703125" style="598" bestFit="1" customWidth="1"/>
    <col min="2054" max="2056" width="9.140625" style="598" customWidth="1"/>
    <col min="2057" max="2057" width="14.5703125" style="598" bestFit="1" customWidth="1"/>
    <col min="2058" max="2304" width="9.140625" style="598"/>
    <col min="2305" max="2305" width="9.140625" style="598" customWidth="1"/>
    <col min="2306" max="2306" width="55.5703125" style="598" customWidth="1"/>
    <col min="2307" max="2307" width="26.140625" style="598" customWidth="1"/>
    <col min="2308" max="2308" width="0" style="598" hidden="1" customWidth="1"/>
    <col min="2309" max="2309" width="14.5703125" style="598" bestFit="1" customWidth="1"/>
    <col min="2310" max="2312" width="9.140625" style="598" customWidth="1"/>
    <col min="2313" max="2313" width="14.5703125" style="598" bestFit="1" customWidth="1"/>
    <col min="2314" max="2560" width="9.140625" style="598"/>
    <col min="2561" max="2561" width="9.140625" style="598" customWidth="1"/>
    <col min="2562" max="2562" width="55.5703125" style="598" customWidth="1"/>
    <col min="2563" max="2563" width="26.140625" style="598" customWidth="1"/>
    <col min="2564" max="2564" width="0" style="598" hidden="1" customWidth="1"/>
    <col min="2565" max="2565" width="14.5703125" style="598" bestFit="1" customWidth="1"/>
    <col min="2566" max="2568" width="9.140625" style="598" customWidth="1"/>
    <col min="2569" max="2569" width="14.5703125" style="598" bestFit="1" customWidth="1"/>
    <col min="2570" max="2816" width="9.140625" style="598"/>
    <col min="2817" max="2817" width="9.140625" style="598" customWidth="1"/>
    <col min="2818" max="2818" width="55.5703125" style="598" customWidth="1"/>
    <col min="2819" max="2819" width="26.140625" style="598" customWidth="1"/>
    <col min="2820" max="2820" width="0" style="598" hidden="1" customWidth="1"/>
    <col min="2821" max="2821" width="14.5703125" style="598" bestFit="1" customWidth="1"/>
    <col min="2822" max="2824" width="9.140625" style="598" customWidth="1"/>
    <col min="2825" max="2825" width="14.5703125" style="598" bestFit="1" customWidth="1"/>
    <col min="2826" max="3072" width="9.140625" style="598"/>
    <col min="3073" max="3073" width="9.140625" style="598" customWidth="1"/>
    <col min="3074" max="3074" width="55.5703125" style="598" customWidth="1"/>
    <col min="3075" max="3075" width="26.140625" style="598" customWidth="1"/>
    <col min="3076" max="3076" width="0" style="598" hidden="1" customWidth="1"/>
    <col min="3077" max="3077" width="14.5703125" style="598" bestFit="1" customWidth="1"/>
    <col min="3078" max="3080" width="9.140625" style="598" customWidth="1"/>
    <col min="3081" max="3081" width="14.5703125" style="598" bestFit="1" customWidth="1"/>
    <col min="3082" max="3328" width="9.140625" style="598"/>
    <col min="3329" max="3329" width="9.140625" style="598" customWidth="1"/>
    <col min="3330" max="3330" width="55.5703125" style="598" customWidth="1"/>
    <col min="3331" max="3331" width="26.140625" style="598" customWidth="1"/>
    <col min="3332" max="3332" width="0" style="598" hidden="1" customWidth="1"/>
    <col min="3333" max="3333" width="14.5703125" style="598" bestFit="1" customWidth="1"/>
    <col min="3334" max="3336" width="9.140625" style="598" customWidth="1"/>
    <col min="3337" max="3337" width="14.5703125" style="598" bestFit="1" customWidth="1"/>
    <col min="3338" max="3584" width="9.140625" style="598"/>
    <col min="3585" max="3585" width="9.140625" style="598" customWidth="1"/>
    <col min="3586" max="3586" width="55.5703125" style="598" customWidth="1"/>
    <col min="3587" max="3587" width="26.140625" style="598" customWidth="1"/>
    <col min="3588" max="3588" width="0" style="598" hidden="1" customWidth="1"/>
    <col min="3589" max="3589" width="14.5703125" style="598" bestFit="1" customWidth="1"/>
    <col min="3590" max="3592" width="9.140625" style="598" customWidth="1"/>
    <col min="3593" max="3593" width="14.5703125" style="598" bestFit="1" customWidth="1"/>
    <col min="3594" max="3840" width="9.140625" style="598"/>
    <col min="3841" max="3841" width="9.140625" style="598" customWidth="1"/>
    <col min="3842" max="3842" width="55.5703125" style="598" customWidth="1"/>
    <col min="3843" max="3843" width="26.140625" style="598" customWidth="1"/>
    <col min="3844" max="3844" width="0" style="598" hidden="1" customWidth="1"/>
    <col min="3845" max="3845" width="14.5703125" style="598" bestFit="1" customWidth="1"/>
    <col min="3846" max="3848" width="9.140625" style="598" customWidth="1"/>
    <col min="3849" max="3849" width="14.5703125" style="598" bestFit="1" customWidth="1"/>
    <col min="3850" max="4096" width="9.140625" style="598"/>
    <col min="4097" max="4097" width="9.140625" style="598" customWidth="1"/>
    <col min="4098" max="4098" width="55.5703125" style="598" customWidth="1"/>
    <col min="4099" max="4099" width="26.140625" style="598" customWidth="1"/>
    <col min="4100" max="4100" width="0" style="598" hidden="1" customWidth="1"/>
    <col min="4101" max="4101" width="14.5703125" style="598" bestFit="1" customWidth="1"/>
    <col min="4102" max="4104" width="9.140625" style="598" customWidth="1"/>
    <col min="4105" max="4105" width="14.5703125" style="598" bestFit="1" customWidth="1"/>
    <col min="4106" max="4352" width="9.140625" style="598"/>
    <col min="4353" max="4353" width="9.140625" style="598" customWidth="1"/>
    <col min="4354" max="4354" width="55.5703125" style="598" customWidth="1"/>
    <col min="4355" max="4355" width="26.140625" style="598" customWidth="1"/>
    <col min="4356" max="4356" width="0" style="598" hidden="1" customWidth="1"/>
    <col min="4357" max="4357" width="14.5703125" style="598" bestFit="1" customWidth="1"/>
    <col min="4358" max="4360" width="9.140625" style="598" customWidth="1"/>
    <col min="4361" max="4361" width="14.5703125" style="598" bestFit="1" customWidth="1"/>
    <col min="4362" max="4608" width="9.140625" style="598"/>
    <col min="4609" max="4609" width="9.140625" style="598" customWidth="1"/>
    <col min="4610" max="4610" width="55.5703125" style="598" customWidth="1"/>
    <col min="4611" max="4611" width="26.140625" style="598" customWidth="1"/>
    <col min="4612" max="4612" width="0" style="598" hidden="1" customWidth="1"/>
    <col min="4613" max="4613" width="14.5703125" style="598" bestFit="1" customWidth="1"/>
    <col min="4614" max="4616" width="9.140625" style="598" customWidth="1"/>
    <col min="4617" max="4617" width="14.5703125" style="598" bestFit="1" customWidth="1"/>
    <col min="4618" max="4864" width="9.140625" style="598"/>
    <col min="4865" max="4865" width="9.140625" style="598" customWidth="1"/>
    <col min="4866" max="4866" width="55.5703125" style="598" customWidth="1"/>
    <col min="4867" max="4867" width="26.140625" style="598" customWidth="1"/>
    <col min="4868" max="4868" width="0" style="598" hidden="1" customWidth="1"/>
    <col min="4869" max="4869" width="14.5703125" style="598" bestFit="1" customWidth="1"/>
    <col min="4870" max="4872" width="9.140625" style="598" customWidth="1"/>
    <col min="4873" max="4873" width="14.5703125" style="598" bestFit="1" customWidth="1"/>
    <col min="4874" max="5120" width="9.140625" style="598"/>
    <col min="5121" max="5121" width="9.140625" style="598" customWidth="1"/>
    <col min="5122" max="5122" width="55.5703125" style="598" customWidth="1"/>
    <col min="5123" max="5123" width="26.140625" style="598" customWidth="1"/>
    <col min="5124" max="5124" width="0" style="598" hidden="1" customWidth="1"/>
    <col min="5125" max="5125" width="14.5703125" style="598" bestFit="1" customWidth="1"/>
    <col min="5126" max="5128" width="9.140625" style="598" customWidth="1"/>
    <col min="5129" max="5129" width="14.5703125" style="598" bestFit="1" customWidth="1"/>
    <col min="5130" max="5376" width="9.140625" style="598"/>
    <col min="5377" max="5377" width="9.140625" style="598" customWidth="1"/>
    <col min="5378" max="5378" width="55.5703125" style="598" customWidth="1"/>
    <col min="5379" max="5379" width="26.140625" style="598" customWidth="1"/>
    <col min="5380" max="5380" width="0" style="598" hidden="1" customWidth="1"/>
    <col min="5381" max="5381" width="14.5703125" style="598" bestFit="1" customWidth="1"/>
    <col min="5382" max="5384" width="9.140625" style="598" customWidth="1"/>
    <col min="5385" max="5385" width="14.5703125" style="598" bestFit="1" customWidth="1"/>
    <col min="5386" max="5632" width="9.140625" style="598"/>
    <col min="5633" max="5633" width="9.140625" style="598" customWidth="1"/>
    <col min="5634" max="5634" width="55.5703125" style="598" customWidth="1"/>
    <col min="5635" max="5635" width="26.140625" style="598" customWidth="1"/>
    <col min="5636" max="5636" width="0" style="598" hidden="1" customWidth="1"/>
    <col min="5637" max="5637" width="14.5703125" style="598" bestFit="1" customWidth="1"/>
    <col min="5638" max="5640" width="9.140625" style="598" customWidth="1"/>
    <col min="5641" max="5641" width="14.5703125" style="598" bestFit="1" customWidth="1"/>
    <col min="5642" max="5888" width="9.140625" style="598"/>
    <col min="5889" max="5889" width="9.140625" style="598" customWidth="1"/>
    <col min="5890" max="5890" width="55.5703125" style="598" customWidth="1"/>
    <col min="5891" max="5891" width="26.140625" style="598" customWidth="1"/>
    <col min="5892" max="5892" width="0" style="598" hidden="1" customWidth="1"/>
    <col min="5893" max="5893" width="14.5703125" style="598" bestFit="1" customWidth="1"/>
    <col min="5894" max="5896" width="9.140625" style="598" customWidth="1"/>
    <col min="5897" max="5897" width="14.5703125" style="598" bestFit="1" customWidth="1"/>
    <col min="5898" max="6144" width="9.140625" style="598"/>
    <col min="6145" max="6145" width="9.140625" style="598" customWidth="1"/>
    <col min="6146" max="6146" width="55.5703125" style="598" customWidth="1"/>
    <col min="6147" max="6147" width="26.140625" style="598" customWidth="1"/>
    <col min="6148" max="6148" width="0" style="598" hidden="1" customWidth="1"/>
    <col min="6149" max="6149" width="14.5703125" style="598" bestFit="1" customWidth="1"/>
    <col min="6150" max="6152" width="9.140625" style="598" customWidth="1"/>
    <col min="6153" max="6153" width="14.5703125" style="598" bestFit="1" customWidth="1"/>
    <col min="6154" max="6400" width="9.140625" style="598"/>
    <col min="6401" max="6401" width="9.140625" style="598" customWidth="1"/>
    <col min="6402" max="6402" width="55.5703125" style="598" customWidth="1"/>
    <col min="6403" max="6403" width="26.140625" style="598" customWidth="1"/>
    <col min="6404" max="6404" width="0" style="598" hidden="1" customWidth="1"/>
    <col min="6405" max="6405" width="14.5703125" style="598" bestFit="1" customWidth="1"/>
    <col min="6406" max="6408" width="9.140625" style="598" customWidth="1"/>
    <col min="6409" max="6409" width="14.5703125" style="598" bestFit="1" customWidth="1"/>
    <col min="6410" max="6656" width="9.140625" style="598"/>
    <col min="6657" max="6657" width="9.140625" style="598" customWidth="1"/>
    <col min="6658" max="6658" width="55.5703125" style="598" customWidth="1"/>
    <col min="6659" max="6659" width="26.140625" style="598" customWidth="1"/>
    <col min="6660" max="6660" width="0" style="598" hidden="1" customWidth="1"/>
    <col min="6661" max="6661" width="14.5703125" style="598" bestFit="1" customWidth="1"/>
    <col min="6662" max="6664" width="9.140625" style="598" customWidth="1"/>
    <col min="6665" max="6665" width="14.5703125" style="598" bestFit="1" customWidth="1"/>
    <col min="6666" max="6912" width="9.140625" style="598"/>
    <col min="6913" max="6913" width="9.140625" style="598" customWidth="1"/>
    <col min="6914" max="6914" width="55.5703125" style="598" customWidth="1"/>
    <col min="6915" max="6915" width="26.140625" style="598" customWidth="1"/>
    <col min="6916" max="6916" width="0" style="598" hidden="1" customWidth="1"/>
    <col min="6917" max="6917" width="14.5703125" style="598" bestFit="1" customWidth="1"/>
    <col min="6918" max="6920" width="9.140625" style="598" customWidth="1"/>
    <col min="6921" max="6921" width="14.5703125" style="598" bestFit="1" customWidth="1"/>
    <col min="6922" max="7168" width="9.140625" style="598"/>
    <col min="7169" max="7169" width="9.140625" style="598" customWidth="1"/>
    <col min="7170" max="7170" width="55.5703125" style="598" customWidth="1"/>
    <col min="7171" max="7171" width="26.140625" style="598" customWidth="1"/>
    <col min="7172" max="7172" width="0" style="598" hidden="1" customWidth="1"/>
    <col min="7173" max="7173" width="14.5703125" style="598" bestFit="1" customWidth="1"/>
    <col min="7174" max="7176" width="9.140625" style="598" customWidth="1"/>
    <col min="7177" max="7177" width="14.5703125" style="598" bestFit="1" customWidth="1"/>
    <col min="7178" max="7424" width="9.140625" style="598"/>
    <col min="7425" max="7425" width="9.140625" style="598" customWidth="1"/>
    <col min="7426" max="7426" width="55.5703125" style="598" customWidth="1"/>
    <col min="7427" max="7427" width="26.140625" style="598" customWidth="1"/>
    <col min="7428" max="7428" width="0" style="598" hidden="1" customWidth="1"/>
    <col min="7429" max="7429" width="14.5703125" style="598" bestFit="1" customWidth="1"/>
    <col min="7430" max="7432" width="9.140625" style="598" customWidth="1"/>
    <col min="7433" max="7433" width="14.5703125" style="598" bestFit="1" customWidth="1"/>
    <col min="7434" max="7680" width="9.140625" style="598"/>
    <col min="7681" max="7681" width="9.140625" style="598" customWidth="1"/>
    <col min="7682" max="7682" width="55.5703125" style="598" customWidth="1"/>
    <col min="7683" max="7683" width="26.140625" style="598" customWidth="1"/>
    <col min="7684" max="7684" width="0" style="598" hidden="1" customWidth="1"/>
    <col min="7685" max="7685" width="14.5703125" style="598" bestFit="1" customWidth="1"/>
    <col min="7686" max="7688" width="9.140625" style="598" customWidth="1"/>
    <col min="7689" max="7689" width="14.5703125" style="598" bestFit="1" customWidth="1"/>
    <col min="7690" max="7936" width="9.140625" style="598"/>
    <col min="7937" max="7937" width="9.140625" style="598" customWidth="1"/>
    <col min="7938" max="7938" width="55.5703125" style="598" customWidth="1"/>
    <col min="7939" max="7939" width="26.140625" style="598" customWidth="1"/>
    <col min="7940" max="7940" width="0" style="598" hidden="1" customWidth="1"/>
    <col min="7941" max="7941" width="14.5703125" style="598" bestFit="1" customWidth="1"/>
    <col min="7942" max="7944" width="9.140625" style="598" customWidth="1"/>
    <col min="7945" max="7945" width="14.5703125" style="598" bestFit="1" customWidth="1"/>
    <col min="7946" max="8192" width="9.140625" style="598"/>
    <col min="8193" max="8193" width="9.140625" style="598" customWidth="1"/>
    <col min="8194" max="8194" width="55.5703125" style="598" customWidth="1"/>
    <col min="8195" max="8195" width="26.140625" style="598" customWidth="1"/>
    <col min="8196" max="8196" width="0" style="598" hidden="1" customWidth="1"/>
    <col min="8197" max="8197" width="14.5703125" style="598" bestFit="1" customWidth="1"/>
    <col min="8198" max="8200" width="9.140625" style="598" customWidth="1"/>
    <col min="8201" max="8201" width="14.5703125" style="598" bestFit="1" customWidth="1"/>
    <col min="8202" max="8448" width="9.140625" style="598"/>
    <col min="8449" max="8449" width="9.140625" style="598" customWidth="1"/>
    <col min="8450" max="8450" width="55.5703125" style="598" customWidth="1"/>
    <col min="8451" max="8451" width="26.140625" style="598" customWidth="1"/>
    <col min="8452" max="8452" width="0" style="598" hidden="1" customWidth="1"/>
    <col min="8453" max="8453" width="14.5703125" style="598" bestFit="1" customWidth="1"/>
    <col min="8454" max="8456" width="9.140625" style="598" customWidth="1"/>
    <col min="8457" max="8457" width="14.5703125" style="598" bestFit="1" customWidth="1"/>
    <col min="8458" max="8704" width="9.140625" style="598"/>
    <col min="8705" max="8705" width="9.140625" style="598" customWidth="1"/>
    <col min="8706" max="8706" width="55.5703125" style="598" customWidth="1"/>
    <col min="8707" max="8707" width="26.140625" style="598" customWidth="1"/>
    <col min="8708" max="8708" width="0" style="598" hidden="1" customWidth="1"/>
    <col min="8709" max="8709" width="14.5703125" style="598" bestFit="1" customWidth="1"/>
    <col min="8710" max="8712" width="9.140625" style="598" customWidth="1"/>
    <col min="8713" max="8713" width="14.5703125" style="598" bestFit="1" customWidth="1"/>
    <col min="8714" max="8960" width="9.140625" style="598"/>
    <col min="8961" max="8961" width="9.140625" style="598" customWidth="1"/>
    <col min="8962" max="8962" width="55.5703125" style="598" customWidth="1"/>
    <col min="8963" max="8963" width="26.140625" style="598" customWidth="1"/>
    <col min="8964" max="8964" width="0" style="598" hidden="1" customWidth="1"/>
    <col min="8965" max="8965" width="14.5703125" style="598" bestFit="1" customWidth="1"/>
    <col min="8966" max="8968" width="9.140625" style="598" customWidth="1"/>
    <col min="8969" max="8969" width="14.5703125" style="598" bestFit="1" customWidth="1"/>
    <col min="8970" max="9216" width="9.140625" style="598"/>
    <col min="9217" max="9217" width="9.140625" style="598" customWidth="1"/>
    <col min="9218" max="9218" width="55.5703125" style="598" customWidth="1"/>
    <col min="9219" max="9219" width="26.140625" style="598" customWidth="1"/>
    <col min="9220" max="9220" width="0" style="598" hidden="1" customWidth="1"/>
    <col min="9221" max="9221" width="14.5703125" style="598" bestFit="1" customWidth="1"/>
    <col min="9222" max="9224" width="9.140625" style="598" customWidth="1"/>
    <col min="9225" max="9225" width="14.5703125" style="598" bestFit="1" customWidth="1"/>
    <col min="9226" max="9472" width="9.140625" style="598"/>
    <col min="9473" max="9473" width="9.140625" style="598" customWidth="1"/>
    <col min="9474" max="9474" width="55.5703125" style="598" customWidth="1"/>
    <col min="9475" max="9475" width="26.140625" style="598" customWidth="1"/>
    <col min="9476" max="9476" width="0" style="598" hidden="1" customWidth="1"/>
    <col min="9477" max="9477" width="14.5703125" style="598" bestFit="1" customWidth="1"/>
    <col min="9478" max="9480" width="9.140625" style="598" customWidth="1"/>
    <col min="9481" max="9481" width="14.5703125" style="598" bestFit="1" customWidth="1"/>
    <col min="9482" max="9728" width="9.140625" style="598"/>
    <col min="9729" max="9729" width="9.140625" style="598" customWidth="1"/>
    <col min="9730" max="9730" width="55.5703125" style="598" customWidth="1"/>
    <col min="9731" max="9731" width="26.140625" style="598" customWidth="1"/>
    <col min="9732" max="9732" width="0" style="598" hidden="1" customWidth="1"/>
    <col min="9733" max="9733" width="14.5703125" style="598" bestFit="1" customWidth="1"/>
    <col min="9734" max="9736" width="9.140625" style="598" customWidth="1"/>
    <col min="9737" max="9737" width="14.5703125" style="598" bestFit="1" customWidth="1"/>
    <col min="9738" max="9984" width="9.140625" style="598"/>
    <col min="9985" max="9985" width="9.140625" style="598" customWidth="1"/>
    <col min="9986" max="9986" width="55.5703125" style="598" customWidth="1"/>
    <col min="9987" max="9987" width="26.140625" style="598" customWidth="1"/>
    <col min="9988" max="9988" width="0" style="598" hidden="1" customWidth="1"/>
    <col min="9989" max="9989" width="14.5703125" style="598" bestFit="1" customWidth="1"/>
    <col min="9990" max="9992" width="9.140625" style="598" customWidth="1"/>
    <col min="9993" max="9993" width="14.5703125" style="598" bestFit="1" customWidth="1"/>
    <col min="9994" max="10240" width="9.140625" style="598"/>
    <col min="10241" max="10241" width="9.140625" style="598" customWidth="1"/>
    <col min="10242" max="10242" width="55.5703125" style="598" customWidth="1"/>
    <col min="10243" max="10243" width="26.140625" style="598" customWidth="1"/>
    <col min="10244" max="10244" width="0" style="598" hidden="1" customWidth="1"/>
    <col min="10245" max="10245" width="14.5703125" style="598" bestFit="1" customWidth="1"/>
    <col min="10246" max="10248" width="9.140625" style="598" customWidth="1"/>
    <col min="10249" max="10249" width="14.5703125" style="598" bestFit="1" customWidth="1"/>
    <col min="10250" max="10496" width="9.140625" style="598"/>
    <col min="10497" max="10497" width="9.140625" style="598" customWidth="1"/>
    <col min="10498" max="10498" width="55.5703125" style="598" customWidth="1"/>
    <col min="10499" max="10499" width="26.140625" style="598" customWidth="1"/>
    <col min="10500" max="10500" width="0" style="598" hidden="1" customWidth="1"/>
    <col min="10501" max="10501" width="14.5703125" style="598" bestFit="1" customWidth="1"/>
    <col min="10502" max="10504" width="9.140625" style="598" customWidth="1"/>
    <col min="10505" max="10505" width="14.5703125" style="598" bestFit="1" customWidth="1"/>
    <col min="10506" max="10752" width="9.140625" style="598"/>
    <col min="10753" max="10753" width="9.140625" style="598" customWidth="1"/>
    <col min="10754" max="10754" width="55.5703125" style="598" customWidth="1"/>
    <col min="10755" max="10755" width="26.140625" style="598" customWidth="1"/>
    <col min="10756" max="10756" width="0" style="598" hidden="1" customWidth="1"/>
    <col min="10757" max="10757" width="14.5703125" style="598" bestFit="1" customWidth="1"/>
    <col min="10758" max="10760" width="9.140625" style="598" customWidth="1"/>
    <col min="10761" max="10761" width="14.5703125" style="598" bestFit="1" customWidth="1"/>
    <col min="10762" max="11008" width="9.140625" style="598"/>
    <col min="11009" max="11009" width="9.140625" style="598" customWidth="1"/>
    <col min="11010" max="11010" width="55.5703125" style="598" customWidth="1"/>
    <col min="11011" max="11011" width="26.140625" style="598" customWidth="1"/>
    <col min="11012" max="11012" width="0" style="598" hidden="1" customWidth="1"/>
    <col min="11013" max="11013" width="14.5703125" style="598" bestFit="1" customWidth="1"/>
    <col min="11014" max="11016" width="9.140625" style="598" customWidth="1"/>
    <col min="11017" max="11017" width="14.5703125" style="598" bestFit="1" customWidth="1"/>
    <col min="11018" max="11264" width="9.140625" style="598"/>
    <col min="11265" max="11265" width="9.140625" style="598" customWidth="1"/>
    <col min="11266" max="11266" width="55.5703125" style="598" customWidth="1"/>
    <col min="11267" max="11267" width="26.140625" style="598" customWidth="1"/>
    <col min="11268" max="11268" width="0" style="598" hidden="1" customWidth="1"/>
    <col min="11269" max="11269" width="14.5703125" style="598" bestFit="1" customWidth="1"/>
    <col min="11270" max="11272" width="9.140625" style="598" customWidth="1"/>
    <col min="11273" max="11273" width="14.5703125" style="598" bestFit="1" customWidth="1"/>
    <col min="11274" max="11520" width="9.140625" style="598"/>
    <col min="11521" max="11521" width="9.140625" style="598" customWidth="1"/>
    <col min="11522" max="11522" width="55.5703125" style="598" customWidth="1"/>
    <col min="11523" max="11523" width="26.140625" style="598" customWidth="1"/>
    <col min="11524" max="11524" width="0" style="598" hidden="1" customWidth="1"/>
    <col min="11525" max="11525" width="14.5703125" style="598" bestFit="1" customWidth="1"/>
    <col min="11526" max="11528" width="9.140625" style="598" customWidth="1"/>
    <col min="11529" max="11529" width="14.5703125" style="598" bestFit="1" customWidth="1"/>
    <col min="11530" max="11776" width="9.140625" style="598"/>
    <col min="11777" max="11777" width="9.140625" style="598" customWidth="1"/>
    <col min="11778" max="11778" width="55.5703125" style="598" customWidth="1"/>
    <col min="11779" max="11779" width="26.140625" style="598" customWidth="1"/>
    <col min="11780" max="11780" width="0" style="598" hidden="1" customWidth="1"/>
    <col min="11781" max="11781" width="14.5703125" style="598" bestFit="1" customWidth="1"/>
    <col min="11782" max="11784" width="9.140625" style="598" customWidth="1"/>
    <col min="11785" max="11785" width="14.5703125" style="598" bestFit="1" customWidth="1"/>
    <col min="11786" max="12032" width="9.140625" style="598"/>
    <col min="12033" max="12033" width="9.140625" style="598" customWidth="1"/>
    <col min="12034" max="12034" width="55.5703125" style="598" customWidth="1"/>
    <col min="12035" max="12035" width="26.140625" style="598" customWidth="1"/>
    <col min="12036" max="12036" width="0" style="598" hidden="1" customWidth="1"/>
    <col min="12037" max="12037" width="14.5703125" style="598" bestFit="1" customWidth="1"/>
    <col min="12038" max="12040" width="9.140625" style="598" customWidth="1"/>
    <col min="12041" max="12041" width="14.5703125" style="598" bestFit="1" customWidth="1"/>
    <col min="12042" max="12288" width="9.140625" style="598"/>
    <col min="12289" max="12289" width="9.140625" style="598" customWidth="1"/>
    <col min="12290" max="12290" width="55.5703125" style="598" customWidth="1"/>
    <col min="12291" max="12291" width="26.140625" style="598" customWidth="1"/>
    <col min="12292" max="12292" width="0" style="598" hidden="1" customWidth="1"/>
    <col min="12293" max="12293" width="14.5703125" style="598" bestFit="1" customWidth="1"/>
    <col min="12294" max="12296" width="9.140625" style="598" customWidth="1"/>
    <col min="12297" max="12297" width="14.5703125" style="598" bestFit="1" customWidth="1"/>
    <col min="12298" max="12544" width="9.140625" style="598"/>
    <col min="12545" max="12545" width="9.140625" style="598" customWidth="1"/>
    <col min="12546" max="12546" width="55.5703125" style="598" customWidth="1"/>
    <col min="12547" max="12547" width="26.140625" style="598" customWidth="1"/>
    <col min="12548" max="12548" width="0" style="598" hidden="1" customWidth="1"/>
    <col min="12549" max="12549" width="14.5703125" style="598" bestFit="1" customWidth="1"/>
    <col min="12550" max="12552" width="9.140625" style="598" customWidth="1"/>
    <col min="12553" max="12553" width="14.5703125" style="598" bestFit="1" customWidth="1"/>
    <col min="12554" max="12800" width="9.140625" style="598"/>
    <col min="12801" max="12801" width="9.140625" style="598" customWidth="1"/>
    <col min="12802" max="12802" width="55.5703125" style="598" customWidth="1"/>
    <col min="12803" max="12803" width="26.140625" style="598" customWidth="1"/>
    <col min="12804" max="12804" width="0" style="598" hidden="1" customWidth="1"/>
    <col min="12805" max="12805" width="14.5703125" style="598" bestFit="1" customWidth="1"/>
    <col min="12806" max="12808" width="9.140625" style="598" customWidth="1"/>
    <col min="12809" max="12809" width="14.5703125" style="598" bestFit="1" customWidth="1"/>
    <col min="12810" max="13056" width="9.140625" style="598"/>
    <col min="13057" max="13057" width="9.140625" style="598" customWidth="1"/>
    <col min="13058" max="13058" width="55.5703125" style="598" customWidth="1"/>
    <col min="13059" max="13059" width="26.140625" style="598" customWidth="1"/>
    <col min="13060" max="13060" width="0" style="598" hidden="1" customWidth="1"/>
    <col min="13061" max="13061" width="14.5703125" style="598" bestFit="1" customWidth="1"/>
    <col min="13062" max="13064" width="9.140625" style="598" customWidth="1"/>
    <col min="13065" max="13065" width="14.5703125" style="598" bestFit="1" customWidth="1"/>
    <col min="13066" max="13312" width="9.140625" style="598"/>
    <col min="13313" max="13313" width="9.140625" style="598" customWidth="1"/>
    <col min="13314" max="13314" width="55.5703125" style="598" customWidth="1"/>
    <col min="13315" max="13315" width="26.140625" style="598" customWidth="1"/>
    <col min="13316" max="13316" width="0" style="598" hidden="1" customWidth="1"/>
    <col min="13317" max="13317" width="14.5703125" style="598" bestFit="1" customWidth="1"/>
    <col min="13318" max="13320" width="9.140625" style="598" customWidth="1"/>
    <col min="13321" max="13321" width="14.5703125" style="598" bestFit="1" customWidth="1"/>
    <col min="13322" max="13568" width="9.140625" style="598"/>
    <col min="13569" max="13569" width="9.140625" style="598" customWidth="1"/>
    <col min="13570" max="13570" width="55.5703125" style="598" customWidth="1"/>
    <col min="13571" max="13571" width="26.140625" style="598" customWidth="1"/>
    <col min="13572" max="13572" width="0" style="598" hidden="1" customWidth="1"/>
    <col min="13573" max="13573" width="14.5703125" style="598" bestFit="1" customWidth="1"/>
    <col min="13574" max="13576" width="9.140625" style="598" customWidth="1"/>
    <col min="13577" max="13577" width="14.5703125" style="598" bestFit="1" customWidth="1"/>
    <col min="13578" max="13824" width="9.140625" style="598"/>
    <col min="13825" max="13825" width="9.140625" style="598" customWidth="1"/>
    <col min="13826" max="13826" width="55.5703125" style="598" customWidth="1"/>
    <col min="13827" max="13827" width="26.140625" style="598" customWidth="1"/>
    <col min="13828" max="13828" width="0" style="598" hidden="1" customWidth="1"/>
    <col min="13829" max="13829" width="14.5703125" style="598" bestFit="1" customWidth="1"/>
    <col min="13830" max="13832" width="9.140625" style="598" customWidth="1"/>
    <col min="13833" max="13833" width="14.5703125" style="598" bestFit="1" customWidth="1"/>
    <col min="13834" max="14080" width="9.140625" style="598"/>
    <col min="14081" max="14081" width="9.140625" style="598" customWidth="1"/>
    <col min="14082" max="14082" width="55.5703125" style="598" customWidth="1"/>
    <col min="14083" max="14083" width="26.140625" style="598" customWidth="1"/>
    <col min="14084" max="14084" width="0" style="598" hidden="1" customWidth="1"/>
    <col min="14085" max="14085" width="14.5703125" style="598" bestFit="1" customWidth="1"/>
    <col min="14086" max="14088" width="9.140625" style="598" customWidth="1"/>
    <col min="14089" max="14089" width="14.5703125" style="598" bestFit="1" customWidth="1"/>
    <col min="14090" max="14336" width="9.140625" style="598"/>
    <col min="14337" max="14337" width="9.140625" style="598" customWidth="1"/>
    <col min="14338" max="14338" width="55.5703125" style="598" customWidth="1"/>
    <col min="14339" max="14339" width="26.140625" style="598" customWidth="1"/>
    <col min="14340" max="14340" width="0" style="598" hidden="1" customWidth="1"/>
    <col min="14341" max="14341" width="14.5703125" style="598" bestFit="1" customWidth="1"/>
    <col min="14342" max="14344" width="9.140625" style="598" customWidth="1"/>
    <col min="14345" max="14345" width="14.5703125" style="598" bestFit="1" customWidth="1"/>
    <col min="14346" max="14592" width="9.140625" style="598"/>
    <col min="14593" max="14593" width="9.140625" style="598" customWidth="1"/>
    <col min="14594" max="14594" width="55.5703125" style="598" customWidth="1"/>
    <col min="14595" max="14595" width="26.140625" style="598" customWidth="1"/>
    <col min="14596" max="14596" width="0" style="598" hidden="1" customWidth="1"/>
    <col min="14597" max="14597" width="14.5703125" style="598" bestFit="1" customWidth="1"/>
    <col min="14598" max="14600" width="9.140625" style="598" customWidth="1"/>
    <col min="14601" max="14601" width="14.5703125" style="598" bestFit="1" customWidth="1"/>
    <col min="14602" max="14848" width="9.140625" style="598"/>
    <col min="14849" max="14849" width="9.140625" style="598" customWidth="1"/>
    <col min="14850" max="14850" width="55.5703125" style="598" customWidth="1"/>
    <col min="14851" max="14851" width="26.140625" style="598" customWidth="1"/>
    <col min="14852" max="14852" width="0" style="598" hidden="1" customWidth="1"/>
    <col min="14853" max="14853" width="14.5703125" style="598" bestFit="1" customWidth="1"/>
    <col min="14854" max="14856" width="9.140625" style="598" customWidth="1"/>
    <col min="14857" max="14857" width="14.5703125" style="598" bestFit="1" customWidth="1"/>
    <col min="14858" max="15104" width="9.140625" style="598"/>
    <col min="15105" max="15105" width="9.140625" style="598" customWidth="1"/>
    <col min="15106" max="15106" width="55.5703125" style="598" customWidth="1"/>
    <col min="15107" max="15107" width="26.140625" style="598" customWidth="1"/>
    <col min="15108" max="15108" width="0" style="598" hidden="1" customWidth="1"/>
    <col min="15109" max="15109" width="14.5703125" style="598" bestFit="1" customWidth="1"/>
    <col min="15110" max="15112" width="9.140625" style="598" customWidth="1"/>
    <col min="15113" max="15113" width="14.5703125" style="598" bestFit="1" customWidth="1"/>
    <col min="15114" max="15360" width="9.140625" style="598"/>
    <col min="15361" max="15361" width="9.140625" style="598" customWidth="1"/>
    <col min="15362" max="15362" width="55.5703125" style="598" customWidth="1"/>
    <col min="15363" max="15363" width="26.140625" style="598" customWidth="1"/>
    <col min="15364" max="15364" width="0" style="598" hidden="1" customWidth="1"/>
    <col min="15365" max="15365" width="14.5703125" style="598" bestFit="1" customWidth="1"/>
    <col min="15366" max="15368" width="9.140625" style="598" customWidth="1"/>
    <col min="15369" max="15369" width="14.5703125" style="598" bestFit="1" customWidth="1"/>
    <col min="15370" max="15616" width="9.140625" style="598"/>
    <col min="15617" max="15617" width="9.140625" style="598" customWidth="1"/>
    <col min="15618" max="15618" width="55.5703125" style="598" customWidth="1"/>
    <col min="15619" max="15619" width="26.140625" style="598" customWidth="1"/>
    <col min="15620" max="15620" width="0" style="598" hidden="1" customWidth="1"/>
    <col min="15621" max="15621" width="14.5703125" style="598" bestFit="1" customWidth="1"/>
    <col min="15622" max="15624" width="9.140625" style="598" customWidth="1"/>
    <col min="15625" max="15625" width="14.5703125" style="598" bestFit="1" customWidth="1"/>
    <col min="15626" max="15872" width="9.140625" style="598"/>
    <col min="15873" max="15873" width="9.140625" style="598" customWidth="1"/>
    <col min="15874" max="15874" width="55.5703125" style="598" customWidth="1"/>
    <col min="15875" max="15875" width="26.140625" style="598" customWidth="1"/>
    <col min="15876" max="15876" width="0" style="598" hidden="1" customWidth="1"/>
    <col min="15877" max="15877" width="14.5703125" style="598" bestFit="1" customWidth="1"/>
    <col min="15878" max="15880" width="9.140625" style="598" customWidth="1"/>
    <col min="15881" max="15881" width="14.5703125" style="598" bestFit="1" customWidth="1"/>
    <col min="15882" max="16128" width="9.140625" style="598"/>
    <col min="16129" max="16129" width="9.140625" style="598" customWidth="1"/>
    <col min="16130" max="16130" width="55.5703125" style="598" customWidth="1"/>
    <col min="16131" max="16131" width="26.140625" style="598" customWidth="1"/>
    <col min="16132" max="16132" width="0" style="598" hidden="1" customWidth="1"/>
    <col min="16133" max="16133" width="14.5703125" style="598" bestFit="1" customWidth="1"/>
    <col min="16134" max="16136" width="9.140625" style="598" customWidth="1"/>
    <col min="16137" max="16137" width="14.5703125" style="598" bestFit="1" customWidth="1"/>
    <col min="16138" max="16384" width="9.140625" style="598"/>
  </cols>
  <sheetData>
    <row r="3" spans="1:9" x14ac:dyDescent="0.2">
      <c r="A3" s="725" t="s">
        <v>504</v>
      </c>
      <c r="B3" s="726"/>
      <c r="C3" s="726"/>
      <c r="D3" s="726"/>
      <c r="E3" s="726"/>
    </row>
    <row r="4" spans="1:9" ht="13.5" thickBot="1" x14ac:dyDescent="0.25">
      <c r="A4" s="597"/>
      <c r="B4" s="597"/>
      <c r="C4" s="597"/>
      <c r="D4" s="597"/>
      <c r="E4" s="597"/>
    </row>
    <row r="5" spans="1:9" x14ac:dyDescent="0.2">
      <c r="A5" s="589" t="s">
        <v>369</v>
      </c>
      <c r="B5" s="599" t="s">
        <v>367</v>
      </c>
      <c r="C5" s="612" t="s">
        <v>505</v>
      </c>
      <c r="D5" s="596">
        <f>SUM(D6:D16)</f>
        <v>99521755</v>
      </c>
      <c r="E5" s="595">
        <f>SUM(E6:E16)</f>
        <v>145525000</v>
      </c>
    </row>
    <row r="6" spans="1:9" x14ac:dyDescent="0.2">
      <c r="A6" s="600"/>
      <c r="B6" s="594"/>
      <c r="C6" s="610" t="s">
        <v>506</v>
      </c>
      <c r="D6" s="593">
        <v>7500000</v>
      </c>
      <c r="E6" s="601">
        <v>6500000</v>
      </c>
    </row>
    <row r="7" spans="1:9" x14ac:dyDescent="0.2">
      <c r="A7" s="600"/>
      <c r="B7" s="594"/>
      <c r="C7" s="610" t="s">
        <v>538</v>
      </c>
      <c r="D7" s="593"/>
      <c r="E7" s="601">
        <v>1000000</v>
      </c>
    </row>
    <row r="8" spans="1:9" x14ac:dyDescent="0.2">
      <c r="A8" s="600"/>
      <c r="B8" s="597"/>
      <c r="C8" s="610" t="s">
        <v>507</v>
      </c>
      <c r="D8" s="593">
        <v>5596755</v>
      </c>
      <c r="E8" s="601">
        <v>53000000</v>
      </c>
      <c r="I8" s="605"/>
    </row>
    <row r="9" spans="1:9" x14ac:dyDescent="0.2">
      <c r="A9" s="600"/>
      <c r="B9" s="597"/>
      <c r="C9" s="610" t="s">
        <v>508</v>
      </c>
      <c r="D9" s="593">
        <v>4225000</v>
      </c>
      <c r="E9" s="601">
        <v>4225000</v>
      </c>
    </row>
    <row r="10" spans="1:9" x14ac:dyDescent="0.2">
      <c r="A10" s="600"/>
      <c r="B10" s="597"/>
      <c r="C10" s="610" t="s">
        <v>509</v>
      </c>
      <c r="D10" s="593">
        <v>8400000</v>
      </c>
      <c r="E10" s="601">
        <v>8400000</v>
      </c>
    </row>
    <row r="11" spans="1:9" x14ac:dyDescent="0.2">
      <c r="A11" s="600"/>
      <c r="B11" s="597"/>
      <c r="C11" s="610" t="s">
        <v>510</v>
      </c>
      <c r="D11" s="593">
        <v>600000</v>
      </c>
      <c r="E11" s="601">
        <v>900000</v>
      </c>
    </row>
    <row r="12" spans="1:9" x14ac:dyDescent="0.2">
      <c r="A12" s="600"/>
      <c r="B12" s="597"/>
      <c r="C12" s="610" t="s">
        <v>521</v>
      </c>
      <c r="D12" s="593"/>
      <c r="E12" s="601">
        <v>55000000</v>
      </c>
    </row>
    <row r="13" spans="1:9" x14ac:dyDescent="0.2">
      <c r="A13" s="600"/>
      <c r="B13" s="597"/>
      <c r="C13" s="610" t="s">
        <v>511</v>
      </c>
      <c r="D13" s="593"/>
      <c r="E13" s="601">
        <v>1000000</v>
      </c>
    </row>
    <row r="14" spans="1:9" x14ac:dyDescent="0.2">
      <c r="A14" s="600"/>
      <c r="B14" s="597"/>
      <c r="C14" s="610" t="s">
        <v>529</v>
      </c>
      <c r="D14" s="593">
        <v>72000000</v>
      </c>
      <c r="E14" s="624">
        <v>13500000</v>
      </c>
    </row>
    <row r="15" spans="1:9" x14ac:dyDescent="0.2">
      <c r="A15" s="600"/>
      <c r="B15" s="597"/>
      <c r="C15" s="610" t="s">
        <v>534</v>
      </c>
      <c r="D15" s="593">
        <v>400000</v>
      </c>
      <c r="E15" s="601">
        <v>2000000</v>
      </c>
    </row>
    <row r="16" spans="1:9" ht="13.5" thickBot="1" x14ac:dyDescent="0.25">
      <c r="A16" s="602"/>
      <c r="B16" s="603"/>
      <c r="C16" s="611"/>
      <c r="D16" s="592">
        <v>800000</v>
      </c>
      <c r="E16" s="604"/>
    </row>
    <row r="17" spans="1:9" ht="13.5" thickBot="1" x14ac:dyDescent="0.25">
      <c r="D17" s="605">
        <f>SUM(D5:D16)</f>
        <v>199043510</v>
      </c>
      <c r="I17" s="605"/>
    </row>
    <row r="18" spans="1:9" x14ac:dyDescent="0.2">
      <c r="A18" s="606" t="s">
        <v>175</v>
      </c>
      <c r="B18" s="607" t="s">
        <v>176</v>
      </c>
      <c r="C18" s="612" t="s">
        <v>505</v>
      </c>
      <c r="D18" s="596">
        <f>SUM(D19:D28)</f>
        <v>0</v>
      </c>
      <c r="E18" s="595">
        <f>SUM(E19:E28)</f>
        <v>108480000</v>
      </c>
    </row>
    <row r="19" spans="1:9" x14ac:dyDescent="0.2">
      <c r="A19" s="600"/>
      <c r="B19" s="594"/>
      <c r="C19" s="610" t="s">
        <v>516</v>
      </c>
      <c r="D19" s="593"/>
      <c r="E19" s="601">
        <v>7000000</v>
      </c>
    </row>
    <row r="20" spans="1:9" x14ac:dyDescent="0.2">
      <c r="A20" s="600"/>
      <c r="B20" s="597"/>
      <c r="C20" s="610" t="s">
        <v>512</v>
      </c>
      <c r="D20" s="593"/>
      <c r="E20" s="601">
        <v>5000000</v>
      </c>
    </row>
    <row r="21" spans="1:9" x14ac:dyDescent="0.2">
      <c r="A21" s="600"/>
      <c r="B21" s="597"/>
      <c r="C21" s="610" t="s">
        <v>513</v>
      </c>
      <c r="D21" s="593"/>
      <c r="E21" s="601">
        <v>6800000</v>
      </c>
    </row>
    <row r="22" spans="1:9" x14ac:dyDescent="0.2">
      <c r="A22" s="600"/>
      <c r="B22" s="597"/>
      <c r="C22" s="610" t="s">
        <v>517</v>
      </c>
      <c r="D22" s="593"/>
      <c r="E22" s="601">
        <v>5000000</v>
      </c>
    </row>
    <row r="23" spans="1:9" x14ac:dyDescent="0.2">
      <c r="A23" s="600"/>
      <c r="B23" s="597"/>
      <c r="C23" s="610" t="s">
        <v>514</v>
      </c>
      <c r="D23" s="593"/>
      <c r="E23" s="601">
        <v>5000000</v>
      </c>
    </row>
    <row r="24" spans="1:9" x14ac:dyDescent="0.2">
      <c r="A24" s="600"/>
      <c r="B24" s="597"/>
      <c r="C24" s="610" t="s">
        <v>518</v>
      </c>
      <c r="D24" s="593"/>
      <c r="E24" s="601">
        <v>42100000</v>
      </c>
    </row>
    <row r="25" spans="1:9" x14ac:dyDescent="0.2">
      <c r="A25" s="600"/>
      <c r="B25" s="597"/>
      <c r="C25" s="610" t="s">
        <v>519</v>
      </c>
      <c r="D25" s="593"/>
      <c r="E25" s="601">
        <v>31580000</v>
      </c>
    </row>
    <row r="26" spans="1:9" x14ac:dyDescent="0.2">
      <c r="A26" s="600"/>
      <c r="B26" s="597"/>
      <c r="C26" s="610" t="s">
        <v>530</v>
      </c>
      <c r="D26" s="593"/>
      <c r="E26" s="601">
        <v>1000000</v>
      </c>
    </row>
    <row r="27" spans="1:9" x14ac:dyDescent="0.2">
      <c r="A27" s="600"/>
      <c r="B27" s="597"/>
      <c r="C27" s="610" t="s">
        <v>531</v>
      </c>
      <c r="D27" s="593"/>
      <c r="E27" s="601">
        <v>4500000</v>
      </c>
    </row>
    <row r="28" spans="1:9" ht="13.5" thickBot="1" x14ac:dyDescent="0.25">
      <c r="A28" s="602"/>
      <c r="B28" s="603"/>
      <c r="C28" s="611" t="s">
        <v>533</v>
      </c>
      <c r="D28" s="592"/>
      <c r="E28" s="604">
        <v>500000</v>
      </c>
    </row>
    <row r="29" spans="1:9" ht="13.5" thickBot="1" x14ac:dyDescent="0.25">
      <c r="E29" s="609"/>
    </row>
    <row r="30" spans="1:9" x14ac:dyDescent="0.2">
      <c r="A30" s="606" t="s">
        <v>158</v>
      </c>
      <c r="B30" s="591" t="s">
        <v>159</v>
      </c>
      <c r="C30" s="612" t="s">
        <v>505</v>
      </c>
      <c r="D30" s="608"/>
      <c r="E30" s="595">
        <f>E31+E32+E33+E34</f>
        <v>196500000</v>
      </c>
    </row>
    <row r="31" spans="1:9" x14ac:dyDescent="0.2">
      <c r="A31" s="600"/>
      <c r="B31" s="597"/>
      <c r="C31" s="590" t="s">
        <v>520</v>
      </c>
      <c r="D31" s="597"/>
      <c r="E31" s="601">
        <v>1500000</v>
      </c>
    </row>
    <row r="32" spans="1:9" x14ac:dyDescent="0.2">
      <c r="A32" s="600"/>
      <c r="B32" s="597"/>
      <c r="C32" s="590" t="s">
        <v>515</v>
      </c>
      <c r="D32" s="597"/>
      <c r="E32" s="601">
        <v>175000000</v>
      </c>
    </row>
    <row r="33" spans="1:5" x14ac:dyDescent="0.2">
      <c r="A33" s="600"/>
      <c r="B33" s="597"/>
      <c r="C33" s="625" t="s">
        <v>532</v>
      </c>
      <c r="D33" s="597"/>
      <c r="E33" s="601">
        <v>20000000</v>
      </c>
    </row>
    <row r="34" spans="1:5" ht="13.5" thickBot="1" x14ac:dyDescent="0.25">
      <c r="A34" s="602"/>
      <c r="B34" s="603"/>
      <c r="C34" s="602"/>
      <c r="D34" s="603"/>
      <c r="E34" s="604"/>
    </row>
  </sheetData>
  <mergeCells count="1">
    <mergeCell ref="A3:E3"/>
  </mergeCells>
  <pageMargins left="0.7" right="0.7" top="0.75" bottom="0.75" header="0.3" footer="0.3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21" workbookViewId="0">
      <selection activeCell="A25" sqref="A25:E35"/>
    </sheetView>
  </sheetViews>
  <sheetFormatPr defaultRowHeight="12.75" x14ac:dyDescent="0.2"/>
  <cols>
    <col min="1" max="1" width="28.28515625" customWidth="1"/>
    <col min="2" max="2" width="16.7109375" customWidth="1"/>
    <col min="3" max="3" width="16.28515625" customWidth="1"/>
    <col min="4" max="4" width="14.85546875" customWidth="1"/>
    <col min="5" max="5" width="15.42578125" customWidth="1"/>
    <col min="7" max="7" width="15.85546875" customWidth="1"/>
    <col min="258" max="258" width="26.42578125" customWidth="1"/>
    <col min="259" max="259" width="18.140625" customWidth="1"/>
    <col min="260" max="260" width="18.85546875" customWidth="1"/>
    <col min="261" max="261" width="15.42578125" customWidth="1"/>
    <col min="514" max="514" width="26.42578125" customWidth="1"/>
    <col min="515" max="515" width="18.140625" customWidth="1"/>
    <col min="516" max="516" width="18.85546875" customWidth="1"/>
    <col min="517" max="517" width="15.42578125" customWidth="1"/>
    <col min="770" max="770" width="26.42578125" customWidth="1"/>
    <col min="771" max="771" width="18.140625" customWidth="1"/>
    <col min="772" max="772" width="18.85546875" customWidth="1"/>
    <col min="773" max="773" width="15.42578125" customWidth="1"/>
    <col min="1026" max="1026" width="26.42578125" customWidth="1"/>
    <col min="1027" max="1027" width="18.140625" customWidth="1"/>
    <col min="1028" max="1028" width="18.85546875" customWidth="1"/>
    <col min="1029" max="1029" width="15.42578125" customWidth="1"/>
    <col min="1282" max="1282" width="26.42578125" customWidth="1"/>
    <col min="1283" max="1283" width="18.140625" customWidth="1"/>
    <col min="1284" max="1284" width="18.85546875" customWidth="1"/>
    <col min="1285" max="1285" width="15.42578125" customWidth="1"/>
    <col min="1538" max="1538" width="26.42578125" customWidth="1"/>
    <col min="1539" max="1539" width="18.140625" customWidth="1"/>
    <col min="1540" max="1540" width="18.85546875" customWidth="1"/>
    <col min="1541" max="1541" width="15.42578125" customWidth="1"/>
    <col min="1794" max="1794" width="26.42578125" customWidth="1"/>
    <col min="1795" max="1795" width="18.140625" customWidth="1"/>
    <col min="1796" max="1796" width="18.85546875" customWidth="1"/>
    <col min="1797" max="1797" width="15.42578125" customWidth="1"/>
    <col min="2050" max="2050" width="26.42578125" customWidth="1"/>
    <col min="2051" max="2051" width="18.140625" customWidth="1"/>
    <col min="2052" max="2052" width="18.85546875" customWidth="1"/>
    <col min="2053" max="2053" width="15.42578125" customWidth="1"/>
    <col min="2306" max="2306" width="26.42578125" customWidth="1"/>
    <col min="2307" max="2307" width="18.140625" customWidth="1"/>
    <col min="2308" max="2308" width="18.85546875" customWidth="1"/>
    <col min="2309" max="2309" width="15.42578125" customWidth="1"/>
    <col min="2562" max="2562" width="26.42578125" customWidth="1"/>
    <col min="2563" max="2563" width="18.140625" customWidth="1"/>
    <col min="2564" max="2564" width="18.85546875" customWidth="1"/>
    <col min="2565" max="2565" width="15.42578125" customWidth="1"/>
    <col min="2818" max="2818" width="26.42578125" customWidth="1"/>
    <col min="2819" max="2819" width="18.140625" customWidth="1"/>
    <col min="2820" max="2820" width="18.85546875" customWidth="1"/>
    <col min="2821" max="2821" width="15.42578125" customWidth="1"/>
    <col min="3074" max="3074" width="26.42578125" customWidth="1"/>
    <col min="3075" max="3075" width="18.140625" customWidth="1"/>
    <col min="3076" max="3076" width="18.85546875" customWidth="1"/>
    <col min="3077" max="3077" width="15.42578125" customWidth="1"/>
    <col min="3330" max="3330" width="26.42578125" customWidth="1"/>
    <col min="3331" max="3331" width="18.140625" customWidth="1"/>
    <col min="3332" max="3332" width="18.85546875" customWidth="1"/>
    <col min="3333" max="3333" width="15.42578125" customWidth="1"/>
    <col min="3586" max="3586" width="26.42578125" customWidth="1"/>
    <col min="3587" max="3587" width="18.140625" customWidth="1"/>
    <col min="3588" max="3588" width="18.85546875" customWidth="1"/>
    <col min="3589" max="3589" width="15.42578125" customWidth="1"/>
    <col min="3842" max="3842" width="26.42578125" customWidth="1"/>
    <col min="3843" max="3843" width="18.140625" customWidth="1"/>
    <col min="3844" max="3844" width="18.85546875" customWidth="1"/>
    <col min="3845" max="3845" width="15.42578125" customWidth="1"/>
    <col min="4098" max="4098" width="26.42578125" customWidth="1"/>
    <col min="4099" max="4099" width="18.140625" customWidth="1"/>
    <col min="4100" max="4100" width="18.85546875" customWidth="1"/>
    <col min="4101" max="4101" width="15.42578125" customWidth="1"/>
    <col min="4354" max="4354" width="26.42578125" customWidth="1"/>
    <col min="4355" max="4355" width="18.140625" customWidth="1"/>
    <col min="4356" max="4356" width="18.85546875" customWidth="1"/>
    <col min="4357" max="4357" width="15.42578125" customWidth="1"/>
    <col min="4610" max="4610" width="26.42578125" customWidth="1"/>
    <col min="4611" max="4611" width="18.140625" customWidth="1"/>
    <col min="4612" max="4612" width="18.85546875" customWidth="1"/>
    <col min="4613" max="4613" width="15.42578125" customWidth="1"/>
    <col min="4866" max="4866" width="26.42578125" customWidth="1"/>
    <col min="4867" max="4867" width="18.140625" customWidth="1"/>
    <col min="4868" max="4868" width="18.85546875" customWidth="1"/>
    <col min="4869" max="4869" width="15.42578125" customWidth="1"/>
    <col min="5122" max="5122" width="26.42578125" customWidth="1"/>
    <col min="5123" max="5123" width="18.140625" customWidth="1"/>
    <col min="5124" max="5124" width="18.85546875" customWidth="1"/>
    <col min="5125" max="5125" width="15.42578125" customWidth="1"/>
    <col min="5378" max="5378" width="26.42578125" customWidth="1"/>
    <col min="5379" max="5379" width="18.140625" customWidth="1"/>
    <col min="5380" max="5380" width="18.85546875" customWidth="1"/>
    <col min="5381" max="5381" width="15.42578125" customWidth="1"/>
    <col min="5634" max="5634" width="26.42578125" customWidth="1"/>
    <col min="5635" max="5635" width="18.140625" customWidth="1"/>
    <col min="5636" max="5636" width="18.85546875" customWidth="1"/>
    <col min="5637" max="5637" width="15.42578125" customWidth="1"/>
    <col min="5890" max="5890" width="26.42578125" customWidth="1"/>
    <col min="5891" max="5891" width="18.140625" customWidth="1"/>
    <col min="5892" max="5892" width="18.85546875" customWidth="1"/>
    <col min="5893" max="5893" width="15.42578125" customWidth="1"/>
    <col min="6146" max="6146" width="26.42578125" customWidth="1"/>
    <col min="6147" max="6147" width="18.140625" customWidth="1"/>
    <col min="6148" max="6148" width="18.85546875" customWidth="1"/>
    <col min="6149" max="6149" width="15.42578125" customWidth="1"/>
    <col min="6402" max="6402" width="26.42578125" customWidth="1"/>
    <col min="6403" max="6403" width="18.140625" customWidth="1"/>
    <col min="6404" max="6404" width="18.85546875" customWidth="1"/>
    <col min="6405" max="6405" width="15.42578125" customWidth="1"/>
    <col min="6658" max="6658" width="26.42578125" customWidth="1"/>
    <col min="6659" max="6659" width="18.140625" customWidth="1"/>
    <col min="6660" max="6660" width="18.85546875" customWidth="1"/>
    <col min="6661" max="6661" width="15.42578125" customWidth="1"/>
    <col min="6914" max="6914" width="26.42578125" customWidth="1"/>
    <col min="6915" max="6915" width="18.140625" customWidth="1"/>
    <col min="6916" max="6916" width="18.85546875" customWidth="1"/>
    <col min="6917" max="6917" width="15.42578125" customWidth="1"/>
    <col min="7170" max="7170" width="26.42578125" customWidth="1"/>
    <col min="7171" max="7171" width="18.140625" customWidth="1"/>
    <col min="7172" max="7172" width="18.85546875" customWidth="1"/>
    <col min="7173" max="7173" width="15.42578125" customWidth="1"/>
    <col min="7426" max="7426" width="26.42578125" customWidth="1"/>
    <col min="7427" max="7427" width="18.140625" customWidth="1"/>
    <col min="7428" max="7428" width="18.85546875" customWidth="1"/>
    <col min="7429" max="7429" width="15.42578125" customWidth="1"/>
    <col min="7682" max="7682" width="26.42578125" customWidth="1"/>
    <col min="7683" max="7683" width="18.140625" customWidth="1"/>
    <col min="7684" max="7684" width="18.85546875" customWidth="1"/>
    <col min="7685" max="7685" width="15.42578125" customWidth="1"/>
    <col min="7938" max="7938" width="26.42578125" customWidth="1"/>
    <col min="7939" max="7939" width="18.140625" customWidth="1"/>
    <col min="7940" max="7940" width="18.85546875" customWidth="1"/>
    <col min="7941" max="7941" width="15.42578125" customWidth="1"/>
    <col min="8194" max="8194" width="26.42578125" customWidth="1"/>
    <col min="8195" max="8195" width="18.140625" customWidth="1"/>
    <col min="8196" max="8196" width="18.85546875" customWidth="1"/>
    <col min="8197" max="8197" width="15.42578125" customWidth="1"/>
    <col min="8450" max="8450" width="26.42578125" customWidth="1"/>
    <col min="8451" max="8451" width="18.140625" customWidth="1"/>
    <col min="8452" max="8452" width="18.85546875" customWidth="1"/>
    <col min="8453" max="8453" width="15.42578125" customWidth="1"/>
    <col min="8706" max="8706" width="26.42578125" customWidth="1"/>
    <col min="8707" max="8707" width="18.140625" customWidth="1"/>
    <col min="8708" max="8708" width="18.85546875" customWidth="1"/>
    <col min="8709" max="8709" width="15.42578125" customWidth="1"/>
    <col min="8962" max="8962" width="26.42578125" customWidth="1"/>
    <col min="8963" max="8963" width="18.140625" customWidth="1"/>
    <col min="8964" max="8964" width="18.85546875" customWidth="1"/>
    <col min="8965" max="8965" width="15.42578125" customWidth="1"/>
    <col min="9218" max="9218" width="26.42578125" customWidth="1"/>
    <col min="9219" max="9219" width="18.140625" customWidth="1"/>
    <col min="9220" max="9220" width="18.85546875" customWidth="1"/>
    <col min="9221" max="9221" width="15.42578125" customWidth="1"/>
    <col min="9474" max="9474" width="26.42578125" customWidth="1"/>
    <col min="9475" max="9475" width="18.140625" customWidth="1"/>
    <col min="9476" max="9476" width="18.85546875" customWidth="1"/>
    <col min="9477" max="9477" width="15.42578125" customWidth="1"/>
    <col min="9730" max="9730" width="26.42578125" customWidth="1"/>
    <col min="9731" max="9731" width="18.140625" customWidth="1"/>
    <col min="9732" max="9732" width="18.85546875" customWidth="1"/>
    <col min="9733" max="9733" width="15.42578125" customWidth="1"/>
    <col min="9986" max="9986" width="26.42578125" customWidth="1"/>
    <col min="9987" max="9987" width="18.140625" customWidth="1"/>
    <col min="9988" max="9988" width="18.85546875" customWidth="1"/>
    <col min="9989" max="9989" width="15.42578125" customWidth="1"/>
    <col min="10242" max="10242" width="26.42578125" customWidth="1"/>
    <col min="10243" max="10243" width="18.140625" customWidth="1"/>
    <col min="10244" max="10244" width="18.85546875" customWidth="1"/>
    <col min="10245" max="10245" width="15.42578125" customWidth="1"/>
    <col min="10498" max="10498" width="26.42578125" customWidth="1"/>
    <col min="10499" max="10499" width="18.140625" customWidth="1"/>
    <col min="10500" max="10500" width="18.85546875" customWidth="1"/>
    <col min="10501" max="10501" width="15.42578125" customWidth="1"/>
    <col min="10754" max="10754" width="26.42578125" customWidth="1"/>
    <col min="10755" max="10755" width="18.140625" customWidth="1"/>
    <col min="10756" max="10756" width="18.85546875" customWidth="1"/>
    <col min="10757" max="10757" width="15.42578125" customWidth="1"/>
    <col min="11010" max="11010" width="26.42578125" customWidth="1"/>
    <col min="11011" max="11011" width="18.140625" customWidth="1"/>
    <col min="11012" max="11012" width="18.85546875" customWidth="1"/>
    <col min="11013" max="11013" width="15.42578125" customWidth="1"/>
    <col min="11266" max="11266" width="26.42578125" customWidth="1"/>
    <col min="11267" max="11267" width="18.140625" customWidth="1"/>
    <col min="11268" max="11268" width="18.85546875" customWidth="1"/>
    <col min="11269" max="11269" width="15.42578125" customWidth="1"/>
    <col min="11522" max="11522" width="26.42578125" customWidth="1"/>
    <col min="11523" max="11523" width="18.140625" customWidth="1"/>
    <col min="11524" max="11524" width="18.85546875" customWidth="1"/>
    <col min="11525" max="11525" width="15.42578125" customWidth="1"/>
    <col min="11778" max="11778" width="26.42578125" customWidth="1"/>
    <col min="11779" max="11779" width="18.140625" customWidth="1"/>
    <col min="11780" max="11780" width="18.85546875" customWidth="1"/>
    <col min="11781" max="11781" width="15.42578125" customWidth="1"/>
    <col min="12034" max="12034" width="26.42578125" customWidth="1"/>
    <col min="12035" max="12035" width="18.140625" customWidth="1"/>
    <col min="12036" max="12036" width="18.85546875" customWidth="1"/>
    <col min="12037" max="12037" width="15.42578125" customWidth="1"/>
    <col min="12290" max="12290" width="26.42578125" customWidth="1"/>
    <col min="12291" max="12291" width="18.140625" customWidth="1"/>
    <col min="12292" max="12292" width="18.85546875" customWidth="1"/>
    <col min="12293" max="12293" width="15.42578125" customWidth="1"/>
    <col min="12546" max="12546" width="26.42578125" customWidth="1"/>
    <col min="12547" max="12547" width="18.140625" customWidth="1"/>
    <col min="12548" max="12548" width="18.85546875" customWidth="1"/>
    <col min="12549" max="12549" width="15.42578125" customWidth="1"/>
    <col min="12802" max="12802" width="26.42578125" customWidth="1"/>
    <col min="12803" max="12803" width="18.140625" customWidth="1"/>
    <col min="12804" max="12804" width="18.85546875" customWidth="1"/>
    <col min="12805" max="12805" width="15.42578125" customWidth="1"/>
    <col min="13058" max="13058" width="26.42578125" customWidth="1"/>
    <col min="13059" max="13059" width="18.140625" customWidth="1"/>
    <col min="13060" max="13060" width="18.85546875" customWidth="1"/>
    <col min="13061" max="13061" width="15.42578125" customWidth="1"/>
    <col min="13314" max="13314" width="26.42578125" customWidth="1"/>
    <col min="13315" max="13315" width="18.140625" customWidth="1"/>
    <col min="13316" max="13316" width="18.85546875" customWidth="1"/>
    <col min="13317" max="13317" width="15.42578125" customWidth="1"/>
    <col min="13570" max="13570" width="26.42578125" customWidth="1"/>
    <col min="13571" max="13571" width="18.140625" customWidth="1"/>
    <col min="13572" max="13572" width="18.85546875" customWidth="1"/>
    <col min="13573" max="13573" width="15.42578125" customWidth="1"/>
    <col min="13826" max="13826" width="26.42578125" customWidth="1"/>
    <col min="13827" max="13827" width="18.140625" customWidth="1"/>
    <col min="13828" max="13828" width="18.85546875" customWidth="1"/>
    <col min="13829" max="13829" width="15.42578125" customWidth="1"/>
    <col min="14082" max="14082" width="26.42578125" customWidth="1"/>
    <col min="14083" max="14083" width="18.140625" customWidth="1"/>
    <col min="14084" max="14084" width="18.85546875" customWidth="1"/>
    <col min="14085" max="14085" width="15.42578125" customWidth="1"/>
    <col min="14338" max="14338" width="26.42578125" customWidth="1"/>
    <col min="14339" max="14339" width="18.140625" customWidth="1"/>
    <col min="14340" max="14340" width="18.85546875" customWidth="1"/>
    <col min="14341" max="14341" width="15.42578125" customWidth="1"/>
    <col min="14594" max="14594" width="26.42578125" customWidth="1"/>
    <col min="14595" max="14595" width="18.140625" customWidth="1"/>
    <col min="14596" max="14596" width="18.85546875" customWidth="1"/>
    <col min="14597" max="14597" width="15.42578125" customWidth="1"/>
    <col min="14850" max="14850" width="26.42578125" customWidth="1"/>
    <col min="14851" max="14851" width="18.140625" customWidth="1"/>
    <col min="14852" max="14852" width="18.85546875" customWidth="1"/>
    <col min="14853" max="14853" width="15.42578125" customWidth="1"/>
    <col min="15106" max="15106" width="26.42578125" customWidth="1"/>
    <col min="15107" max="15107" width="18.140625" customWidth="1"/>
    <col min="15108" max="15108" width="18.85546875" customWidth="1"/>
    <col min="15109" max="15109" width="15.42578125" customWidth="1"/>
    <col min="15362" max="15362" width="26.42578125" customWidth="1"/>
    <col min="15363" max="15363" width="18.140625" customWidth="1"/>
    <col min="15364" max="15364" width="18.85546875" customWidth="1"/>
    <col min="15365" max="15365" width="15.42578125" customWidth="1"/>
    <col min="15618" max="15618" width="26.42578125" customWidth="1"/>
    <col min="15619" max="15619" width="18.140625" customWidth="1"/>
    <col min="15620" max="15620" width="18.85546875" customWidth="1"/>
    <col min="15621" max="15621" width="15.42578125" customWidth="1"/>
    <col min="15874" max="15874" width="26.42578125" customWidth="1"/>
    <col min="15875" max="15875" width="18.140625" customWidth="1"/>
    <col min="15876" max="15876" width="18.85546875" customWidth="1"/>
    <col min="15877" max="15877" width="15.42578125" customWidth="1"/>
    <col min="16130" max="16130" width="26.42578125" customWidth="1"/>
    <col min="16131" max="16131" width="18.140625" customWidth="1"/>
    <col min="16132" max="16132" width="18.85546875" customWidth="1"/>
    <col min="16133" max="16133" width="15.42578125" customWidth="1"/>
  </cols>
  <sheetData>
    <row r="1" spans="1:5" ht="15.75" x14ac:dyDescent="0.25">
      <c r="A1" s="616" t="s">
        <v>525</v>
      </c>
    </row>
    <row r="3" spans="1:5" x14ac:dyDescent="0.2">
      <c r="A3" s="617"/>
      <c r="B3" s="618"/>
      <c r="C3" s="619" t="s">
        <v>526</v>
      </c>
      <c r="D3" s="619" t="s">
        <v>527</v>
      </c>
      <c r="E3" s="619" t="s">
        <v>528</v>
      </c>
    </row>
    <row r="4" spans="1:5" ht="38.25" x14ac:dyDescent="0.2">
      <c r="A4" s="621" t="s">
        <v>243</v>
      </c>
      <c r="B4" s="53" t="s">
        <v>244</v>
      </c>
      <c r="C4" s="318">
        <f>SUM(C5:C10)</f>
        <v>517889928</v>
      </c>
      <c r="D4" s="318">
        <f>SUM(D5:D10)</f>
        <v>487211539</v>
      </c>
      <c r="E4" s="318">
        <f>SUM(E5:E10)</f>
        <v>-30678389</v>
      </c>
    </row>
    <row r="5" spans="1:5" s="659" customFormat="1" ht="70.150000000000006" customHeight="1" x14ac:dyDescent="0.2">
      <c r="A5" s="658" t="s">
        <v>245</v>
      </c>
      <c r="B5" s="660" t="s">
        <v>383</v>
      </c>
      <c r="C5" s="661">
        <v>160409427</v>
      </c>
      <c r="D5" s="661">
        <v>168276522</v>
      </c>
      <c r="E5" s="662">
        <f t="shared" ref="E5:E10" si="0">+D5-C5</f>
        <v>7867095</v>
      </c>
    </row>
    <row r="6" spans="1:5" s="659" customFormat="1" ht="70.150000000000006" customHeight="1" x14ac:dyDescent="0.2">
      <c r="A6" s="658" t="s">
        <v>246</v>
      </c>
      <c r="B6" s="660" t="s">
        <v>415</v>
      </c>
      <c r="C6" s="661">
        <v>163214900</v>
      </c>
      <c r="D6" s="661">
        <v>167733010</v>
      </c>
      <c r="E6" s="662">
        <f t="shared" si="0"/>
        <v>4518110</v>
      </c>
    </row>
    <row r="7" spans="1:5" s="659" customFormat="1" ht="70.150000000000006" customHeight="1" x14ac:dyDescent="0.2">
      <c r="A7" s="658" t="s">
        <v>247</v>
      </c>
      <c r="B7" s="660" t="s">
        <v>416</v>
      </c>
      <c r="C7" s="661">
        <v>184927861</v>
      </c>
      <c r="D7" s="661">
        <v>141808407</v>
      </c>
      <c r="E7" s="662">
        <f t="shared" si="0"/>
        <v>-43119454</v>
      </c>
    </row>
    <row r="8" spans="1:5" s="659" customFormat="1" ht="70.150000000000006" customHeight="1" x14ac:dyDescent="0.2">
      <c r="A8" s="658" t="s">
        <v>248</v>
      </c>
      <c r="B8" s="660" t="s">
        <v>417</v>
      </c>
      <c r="C8" s="661">
        <v>9337740</v>
      </c>
      <c r="D8" s="661">
        <v>9393600</v>
      </c>
      <c r="E8" s="662">
        <f t="shared" si="0"/>
        <v>55860</v>
      </c>
    </row>
    <row r="9" spans="1:5" s="659" customFormat="1" ht="70.150000000000006" customHeight="1" x14ac:dyDescent="0.2">
      <c r="A9" s="658" t="s">
        <v>249</v>
      </c>
      <c r="B9" s="660" t="s">
        <v>250</v>
      </c>
      <c r="C9" s="661">
        <v>0</v>
      </c>
      <c r="D9" s="661">
        <v>0</v>
      </c>
      <c r="E9" s="662">
        <f t="shared" si="0"/>
        <v>0</v>
      </c>
    </row>
    <row r="10" spans="1:5" s="659" customFormat="1" ht="70.150000000000006" customHeight="1" x14ac:dyDescent="0.2">
      <c r="A10" s="658" t="s">
        <v>251</v>
      </c>
      <c r="B10" s="660" t="s">
        <v>252</v>
      </c>
      <c r="C10" s="661">
        <v>0</v>
      </c>
      <c r="D10" s="661">
        <v>0</v>
      </c>
      <c r="E10" s="662">
        <f t="shared" si="0"/>
        <v>0</v>
      </c>
    </row>
    <row r="12" spans="1:5" ht="13.5" thickBot="1" x14ac:dyDescent="0.25"/>
    <row r="13" spans="1:5" ht="38.25" x14ac:dyDescent="0.2">
      <c r="A13" s="639" t="s">
        <v>560</v>
      </c>
      <c r="B13" s="640" t="s">
        <v>561</v>
      </c>
      <c r="C13" s="640" t="s">
        <v>562</v>
      </c>
      <c r="D13" s="640" t="s">
        <v>563</v>
      </c>
      <c r="E13" s="641" t="s">
        <v>564</v>
      </c>
    </row>
    <row r="14" spans="1:5" ht="25.15" customHeight="1" x14ac:dyDescent="0.2">
      <c r="A14" s="642" t="s">
        <v>242</v>
      </c>
      <c r="B14" s="649">
        <v>577146258</v>
      </c>
      <c r="C14" s="649">
        <v>310504756</v>
      </c>
      <c r="D14" s="649">
        <v>588969848</v>
      </c>
      <c r="E14" s="650">
        <f>+C14/D14</f>
        <v>0.52719974894198662</v>
      </c>
    </row>
    <row r="15" spans="1:5" ht="25.15" customHeight="1" x14ac:dyDescent="0.2">
      <c r="A15" s="642" t="s">
        <v>263</v>
      </c>
      <c r="B15" s="649">
        <v>175000000</v>
      </c>
      <c r="C15" s="649">
        <v>505968123</v>
      </c>
      <c r="D15" s="649">
        <v>580968123</v>
      </c>
      <c r="E15" s="650">
        <f t="shared" ref="E15:E21" si="1">+C15/D15</f>
        <v>0.87090513742352094</v>
      </c>
    </row>
    <row r="16" spans="1:5" ht="13.9" customHeight="1" x14ac:dyDescent="0.2">
      <c r="A16" s="642" t="s">
        <v>271</v>
      </c>
      <c r="B16" s="649">
        <v>198244647</v>
      </c>
      <c r="C16" s="649">
        <v>110800513</v>
      </c>
      <c r="D16" s="649">
        <v>198244647</v>
      </c>
      <c r="E16" s="650">
        <f t="shared" si="1"/>
        <v>0.55890796889965966</v>
      </c>
    </row>
    <row r="17" spans="1:5" ht="13.9" customHeight="1" x14ac:dyDescent="0.2">
      <c r="A17" s="642" t="s">
        <v>285</v>
      </c>
      <c r="B17" s="651">
        <v>112396000</v>
      </c>
      <c r="C17" s="649">
        <v>77405545</v>
      </c>
      <c r="D17" s="649">
        <v>111902000</v>
      </c>
      <c r="E17" s="650">
        <f t="shared" si="1"/>
        <v>0.6917261979231828</v>
      </c>
    </row>
    <row r="18" spans="1:5" ht="13.9" customHeight="1" x14ac:dyDescent="0.2">
      <c r="A18" s="642" t="s">
        <v>312</v>
      </c>
      <c r="B18" s="649">
        <v>72638000</v>
      </c>
      <c r="C18" s="649">
        <v>16435054</v>
      </c>
      <c r="D18" s="649">
        <v>72638000</v>
      </c>
      <c r="E18" s="650">
        <f t="shared" si="1"/>
        <v>0.2262597263140505</v>
      </c>
    </row>
    <row r="19" spans="1:5" ht="13.9" customHeight="1" x14ac:dyDescent="0.2">
      <c r="A19" s="642" t="s">
        <v>322</v>
      </c>
      <c r="B19" s="652">
        <v>0</v>
      </c>
      <c r="C19" s="649">
        <v>100000</v>
      </c>
      <c r="D19" s="649">
        <v>0</v>
      </c>
      <c r="E19" s="650" t="s">
        <v>565</v>
      </c>
    </row>
    <row r="20" spans="1:5" ht="25.15" customHeight="1" x14ac:dyDescent="0.2">
      <c r="A20" s="642" t="s">
        <v>327</v>
      </c>
      <c r="B20" s="653">
        <v>0</v>
      </c>
      <c r="C20" s="649">
        <v>102000</v>
      </c>
      <c r="D20" s="649">
        <v>0</v>
      </c>
      <c r="E20" s="650" t="s">
        <v>565</v>
      </c>
    </row>
    <row r="21" spans="1:5" ht="15" customHeight="1" thickBot="1" x14ac:dyDescent="0.25">
      <c r="A21" s="646" t="s">
        <v>334</v>
      </c>
      <c r="B21" s="654">
        <v>120893019</v>
      </c>
      <c r="C21" s="654">
        <f>347273157-237712975</f>
        <v>109560182</v>
      </c>
      <c r="D21" s="654">
        <f>595512181-457619162</f>
        <v>137893019</v>
      </c>
      <c r="E21" s="655">
        <f t="shared" si="1"/>
        <v>0.79453030178416795</v>
      </c>
    </row>
    <row r="22" spans="1:5" ht="25.15" customHeight="1" thickBot="1" x14ac:dyDescent="0.25">
      <c r="A22" s="647" t="s">
        <v>377</v>
      </c>
      <c r="B22" s="648">
        <f>SUM(B14:B21)</f>
        <v>1256317924</v>
      </c>
      <c r="C22" s="648">
        <v>800341847</v>
      </c>
      <c r="D22" s="648">
        <f>SUM(D14:D21)</f>
        <v>1690615637</v>
      </c>
      <c r="E22" s="656">
        <f>+C22/D22</f>
        <v>0.47340260523096062</v>
      </c>
    </row>
    <row r="24" spans="1:5" ht="13.5" thickBot="1" x14ac:dyDescent="0.25">
      <c r="A24" s="635"/>
      <c r="B24" s="636"/>
      <c r="C24" s="637"/>
      <c r="D24" s="48"/>
    </row>
    <row r="25" spans="1:5" ht="38.25" x14ac:dyDescent="0.2">
      <c r="A25" s="639" t="s">
        <v>566</v>
      </c>
      <c r="B25" s="640" t="s">
        <v>561</v>
      </c>
      <c r="C25" s="640" t="s">
        <v>562</v>
      </c>
      <c r="D25" s="640" t="s">
        <v>563</v>
      </c>
      <c r="E25" s="641" t="s">
        <v>564</v>
      </c>
    </row>
    <row r="26" spans="1:5" x14ac:dyDescent="0.2">
      <c r="A26" s="642" t="s">
        <v>3</v>
      </c>
      <c r="B26" s="172">
        <v>419583100</v>
      </c>
      <c r="C26" s="172">
        <v>196211923</v>
      </c>
      <c r="D26" s="172">
        <v>419631100</v>
      </c>
      <c r="E26" s="643">
        <f>+C26/D26</f>
        <v>0.46758193804034065</v>
      </c>
    </row>
    <row r="27" spans="1:5" ht="25.5" x14ac:dyDescent="0.2">
      <c r="A27" s="642" t="s">
        <v>27</v>
      </c>
      <c r="B27" s="172">
        <v>83972000</v>
      </c>
      <c r="C27" s="172">
        <v>45860944</v>
      </c>
      <c r="D27" s="172">
        <v>83972000</v>
      </c>
      <c r="E27" s="643">
        <f t="shared" ref="E27:E35" si="2">+C27/D27</f>
        <v>0.54614566760348693</v>
      </c>
    </row>
    <row r="28" spans="1:5" x14ac:dyDescent="0.2">
      <c r="A28" s="642" t="s">
        <v>30</v>
      </c>
      <c r="B28" s="172">
        <v>235214999</v>
      </c>
      <c r="C28" s="403">
        <v>151106445</v>
      </c>
      <c r="D28" s="403">
        <v>280010999</v>
      </c>
      <c r="E28" s="643">
        <f t="shared" si="2"/>
        <v>0.53964467660072168</v>
      </c>
    </row>
    <row r="29" spans="1:5" x14ac:dyDescent="0.2">
      <c r="A29" s="642" t="s">
        <v>567</v>
      </c>
      <c r="B29" s="172">
        <v>19500000</v>
      </c>
      <c r="C29" s="172">
        <v>8657425</v>
      </c>
      <c r="D29" s="172">
        <v>20000000</v>
      </c>
      <c r="E29" s="643">
        <f t="shared" si="2"/>
        <v>0.43287124999999999</v>
      </c>
    </row>
    <row r="30" spans="1:5" x14ac:dyDescent="0.2">
      <c r="A30" s="642" t="s">
        <v>141</v>
      </c>
      <c r="B30" s="172">
        <v>174456925</v>
      </c>
      <c r="C30" s="172">
        <v>97482764</v>
      </c>
      <c r="D30" s="172">
        <v>144494000</v>
      </c>
      <c r="E30" s="643">
        <f t="shared" si="2"/>
        <v>0.6746492172685371</v>
      </c>
    </row>
    <row r="31" spans="1:5" x14ac:dyDescent="0.2">
      <c r="A31" s="642" t="s">
        <v>159</v>
      </c>
      <c r="B31" s="172">
        <v>215110900</v>
      </c>
      <c r="C31" s="172">
        <v>8380363</v>
      </c>
      <c r="D31" s="172">
        <v>428699652</v>
      </c>
      <c r="E31" s="643">
        <f t="shared" si="2"/>
        <v>1.954833170706656E-2</v>
      </c>
    </row>
    <row r="32" spans="1:5" x14ac:dyDescent="0.2">
      <c r="A32" s="642" t="s">
        <v>174</v>
      </c>
      <c r="B32" s="172">
        <v>108480000</v>
      </c>
      <c r="C32" s="172">
        <v>3723918</v>
      </c>
      <c r="D32" s="172">
        <v>296686866</v>
      </c>
      <c r="E32" s="643">
        <f t="shared" si="2"/>
        <v>1.2551677970132995E-2</v>
      </c>
    </row>
    <row r="33" spans="1:5" x14ac:dyDescent="0.2">
      <c r="A33" s="642" t="s">
        <v>184</v>
      </c>
      <c r="B33" s="172">
        <v>0</v>
      </c>
      <c r="C33" s="172">
        <v>0</v>
      </c>
      <c r="D33" s="172">
        <v>0</v>
      </c>
      <c r="E33" s="643" t="s">
        <v>565</v>
      </c>
    </row>
    <row r="34" spans="1:5" x14ac:dyDescent="0.2">
      <c r="A34" s="642" t="s">
        <v>202</v>
      </c>
      <c r="B34" s="638">
        <v>0</v>
      </c>
      <c r="C34" s="172">
        <f>254833995-237712975</f>
        <v>17121020</v>
      </c>
      <c r="D34" s="172">
        <f>474740182-457619162</f>
        <v>17121020</v>
      </c>
      <c r="E34" s="643">
        <f t="shared" si="2"/>
        <v>1</v>
      </c>
    </row>
    <row r="35" spans="1:5" ht="13.5" thickBot="1" x14ac:dyDescent="0.25">
      <c r="A35" s="644" t="s">
        <v>378</v>
      </c>
      <c r="B35" s="657">
        <f>SUM(B26:B34)</f>
        <v>1256317924</v>
      </c>
      <c r="C35" s="657">
        <f>SUM(C26:C34)</f>
        <v>528544802</v>
      </c>
      <c r="D35" s="657">
        <f>SUM(D26:D34)</f>
        <v>1690615637</v>
      </c>
      <c r="E35" s="645">
        <f t="shared" si="2"/>
        <v>0.31263451634571626</v>
      </c>
    </row>
    <row r="36" spans="1:5" x14ac:dyDescent="0.2">
      <c r="B36" s="48"/>
    </row>
  </sheetData>
  <pageMargins left="0.7" right="0.7" top="0.75" bottom="0.75" header="0.3" footer="0.3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2" workbookViewId="0">
      <selection activeCell="B17" sqref="B17"/>
    </sheetView>
  </sheetViews>
  <sheetFormatPr defaultRowHeight="12.75" x14ac:dyDescent="0.2"/>
  <cols>
    <col min="1" max="1" width="21.28515625" customWidth="1"/>
    <col min="2" max="2" width="15.5703125" customWidth="1"/>
    <col min="3" max="3" width="15.42578125" customWidth="1"/>
    <col min="4" max="4" width="16" customWidth="1"/>
    <col min="5" max="5" width="15.85546875" customWidth="1"/>
  </cols>
  <sheetData>
    <row r="1" spans="1:5" ht="15.75" x14ac:dyDescent="0.25">
      <c r="A1" s="616" t="s">
        <v>541</v>
      </c>
    </row>
    <row r="2" spans="1:5" ht="15.75" x14ac:dyDescent="0.25">
      <c r="A2" s="616" t="s">
        <v>542</v>
      </c>
    </row>
    <row r="3" spans="1:5" ht="15.75" x14ac:dyDescent="0.25">
      <c r="A3" s="616" t="s">
        <v>525</v>
      </c>
    </row>
    <row r="6" spans="1:5" x14ac:dyDescent="0.2">
      <c r="A6" s="631"/>
      <c r="B6" s="632">
        <v>42736</v>
      </c>
      <c r="C6" s="632">
        <v>42916</v>
      </c>
      <c r="D6" s="632">
        <v>43008</v>
      </c>
      <c r="E6" s="632">
        <v>43100</v>
      </c>
    </row>
    <row r="7" spans="1:5" x14ac:dyDescent="0.2">
      <c r="A7" s="39" t="s">
        <v>543</v>
      </c>
      <c r="B7" s="147">
        <v>52718000</v>
      </c>
      <c r="C7" s="405">
        <v>52718000</v>
      </c>
      <c r="D7" s="405"/>
      <c r="E7" s="405"/>
    </row>
    <row r="9" spans="1:5" ht="51" customHeight="1" x14ac:dyDescent="0.2">
      <c r="A9" s="513" t="s">
        <v>544</v>
      </c>
      <c r="B9" s="620">
        <f>4800000+2768000+100000+2940000+1744000</f>
        <v>12352000</v>
      </c>
      <c r="C9" s="620">
        <f>4800000+2768000+100000+2940000+1744000</f>
        <v>12352000</v>
      </c>
      <c r="D9" s="620"/>
      <c r="E9" s="620"/>
    </row>
    <row r="10" spans="1:5" ht="25.5" x14ac:dyDescent="0.2">
      <c r="A10" s="513" t="s">
        <v>548</v>
      </c>
      <c r="B10" s="620">
        <f>'4. Dr Gáspár HSZK'!C100</f>
        <v>27728761</v>
      </c>
      <c r="C10" s="620">
        <f>'4. Dr Gáspár HSZK'!D100</f>
        <v>28137761</v>
      </c>
      <c r="D10" s="620">
        <f>'4. Dr Gáspár HSZK'!E100</f>
        <v>0</v>
      </c>
      <c r="E10" s="620">
        <f>'4. Dr Gáspár HSZK'!F100</f>
        <v>0</v>
      </c>
    </row>
    <row r="11" spans="1:5" ht="38.25" x14ac:dyDescent="0.2">
      <c r="A11" s="40" t="s">
        <v>545</v>
      </c>
      <c r="B11" s="147">
        <f>+B9-B10</f>
        <v>-15376761</v>
      </c>
      <c r="C11" s="147">
        <f>+C9-C10</f>
        <v>-15785761</v>
      </c>
      <c r="D11" s="147">
        <f t="shared" ref="D11:E11" si="0">+D9-D10</f>
        <v>0</v>
      </c>
      <c r="E11" s="147">
        <f t="shared" si="0"/>
        <v>0</v>
      </c>
    </row>
    <row r="13" spans="1:5" ht="38.25" x14ac:dyDescent="0.2">
      <c r="A13" s="513" t="s">
        <v>546</v>
      </c>
      <c r="B13" s="620">
        <f>17293500+1037610+543510</f>
        <v>18874620</v>
      </c>
      <c r="C13" s="620">
        <f>17293500+1037610+543510</f>
        <v>18874620</v>
      </c>
      <c r="D13" s="620"/>
      <c r="E13" s="620"/>
    </row>
    <row r="14" spans="1:5" ht="25.5" x14ac:dyDescent="0.2">
      <c r="A14" s="513" t="s">
        <v>547</v>
      </c>
      <c r="B14" s="620">
        <f>'6. Gólyahír'!C100</f>
        <v>48881766</v>
      </c>
      <c r="C14" s="620">
        <f>'6. Gólyahír'!D100</f>
        <v>48881766</v>
      </c>
      <c r="D14" s="620">
        <f>'4. Dr Gáspár HSZK'!E104</f>
        <v>0</v>
      </c>
      <c r="E14" s="620">
        <f>'4. Dr Gáspár HSZK'!F104</f>
        <v>0</v>
      </c>
    </row>
    <row r="15" spans="1:5" ht="25.5" x14ac:dyDescent="0.2">
      <c r="A15" s="40" t="s">
        <v>549</v>
      </c>
      <c r="B15" s="147">
        <f>+B13-B14</f>
        <v>-30007146</v>
      </c>
      <c r="C15" s="147">
        <f>+C13-C14</f>
        <v>-30007146</v>
      </c>
      <c r="D15" s="147">
        <f t="shared" ref="D15" si="1">+D13-D14</f>
        <v>0</v>
      </c>
      <c r="E15" s="147">
        <f t="shared" ref="E15" si="2">+E13-E14</f>
        <v>0</v>
      </c>
    </row>
    <row r="17" spans="1:5" ht="38.25" x14ac:dyDescent="0.2">
      <c r="A17" s="513" t="s">
        <v>550</v>
      </c>
      <c r="B17" s="620"/>
      <c r="C17" s="620"/>
      <c r="D17" s="620"/>
      <c r="E17" s="620"/>
    </row>
    <row r="18" spans="1:5" ht="25.5" x14ac:dyDescent="0.2">
      <c r="A18" s="513" t="s">
        <v>551</v>
      </c>
      <c r="B18" s="620">
        <f>+'9. Közp. Konyha'!C100</f>
        <v>65769773</v>
      </c>
      <c r="C18" s="620">
        <f>+'9. Közp. Konyha'!D100</f>
        <v>65769773</v>
      </c>
      <c r="D18" s="620">
        <f>'4. Dr Gáspár HSZK'!E108</f>
        <v>0</v>
      </c>
      <c r="E18" s="620">
        <f>'4. Dr Gáspár HSZK'!F108</f>
        <v>0</v>
      </c>
    </row>
    <row r="19" spans="1:5" ht="25.5" x14ac:dyDescent="0.2">
      <c r="A19" s="40" t="s">
        <v>552</v>
      </c>
      <c r="B19" s="147">
        <f>+B17-B18</f>
        <v>-65769773</v>
      </c>
      <c r="C19" s="147">
        <f>+C17-C18</f>
        <v>-65769773</v>
      </c>
      <c r="D19" s="147">
        <f t="shared" ref="D19" si="3">+D17-D18</f>
        <v>0</v>
      </c>
      <c r="E19" s="147">
        <f t="shared" ref="E19" si="4">+E17-E18</f>
        <v>0</v>
      </c>
    </row>
    <row r="21" spans="1:5" x14ac:dyDescent="0.2">
      <c r="A21" s="61" t="s">
        <v>126</v>
      </c>
      <c r="B21">
        <f>+'3. Önk. Kiadások'!H92</f>
        <v>8657425</v>
      </c>
      <c r="C21">
        <f>+'3. Önk. Kiadások'!H92</f>
        <v>8657425</v>
      </c>
    </row>
    <row r="23" spans="1:5" x14ac:dyDescent="0.2">
      <c r="A23" s="61" t="s">
        <v>553</v>
      </c>
      <c r="B23" s="128">
        <f>+B7+B11+B15+B19-B21</f>
        <v>-67093105</v>
      </c>
      <c r="C23" s="128">
        <f>+C7+C11+C15+C19-C21</f>
        <v>-67502105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1"/>
  <sheetViews>
    <sheetView view="pageBreakPreview" zoomScale="60" zoomScaleNormal="75" workbookViewId="0">
      <selection activeCell="A13" sqref="A13:C22"/>
    </sheetView>
  </sheetViews>
  <sheetFormatPr defaultRowHeight="12.75" x14ac:dyDescent="0.2"/>
  <cols>
    <col min="1" max="1" width="6.42578125" style="22" bestFit="1" customWidth="1"/>
    <col min="2" max="2" width="41.42578125" style="22" customWidth="1"/>
    <col min="3" max="3" width="19.140625" style="22" customWidth="1"/>
    <col min="4" max="5" width="18.5703125" style="23" customWidth="1"/>
    <col min="6" max="6" width="15.5703125" style="23" customWidth="1"/>
    <col min="7" max="7" width="0.85546875" style="23" customWidth="1"/>
    <col min="8" max="8" width="15.5703125" style="22" customWidth="1"/>
    <col min="9" max="10" width="15.5703125" style="23" customWidth="1"/>
    <col min="11" max="11" width="0.85546875" style="23" customWidth="1"/>
    <col min="12" max="14" width="10.5703125" style="22" customWidth="1"/>
    <col min="15" max="15" width="0.85546875" style="23" customWidth="1"/>
    <col min="16" max="18" width="14.5703125" style="22" customWidth="1"/>
    <col min="19" max="19" width="15.5703125" style="22" customWidth="1"/>
    <col min="20" max="20" width="10.5703125" style="22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471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2017. FÉLÉVES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47"/>
    </row>
    <row r="3" spans="1:27" ht="20.25" hidden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7"/>
    </row>
    <row r="4" spans="1:27" x14ac:dyDescent="0.2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  <c r="U4"/>
    </row>
    <row r="5" spans="1:27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  <c r="U5" s="290"/>
    </row>
    <row r="6" spans="1:27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  <c r="U6" s="290"/>
    </row>
    <row r="7" spans="1:27" ht="15.75" x14ac:dyDescent="0.25">
      <c r="A7" s="48"/>
      <c r="B7" s="48"/>
      <c r="C7" s="664" t="s">
        <v>412</v>
      </c>
      <c r="D7" s="665"/>
      <c r="E7" s="665"/>
      <c r="F7" s="666"/>
      <c r="G7" s="375"/>
      <c r="H7" s="664" t="s">
        <v>411</v>
      </c>
      <c r="I7" s="667"/>
      <c r="J7" s="667"/>
      <c r="K7" s="667"/>
      <c r="L7" s="667"/>
      <c r="M7" s="667"/>
      <c r="N7" s="668"/>
      <c r="O7" s="375"/>
      <c r="P7" s="664" t="s">
        <v>408</v>
      </c>
      <c r="Q7" s="665"/>
      <c r="R7" s="665"/>
      <c r="S7" s="665"/>
      <c r="T7" s="666"/>
      <c r="U7"/>
    </row>
    <row r="8" spans="1:27" ht="15" x14ac:dyDescent="0.25">
      <c r="A8" s="48"/>
      <c r="B8" s="48"/>
      <c r="C8" s="548"/>
      <c r="D8" s="494"/>
      <c r="E8" s="494"/>
      <c r="F8" s="520"/>
      <c r="G8" s="372"/>
      <c r="H8" s="669" t="s">
        <v>425</v>
      </c>
      <c r="I8" s="670"/>
      <c r="J8" s="670"/>
      <c r="K8" s="493"/>
      <c r="L8" s="671" t="s">
        <v>424</v>
      </c>
      <c r="M8" s="670"/>
      <c r="N8" s="672"/>
      <c r="O8" s="372"/>
      <c r="P8" s="519">
        <f>+'1. Sülysáp összesen'!P8</f>
        <v>1</v>
      </c>
      <c r="Q8" s="376">
        <f>+' 2. Önk. Bevételek'!Q8</f>
        <v>1</v>
      </c>
      <c r="R8" s="376">
        <f>+'1. Sülysáp összesen'!R8</f>
        <v>0</v>
      </c>
      <c r="S8" s="494"/>
      <c r="T8" s="520"/>
      <c r="U8"/>
    </row>
    <row r="9" spans="1:27" ht="20.100000000000001" customHeight="1" x14ac:dyDescent="0.2">
      <c r="A9" s="377"/>
      <c r="B9" s="378" t="s">
        <v>377</v>
      </c>
      <c r="C9" s="521">
        <f>+C22</f>
        <v>1256317924</v>
      </c>
      <c r="D9" s="379">
        <f t="shared" ref="D9:J9" si="0">+D22</f>
        <v>1690615637</v>
      </c>
      <c r="E9" s="379">
        <f t="shared" si="0"/>
        <v>0</v>
      </c>
      <c r="F9" s="549">
        <f t="shared" si="0"/>
        <v>0</v>
      </c>
      <c r="G9" s="379"/>
      <c r="H9" s="521">
        <f t="shared" si="0"/>
        <v>1130876173</v>
      </c>
      <c r="I9" s="379">
        <f t="shared" si="0"/>
        <v>0</v>
      </c>
      <c r="J9" s="379">
        <f t="shared" si="0"/>
        <v>0</v>
      </c>
      <c r="K9" s="380"/>
      <c r="L9" s="381">
        <f>H9/C9</f>
        <v>0.90015126855740057</v>
      </c>
      <c r="M9" s="382">
        <f>I9/D9</f>
        <v>0</v>
      </c>
      <c r="N9" s="522" t="e">
        <f>+J9/E9</f>
        <v>#DIV/0!</v>
      </c>
      <c r="O9" s="380"/>
      <c r="P9" s="521">
        <f>IF(D9&gt;0,+D9-C9,0)</f>
        <v>434297713</v>
      </c>
      <c r="Q9" s="379">
        <f>IF(E9&gt;0,+E9-D9,0)</f>
        <v>0</v>
      </c>
      <c r="R9" s="379">
        <f>IF(F9&gt;0,+F9-E9,0)</f>
        <v>0</v>
      </c>
      <c r="S9" s="379">
        <f>SUM(P9:R9)</f>
        <v>434297713</v>
      </c>
      <c r="T9" s="522">
        <f>+S9/C9</f>
        <v>0.34569093117547528</v>
      </c>
      <c r="U9" s="271"/>
      <c r="V9" s="254">
        <f>+S9-E9+C9</f>
        <v>1690615637</v>
      </c>
    </row>
    <row r="10" spans="1:27" ht="15" x14ac:dyDescent="0.25">
      <c r="A10" s="383"/>
      <c r="B10" s="384"/>
      <c r="C10" s="523"/>
      <c r="D10" s="372"/>
      <c r="E10" s="372"/>
      <c r="F10" s="550"/>
      <c r="G10" s="372"/>
      <c r="H10" s="523"/>
      <c r="I10" s="372"/>
      <c r="J10" s="372"/>
      <c r="K10" s="372"/>
      <c r="L10" s="385"/>
      <c r="M10" s="386"/>
      <c r="N10" s="524"/>
      <c r="O10" s="372"/>
      <c r="P10" s="523"/>
      <c r="Q10" s="372"/>
      <c r="R10" s="372"/>
      <c r="S10" s="372"/>
      <c r="T10" s="524"/>
      <c r="U10" s="262"/>
      <c r="V10" s="263"/>
    </row>
    <row r="11" spans="1:27" s="1" customFormat="1" ht="64.5" customHeight="1" x14ac:dyDescent="0.2">
      <c r="A11" s="387" t="s">
        <v>373</v>
      </c>
      <c r="B11" s="387" t="s">
        <v>371</v>
      </c>
      <c r="C11" s="551" t="s">
        <v>483</v>
      </c>
      <c r="D11" s="388" t="s">
        <v>484</v>
      </c>
      <c r="E11" s="388" t="s">
        <v>485</v>
      </c>
      <c r="F11" s="552" t="s">
        <v>486</v>
      </c>
      <c r="G11" s="388"/>
      <c r="H11" s="525" t="s">
        <v>487</v>
      </c>
      <c r="I11" s="389" t="s">
        <v>488</v>
      </c>
      <c r="J11" s="389" t="s">
        <v>489</v>
      </c>
      <c r="K11" s="388"/>
      <c r="L11" s="390" t="s">
        <v>490</v>
      </c>
      <c r="M11" s="390" t="s">
        <v>494</v>
      </c>
      <c r="N11" s="526" t="s">
        <v>495</v>
      </c>
      <c r="O11" s="388"/>
      <c r="P11" s="525" t="s">
        <v>491</v>
      </c>
      <c r="Q11" s="389" t="s">
        <v>493</v>
      </c>
      <c r="R11" s="389" t="s">
        <v>492</v>
      </c>
      <c r="S11" s="389" t="s">
        <v>409</v>
      </c>
      <c r="T11" s="526" t="s">
        <v>410</v>
      </c>
      <c r="U11" s="370"/>
      <c r="V11" s="138" t="s">
        <v>414</v>
      </c>
    </row>
    <row r="12" spans="1:27" x14ac:dyDescent="0.2">
      <c r="A12" s="391"/>
      <c r="B12" s="49"/>
      <c r="C12" s="553"/>
      <c r="D12" s="392"/>
      <c r="E12" s="392"/>
      <c r="F12" s="554"/>
      <c r="G12" s="392"/>
      <c r="H12" s="527"/>
      <c r="I12" s="371"/>
      <c r="J12" s="371"/>
      <c r="K12" s="392"/>
      <c r="L12" s="385"/>
      <c r="M12" s="393"/>
      <c r="N12" s="540"/>
      <c r="O12" s="392"/>
      <c r="P12" s="527"/>
      <c r="Q12" s="371"/>
      <c r="R12" s="371"/>
      <c r="S12" s="371"/>
      <c r="T12" s="528"/>
      <c r="U12" s="396"/>
      <c r="V12" s="208"/>
    </row>
    <row r="13" spans="1:27" x14ac:dyDescent="0.2">
      <c r="A13" s="35" t="s">
        <v>241</v>
      </c>
      <c r="B13" s="545" t="s">
        <v>458</v>
      </c>
      <c r="C13" s="172">
        <f>+C36</f>
        <v>577146258</v>
      </c>
      <c r="D13" s="172">
        <f t="shared" ref="D13:E13" si="1">+D36</f>
        <v>588969848</v>
      </c>
      <c r="E13" s="172">
        <f t="shared" si="1"/>
        <v>0</v>
      </c>
      <c r="F13" s="172">
        <f t="shared" ref="F13" si="2">+F36</f>
        <v>0</v>
      </c>
      <c r="G13" s="537"/>
      <c r="H13" s="403">
        <f t="shared" ref="H13:J13" si="3">+H36</f>
        <v>310504756</v>
      </c>
      <c r="I13" s="172">
        <f t="shared" si="3"/>
        <v>0</v>
      </c>
      <c r="J13" s="172">
        <f t="shared" si="3"/>
        <v>0</v>
      </c>
      <c r="K13" s="172"/>
      <c r="L13" s="36">
        <f t="shared" ref="L13:N19" si="4">H13/D13</f>
        <v>0.52719974894198662</v>
      </c>
      <c r="M13" s="36" t="e">
        <f t="shared" si="4"/>
        <v>#DIV/0!</v>
      </c>
      <c r="N13" s="36" t="e">
        <f t="shared" si="4"/>
        <v>#DIV/0!</v>
      </c>
      <c r="O13" s="537"/>
      <c r="P13" s="187">
        <f t="shared" ref="P13:R19" si="5">+(D13-C13)*P$8</f>
        <v>11823590</v>
      </c>
      <c r="Q13" s="187">
        <f t="shared" si="5"/>
        <v>-588969848</v>
      </c>
      <c r="R13" s="187">
        <f t="shared" si="5"/>
        <v>0</v>
      </c>
      <c r="S13" s="187">
        <f t="shared" ref="S13:S19" si="6">SUM(P13:R13)</f>
        <v>-577146258</v>
      </c>
      <c r="T13" s="188">
        <f t="shared" ref="T13:T23" si="7">IF(C13=0,0,+S13/C13)</f>
        <v>-1</v>
      </c>
      <c r="U13" s="516"/>
      <c r="V13" s="263">
        <f t="shared" ref="V13:V23" si="8">+S13-E13+C13</f>
        <v>0</v>
      </c>
    </row>
    <row r="14" spans="1:27" ht="15" customHeight="1" x14ac:dyDescent="0.2">
      <c r="A14" s="35" t="s">
        <v>262</v>
      </c>
      <c r="B14" s="545" t="s">
        <v>457</v>
      </c>
      <c r="C14" s="172">
        <f>+C48</f>
        <v>175000000</v>
      </c>
      <c r="D14" s="172">
        <f t="shared" ref="D14:E14" si="9">+D48</f>
        <v>580968123</v>
      </c>
      <c r="E14" s="172">
        <f t="shared" si="9"/>
        <v>0</v>
      </c>
      <c r="F14" s="172">
        <f t="shared" ref="F14" si="10">+F48</f>
        <v>0</v>
      </c>
      <c r="G14" s="537"/>
      <c r="H14" s="172">
        <f t="shared" ref="H14:J14" si="11">+H48</f>
        <v>505968123</v>
      </c>
      <c r="I14" s="172">
        <f t="shared" si="11"/>
        <v>0</v>
      </c>
      <c r="J14" s="172">
        <f t="shared" si="11"/>
        <v>0</v>
      </c>
      <c r="K14" s="172"/>
      <c r="L14" s="36">
        <f t="shared" si="4"/>
        <v>0.87090513742352094</v>
      </c>
      <c r="M14" s="36" t="e">
        <f t="shared" si="4"/>
        <v>#DIV/0!</v>
      </c>
      <c r="N14" s="36" t="e">
        <f t="shared" si="4"/>
        <v>#DIV/0!</v>
      </c>
      <c r="O14" s="537"/>
      <c r="P14" s="187">
        <f t="shared" si="5"/>
        <v>405968123</v>
      </c>
      <c r="Q14" s="187">
        <f t="shared" si="5"/>
        <v>-580968123</v>
      </c>
      <c r="R14" s="187">
        <f t="shared" si="5"/>
        <v>0</v>
      </c>
      <c r="S14" s="187">
        <f t="shared" si="6"/>
        <v>-175000000</v>
      </c>
      <c r="T14" s="188">
        <f t="shared" si="7"/>
        <v>-1</v>
      </c>
      <c r="U14" s="516"/>
      <c r="V14" s="263">
        <f t="shared" si="8"/>
        <v>0</v>
      </c>
    </row>
    <row r="15" spans="1:27" x14ac:dyDescent="0.2">
      <c r="A15" s="35" t="s">
        <v>270</v>
      </c>
      <c r="B15" s="545" t="s">
        <v>271</v>
      </c>
      <c r="C15" s="172">
        <f>+C60</f>
        <v>198244647</v>
      </c>
      <c r="D15" s="172">
        <f t="shared" ref="D15:E15" si="12">+D60</f>
        <v>198244647</v>
      </c>
      <c r="E15" s="172">
        <f t="shared" si="12"/>
        <v>0</v>
      </c>
      <c r="F15" s="172">
        <f t="shared" ref="F15" si="13">+F60</f>
        <v>0</v>
      </c>
      <c r="G15" s="537"/>
      <c r="H15" s="172">
        <f t="shared" ref="H15:J15" si="14">+H60</f>
        <v>110800513</v>
      </c>
      <c r="I15" s="172">
        <f t="shared" si="14"/>
        <v>0</v>
      </c>
      <c r="J15" s="172">
        <f t="shared" si="14"/>
        <v>0</v>
      </c>
      <c r="K15" s="172"/>
      <c r="L15" s="36">
        <f t="shared" si="4"/>
        <v>0.55890796889965966</v>
      </c>
      <c r="M15" s="36" t="e">
        <f t="shared" si="4"/>
        <v>#DIV/0!</v>
      </c>
      <c r="N15" s="36" t="e">
        <f t="shared" si="4"/>
        <v>#DIV/0!</v>
      </c>
      <c r="O15" s="537"/>
      <c r="P15" s="187">
        <f t="shared" si="5"/>
        <v>0</v>
      </c>
      <c r="Q15" s="187">
        <f t="shared" si="5"/>
        <v>-198244647</v>
      </c>
      <c r="R15" s="187">
        <f t="shared" si="5"/>
        <v>0</v>
      </c>
      <c r="S15" s="187">
        <f t="shared" si="6"/>
        <v>-198244647</v>
      </c>
      <c r="T15" s="188">
        <f t="shared" si="7"/>
        <v>-1</v>
      </c>
      <c r="U15" s="516"/>
      <c r="V15" s="263">
        <f t="shared" si="8"/>
        <v>0</v>
      </c>
    </row>
    <row r="16" spans="1:27" x14ac:dyDescent="0.2">
      <c r="A16" s="35" t="s">
        <v>284</v>
      </c>
      <c r="B16" s="545" t="s">
        <v>285</v>
      </c>
      <c r="C16" s="403">
        <f>+C72</f>
        <v>112396000</v>
      </c>
      <c r="D16" s="172">
        <f t="shared" ref="D16:E16" si="15">+D72</f>
        <v>111902000</v>
      </c>
      <c r="E16" s="172">
        <f t="shared" si="15"/>
        <v>0</v>
      </c>
      <c r="F16" s="172">
        <f t="shared" ref="F16" si="16">+F72</f>
        <v>0</v>
      </c>
      <c r="G16" s="537"/>
      <c r="H16" s="403">
        <f t="shared" ref="H16:J16" si="17">+H72</f>
        <v>77405545</v>
      </c>
      <c r="I16" s="403">
        <f t="shared" si="17"/>
        <v>0</v>
      </c>
      <c r="J16" s="172">
        <f t="shared" si="17"/>
        <v>0</v>
      </c>
      <c r="K16" s="172"/>
      <c r="L16" s="36">
        <f t="shared" si="4"/>
        <v>0.6917261979231828</v>
      </c>
      <c r="M16" s="36" t="e">
        <f t="shared" si="4"/>
        <v>#DIV/0!</v>
      </c>
      <c r="N16" s="36" t="e">
        <f t="shared" si="4"/>
        <v>#DIV/0!</v>
      </c>
      <c r="O16" s="537"/>
      <c r="P16" s="187">
        <f t="shared" si="5"/>
        <v>-494000</v>
      </c>
      <c r="Q16" s="187">
        <f t="shared" si="5"/>
        <v>-111902000</v>
      </c>
      <c r="R16" s="187">
        <f t="shared" si="5"/>
        <v>0</v>
      </c>
      <c r="S16" s="187">
        <f t="shared" si="6"/>
        <v>-112396000</v>
      </c>
      <c r="T16" s="188">
        <f t="shared" si="7"/>
        <v>-1</v>
      </c>
      <c r="U16" s="516"/>
      <c r="V16" s="263">
        <f t="shared" si="8"/>
        <v>0</v>
      </c>
    </row>
    <row r="17" spans="1:22" x14ac:dyDescent="0.2">
      <c r="A17" s="35" t="s">
        <v>311</v>
      </c>
      <c r="B17" s="545" t="s">
        <v>312</v>
      </c>
      <c r="C17" s="172">
        <f>+C84</f>
        <v>72638000</v>
      </c>
      <c r="D17" s="172">
        <f t="shared" ref="D17:E17" si="18">+D84</f>
        <v>72638000</v>
      </c>
      <c r="E17" s="172">
        <f t="shared" si="18"/>
        <v>0</v>
      </c>
      <c r="F17" s="172">
        <f t="shared" ref="F17" si="19">+F84</f>
        <v>0</v>
      </c>
      <c r="G17" s="537"/>
      <c r="H17" s="172">
        <f t="shared" ref="H17:J17" si="20">+H84</f>
        <v>16435054</v>
      </c>
      <c r="I17" s="172">
        <f t="shared" si="20"/>
        <v>0</v>
      </c>
      <c r="J17" s="172">
        <f t="shared" si="20"/>
        <v>0</v>
      </c>
      <c r="K17" s="172"/>
      <c r="L17" s="36">
        <f t="shared" si="4"/>
        <v>0.2262597263140505</v>
      </c>
      <c r="M17" s="36" t="e">
        <f t="shared" si="4"/>
        <v>#DIV/0!</v>
      </c>
      <c r="N17" s="36" t="e">
        <f t="shared" si="4"/>
        <v>#DIV/0!</v>
      </c>
      <c r="O17" s="537"/>
      <c r="P17" s="187">
        <f t="shared" si="5"/>
        <v>0</v>
      </c>
      <c r="Q17" s="187">
        <f t="shared" si="5"/>
        <v>-72638000</v>
      </c>
      <c r="R17" s="187">
        <f t="shared" si="5"/>
        <v>0</v>
      </c>
      <c r="S17" s="187">
        <f t="shared" si="6"/>
        <v>-72638000</v>
      </c>
      <c r="T17" s="188">
        <f t="shared" si="7"/>
        <v>-1</v>
      </c>
      <c r="U17" s="516"/>
      <c r="V17" s="263">
        <f t="shared" si="8"/>
        <v>0</v>
      </c>
    </row>
    <row r="18" spans="1:22" x14ac:dyDescent="0.2">
      <c r="A18" s="35" t="s">
        <v>321</v>
      </c>
      <c r="B18" s="545" t="s">
        <v>322</v>
      </c>
      <c r="C18" s="172">
        <f>+C96</f>
        <v>0</v>
      </c>
      <c r="D18" s="172">
        <f t="shared" ref="D18:E18" si="21">+D96</f>
        <v>0</v>
      </c>
      <c r="E18" s="172">
        <f t="shared" si="21"/>
        <v>0</v>
      </c>
      <c r="F18" s="172">
        <f t="shared" ref="F18" si="22">+F96</f>
        <v>0</v>
      </c>
      <c r="G18" s="537"/>
      <c r="H18" s="172">
        <f t="shared" ref="H18:J18" si="23">+H96</f>
        <v>100000</v>
      </c>
      <c r="I18" s="172">
        <f t="shared" si="23"/>
        <v>0</v>
      </c>
      <c r="J18" s="172">
        <f t="shared" si="23"/>
        <v>0</v>
      </c>
      <c r="K18" s="172"/>
      <c r="L18" s="36" t="e">
        <f t="shared" si="4"/>
        <v>#DIV/0!</v>
      </c>
      <c r="M18" s="36" t="e">
        <f t="shared" si="4"/>
        <v>#DIV/0!</v>
      </c>
      <c r="N18" s="36" t="e">
        <f t="shared" si="4"/>
        <v>#DIV/0!</v>
      </c>
      <c r="O18" s="537"/>
      <c r="P18" s="187">
        <f t="shared" si="5"/>
        <v>0</v>
      </c>
      <c r="Q18" s="187">
        <f t="shared" si="5"/>
        <v>0</v>
      </c>
      <c r="R18" s="187">
        <f t="shared" si="5"/>
        <v>0</v>
      </c>
      <c r="S18" s="187">
        <f t="shared" si="6"/>
        <v>0</v>
      </c>
      <c r="T18" s="188">
        <f t="shared" si="7"/>
        <v>0</v>
      </c>
      <c r="U18" s="516"/>
      <c r="V18" s="263">
        <f t="shared" si="8"/>
        <v>0</v>
      </c>
    </row>
    <row r="19" spans="1:22" x14ac:dyDescent="0.2">
      <c r="A19" s="35" t="s">
        <v>326</v>
      </c>
      <c r="B19" s="545" t="s">
        <v>327</v>
      </c>
      <c r="C19" s="172">
        <f>+C108</f>
        <v>0</v>
      </c>
      <c r="D19" s="172">
        <f t="shared" ref="D19:E19" si="24">+D108</f>
        <v>0</v>
      </c>
      <c r="E19" s="172">
        <f t="shared" si="24"/>
        <v>0</v>
      </c>
      <c r="F19" s="172">
        <f t="shared" ref="F19" si="25">+F108</f>
        <v>0</v>
      </c>
      <c r="G19" s="537"/>
      <c r="H19" s="172">
        <f t="shared" ref="H19:J19" si="26">+H108</f>
        <v>102000</v>
      </c>
      <c r="I19" s="172">
        <f t="shared" si="26"/>
        <v>0</v>
      </c>
      <c r="J19" s="172">
        <f t="shared" si="26"/>
        <v>0</v>
      </c>
      <c r="K19" s="172"/>
      <c r="L19" s="36" t="e">
        <f t="shared" si="4"/>
        <v>#DIV/0!</v>
      </c>
      <c r="M19" s="36" t="e">
        <f t="shared" si="4"/>
        <v>#DIV/0!</v>
      </c>
      <c r="N19" s="36" t="e">
        <f t="shared" si="4"/>
        <v>#DIV/0!</v>
      </c>
      <c r="O19" s="537"/>
      <c r="P19" s="187">
        <f t="shared" si="5"/>
        <v>0</v>
      </c>
      <c r="Q19" s="187">
        <f t="shared" si="5"/>
        <v>0</v>
      </c>
      <c r="R19" s="187">
        <f t="shared" si="5"/>
        <v>0</v>
      </c>
      <c r="S19" s="187">
        <f t="shared" si="6"/>
        <v>0</v>
      </c>
      <c r="T19" s="188">
        <f t="shared" si="7"/>
        <v>0</v>
      </c>
      <c r="U19" s="516"/>
      <c r="V19" s="263">
        <f t="shared" si="8"/>
        <v>0</v>
      </c>
    </row>
    <row r="20" spans="1:22" x14ac:dyDescent="0.2">
      <c r="A20" s="35" t="s">
        <v>333</v>
      </c>
      <c r="B20" s="545" t="s">
        <v>334</v>
      </c>
      <c r="C20" s="172">
        <f>+C120</f>
        <v>575059181</v>
      </c>
      <c r="D20" s="172">
        <f t="shared" ref="D20:J20" si="27">+D120</f>
        <v>595512181</v>
      </c>
      <c r="E20" s="172">
        <f t="shared" si="27"/>
        <v>0</v>
      </c>
      <c r="F20" s="172">
        <f t="shared" si="27"/>
        <v>0</v>
      </c>
      <c r="G20" s="537"/>
      <c r="H20" s="172">
        <f t="shared" si="27"/>
        <v>347273157</v>
      </c>
      <c r="I20" s="172">
        <f t="shared" si="27"/>
        <v>0</v>
      </c>
      <c r="J20" s="172">
        <f t="shared" si="27"/>
        <v>0</v>
      </c>
      <c r="K20" s="172"/>
      <c r="L20" s="36">
        <v>0</v>
      </c>
      <c r="M20" s="36">
        <v>0</v>
      </c>
      <c r="N20" s="36">
        <v>0</v>
      </c>
      <c r="O20" s="537"/>
      <c r="P20" s="172">
        <f t="shared" ref="P20:S20" si="28">+P120</f>
        <v>20453000</v>
      </c>
      <c r="Q20" s="172">
        <f t="shared" si="28"/>
        <v>-584179344</v>
      </c>
      <c r="R20" s="172">
        <f t="shared" si="28"/>
        <v>0</v>
      </c>
      <c r="S20" s="172">
        <f t="shared" si="28"/>
        <v>-563726344</v>
      </c>
      <c r="T20" s="188">
        <f t="shared" si="7"/>
        <v>-0.98029274659993648</v>
      </c>
      <c r="U20" s="516"/>
      <c r="V20" s="263">
        <f t="shared" si="8"/>
        <v>11332837</v>
      </c>
    </row>
    <row r="21" spans="1:22" x14ac:dyDescent="0.2">
      <c r="A21" s="35"/>
      <c r="B21" s="545" t="s">
        <v>454</v>
      </c>
      <c r="C21" s="172">
        <f>-C143</f>
        <v>-454166162</v>
      </c>
      <c r="D21" s="172">
        <f t="shared" ref="D21:J21" si="29">-D143</f>
        <v>-457619162</v>
      </c>
      <c r="E21" s="172">
        <f t="shared" si="29"/>
        <v>0</v>
      </c>
      <c r="F21" s="172">
        <f t="shared" si="29"/>
        <v>0</v>
      </c>
      <c r="G21" s="172"/>
      <c r="H21" s="172">
        <f t="shared" si="29"/>
        <v>-237712975</v>
      </c>
      <c r="I21" s="172">
        <f t="shared" si="29"/>
        <v>0</v>
      </c>
      <c r="J21" s="172">
        <f t="shared" si="29"/>
        <v>0</v>
      </c>
      <c r="K21" s="172"/>
      <c r="L21" s="36">
        <f>+H21/D21</f>
        <v>0.51945590294140698</v>
      </c>
      <c r="M21" s="36" t="e">
        <f>+I21/E21</f>
        <v>#DIV/0!</v>
      </c>
      <c r="N21" s="36" t="e">
        <f>+J21/F21</f>
        <v>#DIV/0!</v>
      </c>
      <c r="O21" s="537"/>
      <c r="P21" s="172">
        <f t="shared" ref="P21:S21" si="30">-P143</f>
        <v>-3453000</v>
      </c>
      <c r="Q21" s="172">
        <f t="shared" si="30"/>
        <v>457619162</v>
      </c>
      <c r="R21" s="172">
        <f t="shared" si="30"/>
        <v>0</v>
      </c>
      <c r="S21" s="172">
        <f t="shared" si="30"/>
        <v>454166162</v>
      </c>
      <c r="T21" s="188">
        <f t="shared" si="7"/>
        <v>-1</v>
      </c>
      <c r="U21" s="516"/>
      <c r="V21" s="263">
        <f t="shared" si="8"/>
        <v>0</v>
      </c>
    </row>
    <row r="22" spans="1:22" x14ac:dyDescent="0.2">
      <c r="A22" s="12"/>
      <c r="B22" s="546" t="s">
        <v>377</v>
      </c>
      <c r="C22" s="176">
        <f>SUM(C13:C21)</f>
        <v>1256317924</v>
      </c>
      <c r="D22" s="176">
        <f>SUM(D13:D21)</f>
        <v>1690615637</v>
      </c>
      <c r="E22" s="176">
        <f>SUM(E13:E21)</f>
        <v>0</v>
      </c>
      <c r="F22" s="176">
        <f>SUM(F13:F21)</f>
        <v>0</v>
      </c>
      <c r="G22" s="538"/>
      <c r="H22" s="176">
        <f>SUM(H13:H21)</f>
        <v>1130876173</v>
      </c>
      <c r="I22" s="176">
        <f>SUM(I13:I21)</f>
        <v>0</v>
      </c>
      <c r="J22" s="176">
        <f>SUM(J13:J21)</f>
        <v>0</v>
      </c>
      <c r="K22" s="176"/>
      <c r="L22" s="34">
        <f>H22/D22</f>
        <v>0.66891382538419053</v>
      </c>
      <c r="M22" s="34" t="e">
        <f>I22/E22</f>
        <v>#DIV/0!</v>
      </c>
      <c r="N22" s="34" t="e">
        <f>J22/F22</f>
        <v>#DIV/0!</v>
      </c>
      <c r="O22" s="538"/>
      <c r="P22" s="176">
        <f>SUM(P13:P21)</f>
        <v>434297713</v>
      </c>
      <c r="Q22" s="176">
        <f>SUM(Q13:Q21)</f>
        <v>-1679282800</v>
      </c>
      <c r="R22" s="176">
        <f>SUM(R13:R21)</f>
        <v>0</v>
      </c>
      <c r="S22" s="176">
        <f>SUM(S13:S21)</f>
        <v>-1244985087</v>
      </c>
      <c r="T22" s="188">
        <f t="shared" si="7"/>
        <v>-0.99097932395653698</v>
      </c>
      <c r="U22" s="517"/>
      <c r="V22" s="263">
        <f t="shared" si="8"/>
        <v>11332837</v>
      </c>
    </row>
    <row r="23" spans="1:22" x14ac:dyDescent="0.2">
      <c r="A23" s="35"/>
      <c r="B23" s="547" t="s">
        <v>414</v>
      </c>
      <c r="C23" s="190"/>
      <c r="D23" s="190"/>
      <c r="E23" s="190"/>
      <c r="F23" s="190"/>
      <c r="G23" s="539"/>
      <c r="H23" s="190"/>
      <c r="I23" s="190"/>
      <c r="J23" s="190"/>
      <c r="K23" s="190"/>
      <c r="L23" s="397"/>
      <c r="M23" s="397"/>
      <c r="N23" s="397"/>
      <c r="O23" s="539"/>
      <c r="P23" s="190"/>
      <c r="Q23" s="190"/>
      <c r="R23" s="190"/>
      <c r="S23" s="190"/>
      <c r="T23" s="188">
        <f t="shared" si="7"/>
        <v>0</v>
      </c>
      <c r="U23" s="518"/>
      <c r="V23" s="263">
        <f t="shared" si="8"/>
        <v>0</v>
      </c>
    </row>
    <row r="24" spans="1:22" x14ac:dyDescent="0.2">
      <c r="C24" s="529"/>
      <c r="D24" s="76"/>
      <c r="E24" s="76"/>
      <c r="F24" s="555"/>
      <c r="G24" s="76"/>
      <c r="H24" s="529"/>
      <c r="K24" s="76"/>
      <c r="L24" s="93"/>
      <c r="M24" s="93"/>
      <c r="N24" s="530"/>
      <c r="O24" s="76"/>
      <c r="P24" s="529"/>
      <c r="Q24" s="75"/>
      <c r="R24" s="75"/>
      <c r="S24" s="75"/>
      <c r="T24" s="530"/>
      <c r="U24" s="76"/>
    </row>
    <row r="25" spans="1:22" x14ac:dyDescent="0.2">
      <c r="C25" s="529"/>
      <c r="D25" s="76"/>
      <c r="E25" s="76"/>
      <c r="F25" s="555"/>
      <c r="G25" s="76"/>
      <c r="H25" s="541"/>
      <c r="I25" s="238"/>
      <c r="K25" s="76"/>
      <c r="L25" s="93"/>
      <c r="M25" s="93"/>
      <c r="N25" s="530"/>
      <c r="O25" s="76"/>
      <c r="P25" s="529"/>
      <c r="Q25" s="75"/>
      <c r="R25" s="75"/>
      <c r="S25" s="75"/>
      <c r="T25" s="530"/>
      <c r="U25" s="76"/>
    </row>
    <row r="26" spans="1:22" x14ac:dyDescent="0.2">
      <c r="C26" s="529"/>
      <c r="D26" s="76"/>
      <c r="E26" s="76"/>
      <c r="F26" s="555"/>
      <c r="G26" s="76"/>
      <c r="H26" s="541"/>
      <c r="I26" s="239"/>
      <c r="K26" s="76"/>
      <c r="L26" s="93"/>
      <c r="M26" s="93"/>
      <c r="N26" s="530"/>
      <c r="O26" s="76"/>
      <c r="P26" s="529"/>
      <c r="Q26" s="75"/>
      <c r="R26" s="75"/>
      <c r="S26" s="75"/>
      <c r="T26" s="530"/>
      <c r="U26" s="76"/>
    </row>
    <row r="27" spans="1:22" x14ac:dyDescent="0.2">
      <c r="A27" s="346" t="s">
        <v>241</v>
      </c>
      <c r="B27" s="346" t="str">
        <f>+B13</f>
        <v>Működési célú tám-ok államháztartáson belülről</v>
      </c>
      <c r="C27" s="529"/>
      <c r="D27" s="76"/>
      <c r="E27" s="76"/>
      <c r="F27" s="555"/>
      <c r="G27" s="76"/>
      <c r="H27" s="529"/>
      <c r="K27" s="76"/>
      <c r="L27" s="93"/>
      <c r="M27" s="93"/>
      <c r="N27" s="530"/>
      <c r="O27" s="76"/>
      <c r="P27" s="529"/>
      <c r="Q27" s="75"/>
      <c r="R27" s="75"/>
      <c r="S27" s="75"/>
      <c r="T27" s="530"/>
      <c r="U27" s="76"/>
    </row>
    <row r="28" spans="1:22" x14ac:dyDescent="0.2">
      <c r="B28" s="22" t="str">
        <f>+'3. Önk. Kiadások'!A1</f>
        <v>Sülysáp Város Önkormányzat</v>
      </c>
      <c r="C28" s="529">
        <f>+' 2. Önk. Bevételek'!C13</f>
        <v>577146258</v>
      </c>
      <c r="D28" s="75">
        <f>+' 2. Önk. Bevételek'!D13</f>
        <v>588469848</v>
      </c>
      <c r="E28" s="75">
        <f>+' 2. Önk. Bevételek'!E13</f>
        <v>0</v>
      </c>
      <c r="F28" s="489">
        <f>+' 2. Önk. Bevételek'!F13</f>
        <v>0</v>
      </c>
      <c r="G28" s="75">
        <f>+'3. Önk. Kiadások'!G13</f>
        <v>0</v>
      </c>
      <c r="H28" s="529">
        <f>+' 2. Önk. Bevételek'!H13</f>
        <v>310092946</v>
      </c>
      <c r="I28" s="75">
        <f>+' 2. Önk. Bevételek'!I13</f>
        <v>0</v>
      </c>
      <c r="J28" s="75">
        <f>+' 2. Önk. Bevételek'!J13</f>
        <v>0</v>
      </c>
      <c r="K28" s="75"/>
      <c r="L28" s="75"/>
      <c r="M28" s="75"/>
      <c r="N28" s="489"/>
      <c r="O28" s="75"/>
      <c r="P28" s="529">
        <f>+' 2. Önk. Bevételek'!P13</f>
        <v>11323590</v>
      </c>
      <c r="Q28" s="75">
        <f>+' 2. Önk. Bevételek'!Q13</f>
        <v>-588469848</v>
      </c>
      <c r="R28" s="75">
        <f>+' 2. Önk. Bevételek'!R13</f>
        <v>0</v>
      </c>
      <c r="S28" s="75">
        <f>+' 2. Önk. Bevételek'!S13</f>
        <v>-577146258</v>
      </c>
      <c r="T28" s="530"/>
      <c r="U28" s="76"/>
    </row>
    <row r="29" spans="1:22" x14ac:dyDescent="0.2">
      <c r="B29" s="58" t="str">
        <f>+'4. Dr Gáspár HSZK'!A1</f>
        <v>Dr. Gáspár István HSZK</v>
      </c>
      <c r="C29" s="529">
        <f>+'4. Dr Gáspár HSZK'!C93</f>
        <v>0</v>
      </c>
      <c r="D29" s="75">
        <f>+'4. Dr Gáspár HSZK'!D93</f>
        <v>0</v>
      </c>
      <c r="E29" s="75">
        <f>+'4. Dr Gáspár HSZK'!E93</f>
        <v>0</v>
      </c>
      <c r="F29" s="489">
        <f>+'4. Dr Gáspár HSZK'!F93</f>
        <v>0</v>
      </c>
      <c r="G29" s="75"/>
      <c r="H29" s="529">
        <f>+'4. Dr Gáspár HSZK'!H93</f>
        <v>0</v>
      </c>
      <c r="I29" s="75">
        <f>+'4. Dr Gáspár HSZK'!I93</f>
        <v>0</v>
      </c>
      <c r="J29" s="75">
        <f>+'4. Dr Gáspár HSZK'!J93</f>
        <v>0</v>
      </c>
      <c r="K29" s="75"/>
      <c r="L29" s="75"/>
      <c r="M29" s="75"/>
      <c r="N29" s="489"/>
      <c r="O29" s="75"/>
      <c r="P29" s="529">
        <f>+'4. Dr Gáspár HSZK'!P93</f>
        <v>0</v>
      </c>
      <c r="Q29" s="75">
        <f>+'4. Dr Gáspár HSZK'!Q93</f>
        <v>0</v>
      </c>
      <c r="R29" s="75">
        <f>+'4. Dr Gáspár HSZK'!R93</f>
        <v>0</v>
      </c>
      <c r="S29" s="75">
        <f>+'4. Dr Gáspár HSZK'!S93</f>
        <v>0</v>
      </c>
      <c r="T29" s="530"/>
      <c r="U29" s="76"/>
    </row>
    <row r="30" spans="1:22" x14ac:dyDescent="0.2">
      <c r="B30" s="58" t="str">
        <f>+'5. Csicsergő'!A1</f>
        <v>SÜLYSÁPI CSICSERGŐ ÓVODA</v>
      </c>
      <c r="C30" s="529">
        <f>+'5. Csicsergő'!C93</f>
        <v>0</v>
      </c>
      <c r="D30" s="75">
        <f>+'5. Csicsergő'!D93</f>
        <v>0</v>
      </c>
      <c r="E30" s="75">
        <f>+'5. Csicsergő'!E93</f>
        <v>0</v>
      </c>
      <c r="F30" s="489">
        <f>+'5. Csicsergő'!F93</f>
        <v>0</v>
      </c>
      <c r="G30" s="75"/>
      <c r="H30" s="529">
        <f>+'5. Csicsergő'!H93</f>
        <v>0</v>
      </c>
      <c r="I30" s="75">
        <f>+'5. Csicsergő'!I93</f>
        <v>0</v>
      </c>
      <c r="J30" s="75">
        <f>+'5. Csicsergő'!J93</f>
        <v>0</v>
      </c>
      <c r="K30" s="75"/>
      <c r="L30" s="75"/>
      <c r="M30" s="75"/>
      <c r="N30" s="489"/>
      <c r="O30" s="75"/>
      <c r="P30" s="529">
        <f>+'5. Csicsergő'!P93</f>
        <v>0</v>
      </c>
      <c r="Q30" s="75">
        <f>+'5. Csicsergő'!Q93</f>
        <v>0</v>
      </c>
      <c r="R30" s="75">
        <f>+'5. Csicsergő'!R93</f>
        <v>0</v>
      </c>
      <c r="S30" s="75">
        <f>+'5. Csicsergő'!S93</f>
        <v>0</v>
      </c>
      <c r="T30" s="530"/>
      <c r="U30" s="76"/>
    </row>
    <row r="31" spans="1:22" x14ac:dyDescent="0.2">
      <c r="B31" s="22" t="str">
        <f>+'6. Gólyahír'!A1</f>
        <v>GÓLYAHÍR BÖLCSŐDE</v>
      </c>
      <c r="C31" s="529">
        <f>+'6. Gólyahír'!C93</f>
        <v>0</v>
      </c>
      <c r="D31" s="75">
        <f>+'6. Gólyahír'!D93</f>
        <v>0</v>
      </c>
      <c r="E31" s="75">
        <f>+'6. Gólyahír'!E93</f>
        <v>0</v>
      </c>
      <c r="F31" s="489">
        <f>+'6. Gólyahír'!F93</f>
        <v>0</v>
      </c>
      <c r="G31" s="75"/>
      <c r="H31" s="529">
        <f>+'6. Gólyahír'!H93</f>
        <v>0</v>
      </c>
      <c r="I31" s="75">
        <f>+'6. Gólyahír'!I93</f>
        <v>0</v>
      </c>
      <c r="J31" s="75">
        <f>+'6. Gólyahír'!J93</f>
        <v>0</v>
      </c>
      <c r="K31" s="75"/>
      <c r="L31" s="75"/>
      <c r="M31" s="75"/>
      <c r="N31" s="489"/>
      <c r="O31" s="75"/>
      <c r="P31" s="529">
        <f>+'6. Gólyahír'!P93</f>
        <v>0</v>
      </c>
      <c r="Q31" s="75">
        <f>+'6. Gólyahír'!Q93</f>
        <v>0</v>
      </c>
      <c r="R31" s="75">
        <f>+'6. Gólyahír'!R93</f>
        <v>0</v>
      </c>
      <c r="S31" s="75">
        <f>+'6. Gólyahír'!S93</f>
        <v>0</v>
      </c>
      <c r="T31" s="530"/>
      <c r="U31" s="76"/>
    </row>
    <row r="32" spans="1:22" x14ac:dyDescent="0.2">
      <c r="B32" s="75" t="str">
        <f>+'7. Polg.Hiv.'!A1</f>
        <v>POLGÁRMESTERI HIVATAL</v>
      </c>
      <c r="C32" s="529">
        <f>+'7. Polg.Hiv.'!C93</f>
        <v>0</v>
      </c>
      <c r="D32" s="75">
        <f>+'7. Polg.Hiv.'!D93</f>
        <v>0</v>
      </c>
      <c r="E32" s="75">
        <f>+'7. Polg.Hiv.'!E93</f>
        <v>0</v>
      </c>
      <c r="F32" s="489">
        <f>+'7. Polg.Hiv.'!F93</f>
        <v>0</v>
      </c>
      <c r="G32" s="75"/>
      <c r="H32" s="529">
        <f>+'7. Polg.Hiv.'!H93</f>
        <v>0</v>
      </c>
      <c r="I32" s="75">
        <f>+'7. Polg.Hiv.'!I93</f>
        <v>0</v>
      </c>
      <c r="J32" s="75">
        <f>+'7. Polg.Hiv.'!J93</f>
        <v>0</v>
      </c>
      <c r="K32" s="75"/>
      <c r="L32" s="75"/>
      <c r="M32" s="75"/>
      <c r="N32" s="489"/>
      <c r="O32" s="75"/>
      <c r="P32" s="529">
        <f>+'7. Polg.Hiv.'!P93</f>
        <v>0</v>
      </c>
      <c r="Q32" s="75">
        <f>+'7. Polg.Hiv.'!Q93</f>
        <v>0</v>
      </c>
      <c r="R32" s="75">
        <f>+'7. Polg.Hiv.'!R93</f>
        <v>0</v>
      </c>
      <c r="S32" s="75">
        <f>+'7. Polg.Hiv.'!S93</f>
        <v>0</v>
      </c>
      <c r="T32" s="530"/>
      <c r="U32" s="76"/>
    </row>
    <row r="33" spans="1:21" x14ac:dyDescent="0.2">
      <c r="B33" s="75" t="str">
        <f>+'8. WAMKK'!A1</f>
        <v>Wass Albert Művelődési Központ és Könyvtár</v>
      </c>
      <c r="C33" s="529">
        <f>+'8. WAMKK'!C93</f>
        <v>0</v>
      </c>
      <c r="D33" s="75">
        <f>+'8. WAMKK'!D93</f>
        <v>0</v>
      </c>
      <c r="E33" s="75">
        <f>+'8. WAMKK'!E93</f>
        <v>0</v>
      </c>
      <c r="F33" s="489">
        <f>+'8. WAMKK'!F93</f>
        <v>0</v>
      </c>
      <c r="G33" s="75"/>
      <c r="H33" s="529">
        <f>+'8. WAMKK'!H93</f>
        <v>0</v>
      </c>
      <c r="I33" s="75">
        <f>+'8. WAMKK'!I93</f>
        <v>0</v>
      </c>
      <c r="J33" s="75">
        <f>+'8. WAMKK'!J93</f>
        <v>0</v>
      </c>
      <c r="K33" s="75"/>
      <c r="L33" s="75"/>
      <c r="M33" s="75"/>
      <c r="N33" s="489"/>
      <c r="O33" s="75"/>
      <c r="P33" s="529">
        <f>+'8. WAMKK'!P93</f>
        <v>0</v>
      </c>
      <c r="Q33" s="75">
        <f>+'8. WAMKK'!Q93</f>
        <v>0</v>
      </c>
      <c r="R33" s="75">
        <f>+'8. WAMKK'!R93</f>
        <v>0</v>
      </c>
      <c r="S33" s="75">
        <f>+'8. WAMKK'!S93</f>
        <v>0</v>
      </c>
      <c r="T33" s="530"/>
      <c r="U33" s="76"/>
    </row>
    <row r="34" spans="1:21" x14ac:dyDescent="0.2">
      <c r="B34" s="75" t="str">
        <f>+'9. Közp. Konyha'!A1</f>
        <v>Központi Konyha</v>
      </c>
      <c r="C34" s="529">
        <f>+'9. Közp. Konyha'!C93</f>
        <v>0</v>
      </c>
      <c r="D34" s="75">
        <f>+'9. Közp. Konyha'!D93</f>
        <v>500000</v>
      </c>
      <c r="E34" s="75">
        <f>+'9. Közp. Konyha'!E93</f>
        <v>0</v>
      </c>
      <c r="F34" s="489">
        <f>+'9. Közp. Konyha'!F93</f>
        <v>0</v>
      </c>
      <c r="G34" s="75"/>
      <c r="H34" s="529">
        <f>+'9. Közp. Konyha'!H93</f>
        <v>411810</v>
      </c>
      <c r="I34" s="75">
        <f>+'9. Közp. Konyha'!I93</f>
        <v>0</v>
      </c>
      <c r="J34" s="75">
        <f>+'9. Közp. Konyha'!J93</f>
        <v>0</v>
      </c>
      <c r="K34" s="75"/>
      <c r="L34" s="75"/>
      <c r="M34" s="75"/>
      <c r="N34" s="489"/>
      <c r="O34" s="75"/>
      <c r="P34" s="529">
        <f>+'9. Közp. Konyha'!P93</f>
        <v>500000</v>
      </c>
      <c r="Q34" s="75">
        <f>+'9. Közp. Konyha'!Q93</f>
        <v>-500000</v>
      </c>
      <c r="R34" s="75">
        <f>+'9. Közp. Konyha'!R93</f>
        <v>0</v>
      </c>
      <c r="S34" s="75">
        <f>+'9. Közp. Konyha'!S93</f>
        <v>0</v>
      </c>
      <c r="T34" s="530"/>
      <c r="U34" s="76"/>
    </row>
    <row r="35" spans="1:21" ht="8.1" customHeight="1" x14ac:dyDescent="0.2">
      <c r="B35" s="413" t="s">
        <v>459</v>
      </c>
      <c r="C35" s="531"/>
      <c r="D35" s="412"/>
      <c r="E35" s="412"/>
      <c r="F35" s="542"/>
      <c r="G35" s="412"/>
      <c r="H35" s="531"/>
      <c r="I35" s="412"/>
      <c r="J35" s="412"/>
      <c r="K35" s="412"/>
      <c r="L35" s="412"/>
      <c r="M35" s="412"/>
      <c r="N35" s="542"/>
      <c r="O35" s="412"/>
      <c r="P35" s="531"/>
      <c r="Q35" s="412"/>
      <c r="R35" s="412"/>
      <c r="S35" s="412"/>
      <c r="T35" s="530"/>
      <c r="U35" s="76"/>
    </row>
    <row r="36" spans="1:21" x14ac:dyDescent="0.2">
      <c r="A36" s="414" t="str">
        <f>+A27</f>
        <v>B1</v>
      </c>
      <c r="B36" s="394" t="s">
        <v>452</v>
      </c>
      <c r="C36" s="532">
        <f>SUM(C28:C35)</f>
        <v>577146258</v>
      </c>
      <c r="D36" s="395">
        <f t="shared" ref="D36" si="31">SUM(D28:D35)</f>
        <v>588969848</v>
      </c>
      <c r="E36" s="395">
        <f t="shared" ref="E36" si="32">SUM(E28:E35)</f>
        <v>0</v>
      </c>
      <c r="F36" s="543">
        <f t="shared" ref="F36" si="33">SUM(F28:F35)</f>
        <v>0</v>
      </c>
      <c r="G36" s="395"/>
      <c r="H36" s="532">
        <f>SUM(H28:H35)</f>
        <v>310504756</v>
      </c>
      <c r="I36" s="395">
        <f t="shared" ref="I36" si="34">SUM(I28:I35)</f>
        <v>0</v>
      </c>
      <c r="J36" s="395">
        <f t="shared" ref="J36" si="35">SUM(J28:J35)</f>
        <v>0</v>
      </c>
      <c r="K36" s="395"/>
      <c r="L36" s="395"/>
      <c r="M36" s="395"/>
      <c r="N36" s="543"/>
      <c r="O36" s="395"/>
      <c r="P36" s="532">
        <f>SUM(P28:P35)</f>
        <v>11823590</v>
      </c>
      <c r="Q36" s="395">
        <f t="shared" ref="Q36" si="36">SUM(Q28:Q35)</f>
        <v>-588969848</v>
      </c>
      <c r="R36" s="395">
        <f t="shared" ref="R36" si="37">SUM(R28:R35)</f>
        <v>0</v>
      </c>
      <c r="S36" s="395">
        <f t="shared" ref="S36" si="38">SUM(S28:S35)</f>
        <v>-577146258</v>
      </c>
      <c r="T36" s="530"/>
      <c r="U36" s="76"/>
    </row>
    <row r="37" spans="1:21" x14ac:dyDescent="0.2">
      <c r="C37" s="529"/>
      <c r="D37" s="76"/>
      <c r="E37" s="76"/>
      <c r="F37" s="555"/>
      <c r="G37" s="76"/>
      <c r="H37" s="529"/>
      <c r="K37" s="76"/>
      <c r="L37" s="93"/>
      <c r="M37" s="93"/>
      <c r="N37" s="530"/>
      <c r="O37" s="76"/>
      <c r="P37" s="529"/>
      <c r="Q37" s="75"/>
      <c r="R37" s="75"/>
      <c r="S37" s="75"/>
      <c r="T37" s="530"/>
      <c r="U37" s="76"/>
    </row>
    <row r="38" spans="1:21" x14ac:dyDescent="0.2">
      <c r="C38" s="529"/>
      <c r="D38" s="76"/>
      <c r="E38" s="76"/>
      <c r="F38" s="555"/>
      <c r="G38" s="76"/>
      <c r="H38" s="529"/>
      <c r="K38" s="76"/>
      <c r="L38" s="93"/>
      <c r="M38" s="93"/>
      <c r="N38" s="530"/>
      <c r="O38" s="76"/>
      <c r="P38" s="529"/>
      <c r="Q38" s="75"/>
      <c r="R38" s="75"/>
      <c r="S38" s="75"/>
      <c r="T38" s="530"/>
      <c r="U38" s="76"/>
    </row>
    <row r="39" spans="1:21" x14ac:dyDescent="0.2">
      <c r="A39" s="346" t="s">
        <v>262</v>
      </c>
      <c r="B39" s="346" t="str">
        <f>+B14</f>
        <v>Felhalmozási célú tám-ok államházt-on belülről</v>
      </c>
      <c r="C39" s="529"/>
      <c r="D39" s="76"/>
      <c r="E39" s="76"/>
      <c r="F39" s="555"/>
      <c r="G39" s="76"/>
      <c r="H39" s="529"/>
      <c r="K39" s="76"/>
      <c r="L39" s="93"/>
      <c r="M39" s="93"/>
      <c r="N39" s="530"/>
      <c r="O39" s="76"/>
      <c r="P39" s="529"/>
      <c r="Q39" s="75"/>
      <c r="R39" s="75"/>
      <c r="S39" s="75"/>
      <c r="T39" s="530"/>
      <c r="U39" s="76"/>
    </row>
    <row r="40" spans="1:21" x14ac:dyDescent="0.2">
      <c r="B40" s="58" t="str">
        <f t="shared" ref="B40:B46" si="39">+B28</f>
        <v>Sülysáp Város Önkormányzat</v>
      </c>
      <c r="C40" s="529">
        <f>+' 2. Önk. Bevételek'!C30</f>
        <v>175000000</v>
      </c>
      <c r="D40" s="75">
        <f>+' 2. Önk. Bevételek'!D30</f>
        <v>580968123</v>
      </c>
      <c r="E40" s="75">
        <f>+' 2. Önk. Bevételek'!E30</f>
        <v>0</v>
      </c>
      <c r="F40" s="489">
        <f>+' 2. Önk. Bevételek'!F30</f>
        <v>0</v>
      </c>
      <c r="G40" s="76"/>
      <c r="H40" s="529">
        <f>+' 2. Önk. Bevételek'!H30</f>
        <v>505968123</v>
      </c>
      <c r="I40" s="75">
        <f>+' 2. Önk. Bevételek'!I30</f>
        <v>0</v>
      </c>
      <c r="J40" s="75">
        <f>+' 2. Önk. Bevételek'!J30</f>
        <v>0</v>
      </c>
      <c r="K40" s="76"/>
      <c r="L40" s="93"/>
      <c r="M40" s="93"/>
      <c r="N40" s="530"/>
      <c r="O40" s="76"/>
      <c r="P40" s="529">
        <f>+' 2. Önk. Bevételek'!P30</f>
        <v>405968123</v>
      </c>
      <c r="Q40" s="75">
        <f>+' 2. Önk. Bevételek'!Q30</f>
        <v>-580968123</v>
      </c>
      <c r="R40" s="75">
        <f>+' 2. Önk. Bevételek'!R30</f>
        <v>0</v>
      </c>
      <c r="S40" s="75">
        <f>+' 2. Önk. Bevételek'!S30</f>
        <v>-175000000</v>
      </c>
      <c r="T40" s="530"/>
      <c r="U40" s="76"/>
    </row>
    <row r="41" spans="1:21" x14ac:dyDescent="0.2">
      <c r="B41" s="58" t="str">
        <f t="shared" si="39"/>
        <v>Dr. Gáspár István HSZK</v>
      </c>
      <c r="C41" s="529"/>
      <c r="D41" s="75"/>
      <c r="E41" s="75"/>
      <c r="F41" s="489"/>
      <c r="G41" s="75"/>
      <c r="H41" s="529"/>
      <c r="I41" s="75"/>
      <c r="J41" s="75"/>
      <c r="K41" s="75"/>
      <c r="L41" s="75"/>
      <c r="M41" s="75"/>
      <c r="N41" s="489"/>
      <c r="O41" s="75"/>
      <c r="P41" s="529"/>
      <c r="Q41" s="75"/>
      <c r="R41" s="75"/>
      <c r="S41" s="75"/>
      <c r="T41" s="530"/>
      <c r="U41" s="76"/>
    </row>
    <row r="42" spans="1:21" x14ac:dyDescent="0.2">
      <c r="B42" s="58" t="str">
        <f t="shared" si="39"/>
        <v>SÜLYSÁPI CSICSERGŐ ÓVODA</v>
      </c>
      <c r="C42" s="529"/>
      <c r="D42" s="75"/>
      <c r="E42" s="75"/>
      <c r="F42" s="489"/>
      <c r="G42" s="75"/>
      <c r="H42" s="529"/>
      <c r="I42" s="75"/>
      <c r="J42" s="75"/>
      <c r="K42" s="75"/>
      <c r="L42" s="75"/>
      <c r="M42" s="75"/>
      <c r="N42" s="489"/>
      <c r="O42" s="75"/>
      <c r="P42" s="529"/>
      <c r="Q42" s="75"/>
      <c r="R42" s="75"/>
      <c r="S42" s="75"/>
      <c r="T42" s="530"/>
      <c r="U42" s="76"/>
    </row>
    <row r="43" spans="1:21" x14ac:dyDescent="0.2">
      <c r="B43" s="58" t="str">
        <f t="shared" si="39"/>
        <v>GÓLYAHÍR BÖLCSŐDE</v>
      </c>
      <c r="C43" s="529"/>
      <c r="D43" s="75"/>
      <c r="E43" s="75"/>
      <c r="F43" s="489"/>
      <c r="G43" s="75"/>
      <c r="H43" s="529"/>
      <c r="I43" s="75"/>
      <c r="J43" s="75"/>
      <c r="K43" s="75"/>
      <c r="L43" s="75"/>
      <c r="M43" s="75"/>
      <c r="N43" s="489"/>
      <c r="O43" s="75"/>
      <c r="P43" s="529"/>
      <c r="Q43" s="75"/>
      <c r="R43" s="75"/>
      <c r="S43" s="75"/>
      <c r="T43" s="530"/>
      <c r="U43" s="76"/>
    </row>
    <row r="44" spans="1:21" x14ac:dyDescent="0.2">
      <c r="B44" s="58" t="str">
        <f t="shared" si="39"/>
        <v>POLGÁRMESTERI HIVATAL</v>
      </c>
      <c r="C44" s="529"/>
      <c r="D44" s="75"/>
      <c r="E44" s="75"/>
      <c r="F44" s="489"/>
      <c r="G44" s="75"/>
      <c r="H44" s="529"/>
      <c r="I44" s="75"/>
      <c r="J44" s="75"/>
      <c r="K44" s="75"/>
      <c r="L44" s="75"/>
      <c r="M44" s="75"/>
      <c r="N44" s="489"/>
      <c r="O44" s="75"/>
      <c r="P44" s="529"/>
      <c r="Q44" s="75"/>
      <c r="R44" s="75"/>
      <c r="S44" s="75"/>
      <c r="T44" s="530"/>
      <c r="U44" s="76"/>
    </row>
    <row r="45" spans="1:21" x14ac:dyDescent="0.2">
      <c r="B45" s="58" t="str">
        <f t="shared" si="39"/>
        <v>Wass Albert Művelődési Központ és Könyvtár</v>
      </c>
      <c r="C45" s="529"/>
      <c r="D45" s="75"/>
      <c r="E45" s="75"/>
      <c r="F45" s="489"/>
      <c r="G45" s="75"/>
      <c r="H45" s="529"/>
      <c r="I45" s="75"/>
      <c r="J45" s="75"/>
      <c r="K45" s="75"/>
      <c r="L45" s="75"/>
      <c r="M45" s="75"/>
      <c r="N45" s="489"/>
      <c r="O45" s="75"/>
      <c r="P45" s="529"/>
      <c r="Q45" s="75"/>
      <c r="R45" s="75"/>
      <c r="S45" s="75"/>
      <c r="T45" s="530"/>
      <c r="U45" s="76"/>
    </row>
    <row r="46" spans="1:21" x14ac:dyDescent="0.2">
      <c r="B46" s="58" t="str">
        <f t="shared" si="39"/>
        <v>Központi Konyha</v>
      </c>
      <c r="C46" s="529"/>
      <c r="D46" s="75"/>
      <c r="E46" s="75"/>
      <c r="F46" s="489"/>
      <c r="G46" s="75"/>
      <c r="H46" s="529"/>
      <c r="I46" s="75"/>
      <c r="J46" s="75"/>
      <c r="K46" s="75"/>
      <c r="L46" s="75"/>
      <c r="M46" s="75"/>
      <c r="N46" s="489"/>
      <c r="O46" s="75"/>
      <c r="P46" s="529"/>
      <c r="Q46" s="75"/>
      <c r="R46" s="75"/>
      <c r="S46" s="75"/>
      <c r="T46" s="530"/>
      <c r="U46" s="76"/>
    </row>
    <row r="47" spans="1:21" ht="8.1" customHeight="1" x14ac:dyDescent="0.2">
      <c r="B47" s="413" t="s">
        <v>459</v>
      </c>
      <c r="C47" s="531"/>
      <c r="D47" s="412"/>
      <c r="E47" s="412"/>
      <c r="F47" s="542"/>
      <c r="G47" s="412"/>
      <c r="H47" s="531"/>
      <c r="I47" s="412"/>
      <c r="J47" s="412"/>
      <c r="K47" s="412"/>
      <c r="L47" s="412"/>
      <c r="M47" s="412"/>
      <c r="N47" s="542"/>
      <c r="O47" s="412"/>
      <c r="P47" s="531"/>
      <c r="Q47" s="412"/>
      <c r="R47" s="412"/>
      <c r="S47" s="412"/>
      <c r="T47" s="530"/>
      <c r="U47" s="76"/>
    </row>
    <row r="48" spans="1:21" x14ac:dyDescent="0.2">
      <c r="A48" s="414" t="str">
        <f>+A39</f>
        <v>B2</v>
      </c>
      <c r="B48" s="394" t="s">
        <v>452</v>
      </c>
      <c r="C48" s="532">
        <f>SUM(C40:C47)</f>
        <v>175000000</v>
      </c>
      <c r="D48" s="395">
        <f t="shared" ref="D48" si="40">SUM(D40:D47)</f>
        <v>580968123</v>
      </c>
      <c r="E48" s="395">
        <f t="shared" ref="E48" si="41">SUM(E40:E47)</f>
        <v>0</v>
      </c>
      <c r="F48" s="543">
        <f t="shared" ref="F48" si="42">SUM(F40:F47)</f>
        <v>0</v>
      </c>
      <c r="G48" s="395"/>
      <c r="H48" s="532">
        <f>SUM(H40:H47)</f>
        <v>505968123</v>
      </c>
      <c r="I48" s="395">
        <f t="shared" ref="I48" si="43">SUM(I40:I47)</f>
        <v>0</v>
      </c>
      <c r="J48" s="395">
        <f t="shared" ref="J48" si="44">SUM(J40:J47)</f>
        <v>0</v>
      </c>
      <c r="K48" s="395"/>
      <c r="L48" s="395"/>
      <c r="M48" s="395"/>
      <c r="N48" s="543"/>
      <c r="O48" s="395"/>
      <c r="P48" s="532">
        <f>SUM(P40:P47)</f>
        <v>405968123</v>
      </c>
      <c r="Q48" s="395">
        <f t="shared" ref="Q48" si="45">SUM(Q40:Q47)</f>
        <v>-580968123</v>
      </c>
      <c r="R48" s="395">
        <f t="shared" ref="R48" si="46">SUM(R40:R47)</f>
        <v>0</v>
      </c>
      <c r="S48" s="395">
        <f t="shared" ref="S48" si="47">SUM(S40:S47)</f>
        <v>-175000000</v>
      </c>
      <c r="T48" s="530"/>
      <c r="U48" s="76"/>
    </row>
    <row r="49" spans="1:21" x14ac:dyDescent="0.2">
      <c r="C49" s="529"/>
      <c r="D49" s="76"/>
      <c r="E49" s="76"/>
      <c r="F49" s="555"/>
      <c r="G49" s="76"/>
      <c r="H49" s="529"/>
      <c r="K49" s="76"/>
      <c r="L49" s="93"/>
      <c r="M49" s="93"/>
      <c r="N49" s="530"/>
      <c r="O49" s="76"/>
      <c r="P49" s="529"/>
      <c r="Q49" s="75"/>
      <c r="R49" s="75"/>
      <c r="S49" s="75"/>
      <c r="T49" s="530"/>
      <c r="U49" s="76"/>
    </row>
    <row r="50" spans="1:21" x14ac:dyDescent="0.2">
      <c r="C50" s="529"/>
      <c r="D50" s="76"/>
      <c r="E50" s="76"/>
      <c r="F50" s="555"/>
      <c r="G50" s="76"/>
      <c r="H50" s="529"/>
      <c r="K50" s="76"/>
      <c r="L50" s="93"/>
      <c r="M50" s="93"/>
      <c r="N50" s="530"/>
      <c r="O50" s="76"/>
      <c r="P50" s="529"/>
      <c r="Q50" s="75"/>
      <c r="R50" s="75"/>
      <c r="S50" s="75"/>
      <c r="T50" s="530"/>
      <c r="U50" s="76"/>
    </row>
    <row r="51" spans="1:21" x14ac:dyDescent="0.2">
      <c r="A51" s="346" t="s">
        <v>270</v>
      </c>
      <c r="B51" s="411" t="str">
        <f>+B15</f>
        <v>Közhatalmi bevételek</v>
      </c>
      <c r="C51" s="529"/>
      <c r="D51" s="76"/>
      <c r="E51" s="76"/>
      <c r="F51" s="555"/>
      <c r="G51" s="76"/>
      <c r="H51" s="529"/>
      <c r="K51" s="76"/>
      <c r="L51" s="93"/>
      <c r="M51" s="93"/>
      <c r="N51" s="530"/>
      <c r="O51" s="76"/>
      <c r="P51" s="529"/>
      <c r="Q51" s="75"/>
      <c r="R51" s="75"/>
      <c r="S51" s="75"/>
      <c r="T51" s="530"/>
      <c r="U51" s="76"/>
    </row>
    <row r="52" spans="1:21" x14ac:dyDescent="0.2">
      <c r="B52" s="58" t="str">
        <f t="shared" ref="B52:B58" si="48">+B40</f>
        <v>Sülysáp Város Önkormányzat</v>
      </c>
      <c r="C52" s="529">
        <f>+' 2. Önk. Bevételek'!C39</f>
        <v>198244647</v>
      </c>
      <c r="D52" s="75">
        <f>+' 2. Önk. Bevételek'!D39</f>
        <v>198244647</v>
      </c>
      <c r="E52" s="75">
        <f>+' 2. Önk. Bevételek'!E39</f>
        <v>0</v>
      </c>
      <c r="F52" s="489">
        <f>+' 2. Önk. Bevételek'!F39</f>
        <v>0</v>
      </c>
      <c r="G52" s="76"/>
      <c r="H52" s="529">
        <f>+' 2. Önk. Bevételek'!H39</f>
        <v>110800513</v>
      </c>
      <c r="I52" s="75">
        <f>+' 2. Önk. Bevételek'!I39</f>
        <v>0</v>
      </c>
      <c r="J52" s="75">
        <f>+' 2. Önk. Bevételek'!J39</f>
        <v>0</v>
      </c>
      <c r="K52" s="76"/>
      <c r="L52" s="93"/>
      <c r="M52" s="93"/>
      <c r="N52" s="530"/>
      <c r="O52" s="76"/>
      <c r="P52" s="529">
        <f>+' 2. Önk. Bevételek'!P39</f>
        <v>0</v>
      </c>
      <c r="Q52" s="75">
        <f>+' 2. Önk. Bevételek'!Q39</f>
        <v>-198244647</v>
      </c>
      <c r="R52" s="75">
        <f>+' 2. Önk. Bevételek'!R39</f>
        <v>0</v>
      </c>
      <c r="S52" s="75">
        <f>+' 2. Önk. Bevételek'!S39</f>
        <v>-198244647</v>
      </c>
      <c r="T52" s="530"/>
      <c r="U52" s="76"/>
    </row>
    <row r="53" spans="1:21" x14ac:dyDescent="0.2">
      <c r="A53" s="58"/>
      <c r="B53" s="58" t="str">
        <f t="shared" si="48"/>
        <v>Dr. Gáspár István HSZK</v>
      </c>
      <c r="C53" s="529"/>
      <c r="D53" s="75"/>
      <c r="E53" s="75"/>
      <c r="F53" s="489"/>
      <c r="G53" s="75"/>
      <c r="H53" s="529"/>
      <c r="I53" s="75"/>
      <c r="J53" s="75"/>
      <c r="K53" s="75"/>
      <c r="L53" s="75"/>
      <c r="M53" s="75"/>
      <c r="N53" s="489"/>
      <c r="O53" s="75"/>
      <c r="P53" s="529"/>
      <c r="Q53" s="75"/>
      <c r="R53" s="75"/>
      <c r="S53" s="75"/>
      <c r="T53" s="530"/>
      <c r="U53" s="76"/>
    </row>
    <row r="54" spans="1:21" x14ac:dyDescent="0.2">
      <c r="B54" s="58" t="str">
        <f t="shared" si="48"/>
        <v>SÜLYSÁPI CSICSERGŐ ÓVODA</v>
      </c>
      <c r="C54" s="529"/>
      <c r="D54" s="75"/>
      <c r="E54" s="75"/>
      <c r="F54" s="489"/>
      <c r="G54" s="75"/>
      <c r="H54" s="529"/>
      <c r="I54" s="75"/>
      <c r="J54" s="75"/>
      <c r="K54" s="75"/>
      <c r="L54" s="75"/>
      <c r="M54" s="75"/>
      <c r="N54" s="489"/>
      <c r="O54" s="75"/>
      <c r="P54" s="529"/>
      <c r="Q54" s="75"/>
      <c r="R54" s="75"/>
      <c r="S54" s="75"/>
      <c r="T54" s="530"/>
      <c r="U54" s="76"/>
    </row>
    <row r="55" spans="1:21" x14ac:dyDescent="0.2">
      <c r="B55" s="58" t="str">
        <f t="shared" si="48"/>
        <v>GÓLYAHÍR BÖLCSŐDE</v>
      </c>
      <c r="C55" s="529"/>
      <c r="D55" s="75"/>
      <c r="E55" s="75"/>
      <c r="F55" s="489"/>
      <c r="G55" s="75"/>
      <c r="H55" s="529"/>
      <c r="I55" s="75"/>
      <c r="J55" s="75"/>
      <c r="K55" s="75"/>
      <c r="L55" s="75"/>
      <c r="M55" s="75"/>
      <c r="N55" s="489"/>
      <c r="O55" s="75"/>
      <c r="P55" s="529"/>
      <c r="Q55" s="75"/>
      <c r="R55" s="75"/>
      <c r="S55" s="75"/>
      <c r="T55" s="530"/>
      <c r="U55" s="76"/>
    </row>
    <row r="56" spans="1:21" x14ac:dyDescent="0.2">
      <c r="B56" s="58" t="str">
        <f t="shared" si="48"/>
        <v>POLGÁRMESTERI HIVATAL</v>
      </c>
      <c r="C56" s="529"/>
      <c r="D56" s="75"/>
      <c r="E56" s="75"/>
      <c r="F56" s="489"/>
      <c r="G56" s="75"/>
      <c r="H56" s="529"/>
      <c r="I56" s="75"/>
      <c r="J56" s="75"/>
      <c r="K56" s="75"/>
      <c r="L56" s="75"/>
      <c r="M56" s="75"/>
      <c r="N56" s="489"/>
      <c r="O56" s="75"/>
      <c r="P56" s="529"/>
      <c r="Q56" s="75"/>
      <c r="R56" s="75"/>
      <c r="S56" s="75"/>
      <c r="T56" s="530"/>
      <c r="U56" s="76"/>
    </row>
    <row r="57" spans="1:21" x14ac:dyDescent="0.2">
      <c r="B57" s="58" t="str">
        <f t="shared" si="48"/>
        <v>Wass Albert Művelődési Központ és Könyvtár</v>
      </c>
      <c r="C57" s="529"/>
      <c r="D57" s="75"/>
      <c r="E57" s="75"/>
      <c r="F57" s="489"/>
      <c r="G57" s="75"/>
      <c r="H57" s="529"/>
      <c r="I57" s="75"/>
      <c r="J57" s="75"/>
      <c r="K57" s="75"/>
      <c r="L57" s="75"/>
      <c r="M57" s="75"/>
      <c r="N57" s="489"/>
      <c r="O57" s="75"/>
      <c r="P57" s="529"/>
      <c r="Q57" s="75"/>
      <c r="R57" s="75"/>
      <c r="S57" s="75"/>
      <c r="T57" s="530"/>
      <c r="U57" s="76"/>
    </row>
    <row r="58" spans="1:21" x14ac:dyDescent="0.2">
      <c r="B58" s="58" t="str">
        <f t="shared" si="48"/>
        <v>Központi Konyha</v>
      </c>
      <c r="C58" s="529"/>
      <c r="D58" s="75"/>
      <c r="E58" s="75"/>
      <c r="F58" s="489"/>
      <c r="G58" s="75"/>
      <c r="H58" s="529"/>
      <c r="I58" s="75"/>
      <c r="J58" s="75"/>
      <c r="K58" s="75"/>
      <c r="L58" s="75"/>
      <c r="M58" s="75"/>
      <c r="N58" s="489"/>
      <c r="O58" s="75"/>
      <c r="P58" s="529"/>
      <c r="Q58" s="75"/>
      <c r="R58" s="75"/>
      <c r="S58" s="75"/>
      <c r="T58" s="530"/>
      <c r="U58" s="76"/>
    </row>
    <row r="59" spans="1:21" ht="8.1" customHeight="1" x14ac:dyDescent="0.2">
      <c r="B59" s="413" t="s">
        <v>459</v>
      </c>
      <c r="C59" s="531"/>
      <c r="D59" s="412"/>
      <c r="E59" s="412"/>
      <c r="F59" s="542"/>
      <c r="G59" s="412"/>
      <c r="H59" s="531"/>
      <c r="I59" s="412"/>
      <c r="J59" s="412"/>
      <c r="K59" s="412"/>
      <c r="L59" s="412"/>
      <c r="M59" s="412"/>
      <c r="N59" s="542"/>
      <c r="O59" s="412"/>
      <c r="P59" s="531"/>
      <c r="Q59" s="412"/>
      <c r="R59" s="412"/>
      <c r="S59" s="412"/>
      <c r="T59" s="530"/>
      <c r="U59" s="76"/>
    </row>
    <row r="60" spans="1:21" x14ac:dyDescent="0.2">
      <c r="A60" s="414" t="str">
        <f>+A51</f>
        <v>B3</v>
      </c>
      <c r="B60" s="394" t="s">
        <v>452</v>
      </c>
      <c r="C60" s="532">
        <f>SUM(C52:C59)</f>
        <v>198244647</v>
      </c>
      <c r="D60" s="395">
        <f t="shared" ref="D60:F60" si="49">SUM(D52:D59)</f>
        <v>198244647</v>
      </c>
      <c r="E60" s="395">
        <f t="shared" si="49"/>
        <v>0</v>
      </c>
      <c r="F60" s="543">
        <f t="shared" si="49"/>
        <v>0</v>
      </c>
      <c r="G60" s="395"/>
      <c r="H60" s="532">
        <f>SUM(H52:H59)</f>
        <v>110800513</v>
      </c>
      <c r="I60" s="395">
        <f t="shared" ref="I60:J60" si="50">SUM(I52:I59)</f>
        <v>0</v>
      </c>
      <c r="J60" s="395">
        <f t="shared" si="50"/>
        <v>0</v>
      </c>
      <c r="K60" s="395"/>
      <c r="L60" s="395"/>
      <c r="M60" s="395"/>
      <c r="N60" s="543"/>
      <c r="O60" s="395"/>
      <c r="P60" s="532">
        <f>SUM(P52:P59)</f>
        <v>0</v>
      </c>
      <c r="Q60" s="395">
        <f t="shared" ref="Q60:S60" si="51">SUM(Q52:Q59)</f>
        <v>-198244647</v>
      </c>
      <c r="R60" s="395">
        <f t="shared" si="51"/>
        <v>0</v>
      </c>
      <c r="S60" s="395">
        <f t="shared" si="51"/>
        <v>-198244647</v>
      </c>
      <c r="T60" s="530"/>
      <c r="U60" s="76"/>
    </row>
    <row r="61" spans="1:21" x14ac:dyDescent="0.2">
      <c r="C61" s="529"/>
      <c r="D61" s="76"/>
      <c r="E61" s="76"/>
      <c r="F61" s="555"/>
      <c r="G61" s="76"/>
      <c r="H61" s="529"/>
      <c r="K61" s="76"/>
      <c r="L61" s="93"/>
      <c r="M61" s="93"/>
      <c r="N61" s="530"/>
      <c r="O61" s="76"/>
      <c r="P61" s="529"/>
      <c r="Q61" s="75"/>
      <c r="R61" s="75"/>
      <c r="S61" s="75"/>
      <c r="T61" s="530"/>
      <c r="U61" s="76"/>
    </row>
    <row r="62" spans="1:21" x14ac:dyDescent="0.2">
      <c r="C62" s="529"/>
      <c r="D62" s="76"/>
      <c r="E62" s="76"/>
      <c r="F62" s="555"/>
      <c r="G62" s="76"/>
      <c r="H62" s="529"/>
      <c r="K62" s="76"/>
      <c r="L62" s="93"/>
      <c r="M62" s="93"/>
      <c r="N62" s="530"/>
      <c r="O62" s="76"/>
      <c r="P62" s="529"/>
      <c r="Q62" s="75"/>
      <c r="R62" s="75"/>
      <c r="S62" s="75"/>
      <c r="T62" s="530"/>
      <c r="U62" s="76"/>
    </row>
    <row r="63" spans="1:21" x14ac:dyDescent="0.2">
      <c r="A63" s="346" t="s">
        <v>284</v>
      </c>
      <c r="B63" s="346" t="str">
        <f>+B16</f>
        <v>Működési bevételek</v>
      </c>
      <c r="C63" s="529"/>
      <c r="D63" s="76"/>
      <c r="E63" s="76"/>
      <c r="F63" s="555"/>
      <c r="G63" s="76"/>
      <c r="H63" s="529"/>
      <c r="K63" s="76"/>
      <c r="L63" s="93"/>
      <c r="M63" s="93"/>
      <c r="N63" s="530"/>
      <c r="O63" s="76"/>
      <c r="P63" s="529"/>
      <c r="Q63" s="75"/>
      <c r="R63" s="75"/>
      <c r="S63" s="75"/>
      <c r="T63" s="530"/>
      <c r="U63" s="76"/>
    </row>
    <row r="64" spans="1:21" x14ac:dyDescent="0.2">
      <c r="B64" s="58" t="str">
        <f t="shared" ref="B64:B70" si="52">+B52</f>
        <v>Sülysáp Város Önkormányzat</v>
      </c>
      <c r="C64" s="529">
        <f>+' 2. Önk. Bevételek'!C50</f>
        <v>70826000</v>
      </c>
      <c r="D64" s="75">
        <f>+' 2. Önk. Bevételek'!D50</f>
        <v>70826000</v>
      </c>
      <c r="E64" s="75">
        <f>+' 2. Önk. Bevételek'!E50</f>
        <v>0</v>
      </c>
      <c r="F64" s="489">
        <f>+' 2. Önk. Bevételek'!F50</f>
        <v>0</v>
      </c>
      <c r="G64" s="76"/>
      <c r="H64" s="529">
        <f>+' 2. Önk. Bevételek'!H50</f>
        <v>53883694</v>
      </c>
      <c r="I64" s="75">
        <f>+' 2. Önk. Bevételek'!I50</f>
        <v>0</v>
      </c>
      <c r="J64" s="75">
        <f>+' 2. Önk. Bevételek'!J50</f>
        <v>0</v>
      </c>
      <c r="K64" s="76"/>
      <c r="L64" s="93"/>
      <c r="M64" s="93"/>
      <c r="N64" s="530"/>
      <c r="O64" s="76"/>
      <c r="P64" s="529">
        <f>+' 2. Önk. Bevételek'!P50</f>
        <v>0</v>
      </c>
      <c r="Q64" s="75">
        <f>+' 2. Önk. Bevételek'!Q50</f>
        <v>-70826000</v>
      </c>
      <c r="R64" s="75">
        <f>+' 2. Önk. Bevételek'!R50</f>
        <v>0</v>
      </c>
      <c r="S64" s="75">
        <f>+' 2. Önk. Bevételek'!S50</f>
        <v>-70826000</v>
      </c>
      <c r="T64" s="530"/>
      <c r="U64" s="76"/>
    </row>
    <row r="65" spans="1:21" x14ac:dyDescent="0.2">
      <c r="A65" s="58"/>
      <c r="B65" s="58" t="str">
        <f t="shared" si="52"/>
        <v>Dr. Gáspár István HSZK</v>
      </c>
      <c r="C65" s="529">
        <f>+'4. Dr Gáspár HSZK'!C95</f>
        <v>8135000</v>
      </c>
      <c r="D65" s="75">
        <f>+'4. Dr Gáspár HSZK'!D95</f>
        <v>8135000</v>
      </c>
      <c r="E65" s="75">
        <f>+'4. Dr Gáspár HSZK'!E95</f>
        <v>0</v>
      </c>
      <c r="F65" s="489">
        <f>+'4. Dr Gáspár HSZK'!F95</f>
        <v>0</v>
      </c>
      <c r="G65" s="75"/>
      <c r="H65" s="529">
        <f>+'4. Dr Gáspár HSZK'!H95</f>
        <v>3968495</v>
      </c>
      <c r="I65" s="75">
        <f>+'4. Dr Gáspár HSZK'!I95</f>
        <v>0</v>
      </c>
      <c r="J65" s="75">
        <f>+'4. Dr Gáspár HSZK'!J95</f>
        <v>0</v>
      </c>
      <c r="K65" s="75"/>
      <c r="L65" s="75"/>
      <c r="M65" s="75"/>
      <c r="N65" s="489"/>
      <c r="O65" s="75"/>
      <c r="P65" s="529">
        <f>+'4. Dr Gáspár HSZK'!P95</f>
        <v>0</v>
      </c>
      <c r="Q65" s="75">
        <f>+'4. Dr Gáspár HSZK'!Q95</f>
        <v>-8135000</v>
      </c>
      <c r="R65" s="75">
        <f>+'4. Dr Gáspár HSZK'!R95</f>
        <v>0</v>
      </c>
      <c r="S65" s="75">
        <f>+'4. Dr Gáspár HSZK'!S95</f>
        <v>-8135000</v>
      </c>
      <c r="T65" s="530"/>
      <c r="U65" s="76"/>
    </row>
    <row r="66" spans="1:21" x14ac:dyDescent="0.2">
      <c r="B66" s="58" t="str">
        <f t="shared" si="52"/>
        <v>SÜLYSÁPI CSICSERGŐ ÓVODA</v>
      </c>
      <c r="C66" s="529">
        <f>+'5. Csicsergő'!C95</f>
        <v>0</v>
      </c>
      <c r="D66" s="75">
        <f>+'5. Csicsergő'!D95</f>
        <v>6000</v>
      </c>
      <c r="E66" s="75">
        <f>+'5. Csicsergő'!E95</f>
        <v>0</v>
      </c>
      <c r="F66" s="489">
        <f>+'5. Csicsergő'!F95</f>
        <v>0</v>
      </c>
      <c r="G66" s="75"/>
      <c r="H66" s="529">
        <f>+'5. Csicsergő'!H95</f>
        <v>2952</v>
      </c>
      <c r="I66" s="75">
        <f>+'5. Csicsergő'!I95</f>
        <v>0</v>
      </c>
      <c r="J66" s="75">
        <f>+'5. Csicsergő'!J95</f>
        <v>0</v>
      </c>
      <c r="K66" s="75"/>
      <c r="L66" s="75"/>
      <c r="M66" s="75"/>
      <c r="N66" s="489"/>
      <c r="O66" s="75"/>
      <c r="P66" s="529">
        <f>+'5. Csicsergő'!P95</f>
        <v>6000</v>
      </c>
      <c r="Q66" s="75">
        <f>+'5. Csicsergő'!Q95</f>
        <v>-6000</v>
      </c>
      <c r="R66" s="75">
        <f>+'5. Csicsergő'!R95</f>
        <v>0</v>
      </c>
      <c r="S66" s="75">
        <f>+'5. Csicsergő'!S95</f>
        <v>0</v>
      </c>
      <c r="T66" s="530"/>
      <c r="U66" s="76"/>
    </row>
    <row r="67" spans="1:21" x14ac:dyDescent="0.2">
      <c r="B67" s="58" t="str">
        <f t="shared" si="52"/>
        <v>GÓLYAHÍR BÖLCSŐDE</v>
      </c>
      <c r="C67" s="529">
        <f>+'6. Gólyahír'!C95</f>
        <v>3733000</v>
      </c>
      <c r="D67" s="75">
        <f>+'6. Gólyahír'!D95</f>
        <v>3733000</v>
      </c>
      <c r="E67" s="75">
        <f>+'6. Gólyahír'!E95</f>
        <v>0</v>
      </c>
      <c r="F67" s="489">
        <f>+'6. Gólyahír'!F95</f>
        <v>0</v>
      </c>
      <c r="G67" s="75"/>
      <c r="H67" s="529">
        <f>+'6. Gólyahír'!H95</f>
        <v>2041073</v>
      </c>
      <c r="I67" s="75">
        <f>+'6. Gólyahír'!I95</f>
        <v>0</v>
      </c>
      <c r="J67" s="75">
        <f>+'6. Gólyahír'!J95</f>
        <v>0</v>
      </c>
      <c r="K67" s="75"/>
      <c r="L67" s="75"/>
      <c r="M67" s="75"/>
      <c r="N67" s="489"/>
      <c r="O67" s="75"/>
      <c r="P67" s="529">
        <f>+'6. Gólyahír'!P95</f>
        <v>0</v>
      </c>
      <c r="Q67" s="75">
        <f>+'6. Gólyahír'!Q95</f>
        <v>-3733000</v>
      </c>
      <c r="R67" s="75">
        <f>+'6. Gólyahír'!R95</f>
        <v>0</v>
      </c>
      <c r="S67" s="75">
        <f>+'6. Gólyahír'!S95</f>
        <v>-3733000</v>
      </c>
      <c r="T67" s="530"/>
      <c r="U67" s="76"/>
    </row>
    <row r="68" spans="1:21" x14ac:dyDescent="0.2">
      <c r="B68" s="58" t="str">
        <f t="shared" si="52"/>
        <v>POLGÁRMESTERI HIVATAL</v>
      </c>
      <c r="C68" s="529">
        <f>+'7. Polg.Hiv.'!C95</f>
        <v>0</v>
      </c>
      <c r="D68" s="75">
        <f>+'7. Polg.Hiv.'!D95</f>
        <v>0</v>
      </c>
      <c r="E68" s="75">
        <f>+'7. Polg.Hiv.'!E95</f>
        <v>0</v>
      </c>
      <c r="F68" s="489">
        <f>+'7. Polg.Hiv.'!F95</f>
        <v>0</v>
      </c>
      <c r="G68" s="75"/>
      <c r="H68" s="529">
        <f>+'7. Polg.Hiv.'!H95</f>
        <v>3822</v>
      </c>
      <c r="I68" s="75">
        <f>+'7. Polg.Hiv.'!I95</f>
        <v>0</v>
      </c>
      <c r="J68" s="75">
        <f>+'7. Polg.Hiv.'!J95</f>
        <v>0</v>
      </c>
      <c r="K68" s="75"/>
      <c r="L68" s="75"/>
      <c r="M68" s="75"/>
      <c r="N68" s="489"/>
      <c r="O68" s="75"/>
      <c r="P68" s="529">
        <f>+'7. Polg.Hiv.'!P95</f>
        <v>0</v>
      </c>
      <c r="Q68" s="75">
        <f>+'7. Polg.Hiv.'!Q95</f>
        <v>0</v>
      </c>
      <c r="R68" s="75">
        <f>+'7. Polg.Hiv.'!R95</f>
        <v>0</v>
      </c>
      <c r="S68" s="75">
        <f>+'7. Polg.Hiv.'!S95</f>
        <v>0</v>
      </c>
      <c r="T68" s="530"/>
      <c r="U68" s="76"/>
    </row>
    <row r="69" spans="1:21" x14ac:dyDescent="0.2">
      <c r="B69" s="58" t="str">
        <f t="shared" si="52"/>
        <v>Wass Albert Művelődési Központ és Könyvtár</v>
      </c>
      <c r="C69" s="529">
        <f>+'8. WAMKK'!C95</f>
        <v>1521000</v>
      </c>
      <c r="D69" s="75">
        <f>+'8. WAMKK'!D95</f>
        <v>1521000</v>
      </c>
      <c r="E69" s="75">
        <f>+'8. WAMKK'!E95</f>
        <v>0</v>
      </c>
      <c r="F69" s="489">
        <f>+'8. WAMKK'!F95</f>
        <v>0</v>
      </c>
      <c r="G69" s="75"/>
      <c r="H69" s="529">
        <f>+'8. WAMKK'!H95</f>
        <v>749529</v>
      </c>
      <c r="I69" s="75">
        <f>+'8. WAMKK'!I95</f>
        <v>0</v>
      </c>
      <c r="J69" s="75">
        <f>+'8. WAMKK'!J95</f>
        <v>0</v>
      </c>
      <c r="K69" s="75"/>
      <c r="L69" s="75"/>
      <c r="M69" s="75"/>
      <c r="N69" s="489"/>
      <c r="O69" s="75"/>
      <c r="P69" s="529">
        <f>+'8. WAMKK'!P95</f>
        <v>0</v>
      </c>
      <c r="Q69" s="75">
        <f>+'8. WAMKK'!Q95</f>
        <v>-1521000</v>
      </c>
      <c r="R69" s="75">
        <f>+'8. WAMKK'!R95</f>
        <v>0</v>
      </c>
      <c r="S69" s="75">
        <f>+'8. WAMKK'!S95</f>
        <v>-1521000</v>
      </c>
      <c r="T69" s="530"/>
      <c r="U69" s="76"/>
    </row>
    <row r="70" spans="1:21" x14ac:dyDescent="0.2">
      <c r="B70" s="58" t="str">
        <f t="shared" si="52"/>
        <v>Központi Konyha</v>
      </c>
      <c r="C70" s="529">
        <f>+'9. Közp. Konyha'!C95</f>
        <v>28181000</v>
      </c>
      <c r="D70" s="75">
        <f>+'9. Közp. Konyha'!D95</f>
        <v>27681000</v>
      </c>
      <c r="E70" s="75">
        <f>+'9. Közp. Konyha'!E95</f>
        <v>0</v>
      </c>
      <c r="F70" s="489">
        <f>+'9. Közp. Konyha'!F95</f>
        <v>0</v>
      </c>
      <c r="G70" s="75"/>
      <c r="H70" s="529">
        <f>+'9. Közp. Konyha'!H95</f>
        <v>16755980</v>
      </c>
      <c r="I70" s="75">
        <f>+'9. Közp. Konyha'!I95</f>
        <v>0</v>
      </c>
      <c r="J70" s="75">
        <f>+'9. Közp. Konyha'!J95</f>
        <v>0</v>
      </c>
      <c r="K70" s="75"/>
      <c r="L70" s="75"/>
      <c r="M70" s="75"/>
      <c r="N70" s="489"/>
      <c r="O70" s="75"/>
      <c r="P70" s="529">
        <f>+'9. Közp. Konyha'!P95</f>
        <v>-500000</v>
      </c>
      <c r="Q70" s="75">
        <f>+'9. Közp. Konyha'!Q95</f>
        <v>-27681000</v>
      </c>
      <c r="R70" s="75">
        <f>+'9. Közp. Konyha'!R95</f>
        <v>0</v>
      </c>
      <c r="S70" s="75">
        <f>+'9. Közp. Konyha'!S95</f>
        <v>-28181000</v>
      </c>
      <c r="T70" s="530"/>
      <c r="U70" s="76"/>
    </row>
    <row r="71" spans="1:21" ht="8.1" customHeight="1" x14ac:dyDescent="0.2">
      <c r="B71" s="413" t="s">
        <v>459</v>
      </c>
      <c r="C71" s="531"/>
      <c r="D71" s="412"/>
      <c r="E71" s="412"/>
      <c r="F71" s="542"/>
      <c r="G71" s="412"/>
      <c r="H71" s="531"/>
      <c r="I71" s="412"/>
      <c r="J71" s="412"/>
      <c r="K71" s="412"/>
      <c r="L71" s="412"/>
      <c r="M71" s="412"/>
      <c r="N71" s="542"/>
      <c r="O71" s="412"/>
      <c r="P71" s="531"/>
      <c r="Q71" s="412"/>
      <c r="R71" s="412"/>
      <c r="S71" s="412"/>
      <c r="T71" s="530"/>
      <c r="U71" s="76"/>
    </row>
    <row r="72" spans="1:21" x14ac:dyDescent="0.2">
      <c r="A72" s="414" t="str">
        <f>+A63</f>
        <v>B4</v>
      </c>
      <c r="B72" s="394" t="s">
        <v>452</v>
      </c>
      <c r="C72" s="532">
        <f>SUM(C64:C71)</f>
        <v>112396000</v>
      </c>
      <c r="D72" s="395">
        <f t="shared" ref="D72" si="53">SUM(D64:D71)</f>
        <v>111902000</v>
      </c>
      <c r="E72" s="395">
        <f t="shared" ref="E72" si="54">SUM(E64:E71)</f>
        <v>0</v>
      </c>
      <c r="F72" s="543">
        <f t="shared" ref="F72" si="55">SUM(F64:F71)</f>
        <v>0</v>
      </c>
      <c r="G72" s="395"/>
      <c r="H72" s="532">
        <f>SUM(H64:H71)</f>
        <v>77405545</v>
      </c>
      <c r="I72" s="395">
        <f t="shared" ref="I72" si="56">SUM(I64:I71)</f>
        <v>0</v>
      </c>
      <c r="J72" s="395">
        <f t="shared" ref="J72" si="57">SUM(J64:J71)</f>
        <v>0</v>
      </c>
      <c r="K72" s="395"/>
      <c r="L72" s="395"/>
      <c r="M72" s="395"/>
      <c r="N72" s="543"/>
      <c r="O72" s="395"/>
      <c r="P72" s="532">
        <f>SUM(P64:P71)</f>
        <v>-494000</v>
      </c>
      <c r="Q72" s="395">
        <f t="shared" ref="Q72" si="58">SUM(Q64:Q71)</f>
        <v>-111902000</v>
      </c>
      <c r="R72" s="395">
        <f t="shared" ref="R72" si="59">SUM(R64:R71)</f>
        <v>0</v>
      </c>
      <c r="S72" s="395">
        <f t="shared" ref="S72" si="60">SUM(S64:S71)</f>
        <v>-112396000</v>
      </c>
      <c r="T72" s="530"/>
      <c r="U72" s="76"/>
    </row>
    <row r="73" spans="1:21" x14ac:dyDescent="0.2">
      <c r="C73" s="533"/>
      <c r="F73" s="487"/>
      <c r="H73" s="533"/>
      <c r="N73" s="530"/>
      <c r="P73" s="533"/>
      <c r="T73" s="530"/>
    </row>
    <row r="74" spans="1:21" x14ac:dyDescent="0.2">
      <c r="C74" s="533"/>
      <c r="F74" s="487"/>
      <c r="H74" s="533"/>
      <c r="N74" s="530"/>
      <c r="P74" s="533"/>
      <c r="T74" s="530"/>
    </row>
    <row r="75" spans="1:21" x14ac:dyDescent="0.2">
      <c r="A75" s="346" t="s">
        <v>311</v>
      </c>
      <c r="B75" s="346" t="str">
        <f>+B17</f>
        <v>Felhalmozási bevételek</v>
      </c>
      <c r="C75" s="529"/>
      <c r="D75" s="76"/>
      <c r="E75" s="76"/>
      <c r="F75" s="555"/>
      <c r="G75" s="76"/>
      <c r="H75" s="529"/>
      <c r="K75" s="76"/>
      <c r="L75" s="93"/>
      <c r="M75" s="93"/>
      <c r="N75" s="530"/>
      <c r="O75" s="76"/>
      <c r="P75" s="529"/>
      <c r="Q75" s="75"/>
      <c r="R75" s="75"/>
      <c r="S75" s="75"/>
      <c r="T75" s="530"/>
      <c r="U75" s="76"/>
    </row>
    <row r="76" spans="1:21" x14ac:dyDescent="0.2">
      <c r="B76" s="58" t="str">
        <f t="shared" ref="B76:B82" si="61">+B64</f>
        <v>Sülysáp Város Önkormányzat</v>
      </c>
      <c r="C76" s="529">
        <f>+' 2. Önk. Bevételek'!C67</f>
        <v>72638000</v>
      </c>
      <c r="D76" s="75">
        <f>+' 2. Önk. Bevételek'!D67</f>
        <v>72638000</v>
      </c>
      <c r="E76" s="75">
        <f>+' 2. Önk. Bevételek'!E67</f>
        <v>0</v>
      </c>
      <c r="F76" s="489">
        <f>+' 2. Önk. Bevételek'!F67</f>
        <v>0</v>
      </c>
      <c r="G76" s="76"/>
      <c r="H76" s="529">
        <f>+' 2. Önk. Bevételek'!H67</f>
        <v>16435054</v>
      </c>
      <c r="I76" s="75">
        <f>+' 2. Önk. Bevételek'!I67</f>
        <v>0</v>
      </c>
      <c r="J76" s="75">
        <f>+' 2. Önk. Bevételek'!J67</f>
        <v>0</v>
      </c>
      <c r="K76" s="76"/>
      <c r="L76" s="93"/>
      <c r="M76" s="93"/>
      <c r="N76" s="530"/>
      <c r="O76" s="76"/>
      <c r="P76" s="529">
        <f>+' 2. Önk. Bevételek'!P67</f>
        <v>0</v>
      </c>
      <c r="Q76" s="75">
        <f>+' 2. Önk. Bevételek'!Q67</f>
        <v>-72638000</v>
      </c>
      <c r="R76" s="75">
        <f>+' 2. Önk. Bevételek'!R67</f>
        <v>0</v>
      </c>
      <c r="S76" s="75">
        <f>+' 2. Önk. Bevételek'!S67</f>
        <v>-72638000</v>
      </c>
      <c r="T76" s="530"/>
      <c r="U76" s="76"/>
    </row>
    <row r="77" spans="1:21" x14ac:dyDescent="0.2">
      <c r="A77" s="58"/>
      <c r="B77" s="58" t="str">
        <f t="shared" si="61"/>
        <v>Dr. Gáspár István HSZK</v>
      </c>
      <c r="C77" s="529"/>
      <c r="D77" s="75"/>
      <c r="E77" s="75"/>
      <c r="F77" s="489"/>
      <c r="G77" s="75"/>
      <c r="H77" s="529"/>
      <c r="I77" s="75"/>
      <c r="J77" s="75"/>
      <c r="K77" s="75"/>
      <c r="L77" s="75"/>
      <c r="M77" s="75"/>
      <c r="N77" s="489"/>
      <c r="O77" s="75"/>
      <c r="P77" s="529"/>
      <c r="Q77" s="75"/>
      <c r="R77" s="75"/>
      <c r="S77" s="75"/>
      <c r="T77" s="530"/>
      <c r="U77" s="76"/>
    </row>
    <row r="78" spans="1:21" x14ac:dyDescent="0.2">
      <c r="B78" s="58" t="str">
        <f t="shared" si="61"/>
        <v>SÜLYSÁPI CSICSERGŐ ÓVODA</v>
      </c>
      <c r="C78" s="529"/>
      <c r="D78" s="75"/>
      <c r="E78" s="75"/>
      <c r="F78" s="489"/>
      <c r="G78" s="75"/>
      <c r="H78" s="529"/>
      <c r="I78" s="75"/>
      <c r="J78" s="75"/>
      <c r="K78" s="75"/>
      <c r="L78" s="75"/>
      <c r="M78" s="75"/>
      <c r="N78" s="489"/>
      <c r="O78" s="75"/>
      <c r="P78" s="529"/>
      <c r="Q78" s="75"/>
      <c r="R78" s="75"/>
      <c r="S78" s="75"/>
      <c r="T78" s="530"/>
      <c r="U78" s="76"/>
    </row>
    <row r="79" spans="1:21" x14ac:dyDescent="0.2">
      <c r="B79" s="58" t="str">
        <f t="shared" si="61"/>
        <v>GÓLYAHÍR BÖLCSŐDE</v>
      </c>
      <c r="C79" s="529"/>
      <c r="D79" s="75"/>
      <c r="E79" s="75"/>
      <c r="F79" s="489"/>
      <c r="G79" s="75"/>
      <c r="H79" s="529"/>
      <c r="I79" s="75"/>
      <c r="J79" s="75"/>
      <c r="K79" s="75"/>
      <c r="L79" s="75"/>
      <c r="M79" s="75"/>
      <c r="N79" s="489"/>
      <c r="O79" s="75"/>
      <c r="P79" s="529"/>
      <c r="Q79" s="75"/>
      <c r="R79" s="75"/>
      <c r="S79" s="75"/>
      <c r="T79" s="530"/>
      <c r="U79" s="76"/>
    </row>
    <row r="80" spans="1:21" x14ac:dyDescent="0.2">
      <c r="B80" s="58" t="str">
        <f t="shared" si="61"/>
        <v>POLGÁRMESTERI HIVATAL</v>
      </c>
      <c r="C80" s="529"/>
      <c r="D80" s="75"/>
      <c r="E80" s="75"/>
      <c r="F80" s="489"/>
      <c r="G80" s="75"/>
      <c r="H80" s="529"/>
      <c r="I80" s="75"/>
      <c r="J80" s="75"/>
      <c r="K80" s="75"/>
      <c r="L80" s="75"/>
      <c r="M80" s="75"/>
      <c r="N80" s="489"/>
      <c r="O80" s="75"/>
      <c r="P80" s="529"/>
      <c r="Q80" s="75"/>
      <c r="R80" s="75"/>
      <c r="S80" s="75"/>
      <c r="T80" s="530"/>
      <c r="U80" s="76"/>
    </row>
    <row r="81" spans="1:21" x14ac:dyDescent="0.2">
      <c r="B81" s="58" t="str">
        <f t="shared" si="61"/>
        <v>Wass Albert Művelődési Központ és Könyvtár</v>
      </c>
      <c r="C81" s="529"/>
      <c r="D81" s="75"/>
      <c r="E81" s="75"/>
      <c r="F81" s="489"/>
      <c r="G81" s="75"/>
      <c r="H81" s="529"/>
      <c r="I81" s="75"/>
      <c r="J81" s="75"/>
      <c r="K81" s="75"/>
      <c r="L81" s="75"/>
      <c r="M81" s="75"/>
      <c r="N81" s="489"/>
      <c r="O81" s="75"/>
      <c r="P81" s="529"/>
      <c r="Q81" s="75"/>
      <c r="R81" s="75"/>
      <c r="S81" s="75"/>
      <c r="T81" s="530"/>
      <c r="U81" s="76"/>
    </row>
    <row r="82" spans="1:21" x14ac:dyDescent="0.2">
      <c r="B82" s="58" t="str">
        <f t="shared" si="61"/>
        <v>Központi Konyha</v>
      </c>
      <c r="C82" s="529"/>
      <c r="D82" s="75"/>
      <c r="E82" s="75"/>
      <c r="F82" s="489"/>
      <c r="G82" s="75"/>
      <c r="H82" s="529"/>
      <c r="I82" s="75"/>
      <c r="J82" s="75"/>
      <c r="K82" s="75"/>
      <c r="L82" s="75"/>
      <c r="M82" s="75"/>
      <c r="N82" s="489"/>
      <c r="O82" s="75"/>
      <c r="P82" s="529"/>
      <c r="Q82" s="75"/>
      <c r="R82" s="75"/>
      <c r="S82" s="75"/>
      <c r="T82" s="530"/>
      <c r="U82" s="76"/>
    </row>
    <row r="83" spans="1:21" ht="8.1" customHeight="1" x14ac:dyDescent="0.2">
      <c r="B83" s="413" t="s">
        <v>459</v>
      </c>
      <c r="C83" s="531"/>
      <c r="D83" s="412"/>
      <c r="E83" s="412"/>
      <c r="F83" s="542"/>
      <c r="G83" s="412"/>
      <c r="H83" s="531"/>
      <c r="I83" s="412"/>
      <c r="J83" s="412"/>
      <c r="K83" s="412"/>
      <c r="L83" s="412"/>
      <c r="M83" s="412"/>
      <c r="N83" s="542"/>
      <c r="O83" s="412"/>
      <c r="P83" s="531"/>
      <c r="Q83" s="412"/>
      <c r="R83" s="412"/>
      <c r="S83" s="412"/>
      <c r="T83" s="530"/>
      <c r="U83" s="76"/>
    </row>
    <row r="84" spans="1:21" x14ac:dyDescent="0.2">
      <c r="A84" s="414" t="str">
        <f>+A75</f>
        <v>B5</v>
      </c>
      <c r="B84" s="394" t="s">
        <v>452</v>
      </c>
      <c r="C84" s="532">
        <f>SUM(C76:C83)</f>
        <v>72638000</v>
      </c>
      <c r="D84" s="395">
        <f t="shared" ref="D84" si="62">SUM(D76:D83)</f>
        <v>72638000</v>
      </c>
      <c r="E84" s="395">
        <f t="shared" ref="E84" si="63">SUM(E76:E83)</f>
        <v>0</v>
      </c>
      <c r="F84" s="543">
        <f t="shared" ref="F84" si="64">SUM(F76:F83)</f>
        <v>0</v>
      </c>
      <c r="G84" s="395"/>
      <c r="H84" s="532">
        <f>SUM(H76:H83)</f>
        <v>16435054</v>
      </c>
      <c r="I84" s="395">
        <f t="shared" ref="I84" si="65">SUM(I76:I83)</f>
        <v>0</v>
      </c>
      <c r="J84" s="395">
        <f t="shared" ref="J84" si="66">SUM(J76:J83)</f>
        <v>0</v>
      </c>
      <c r="K84" s="395"/>
      <c r="L84" s="395"/>
      <c r="M84" s="395"/>
      <c r="N84" s="543"/>
      <c r="O84" s="395"/>
      <c r="P84" s="532">
        <f>SUM(P76:P83)</f>
        <v>0</v>
      </c>
      <c r="Q84" s="395">
        <f t="shared" ref="Q84" si="67">SUM(Q76:Q83)</f>
        <v>-72638000</v>
      </c>
      <c r="R84" s="395">
        <f t="shared" ref="R84" si="68">SUM(R76:R83)</f>
        <v>0</v>
      </c>
      <c r="S84" s="395">
        <f t="shared" ref="S84" si="69">SUM(S76:S83)</f>
        <v>-72638000</v>
      </c>
      <c r="T84" s="530"/>
      <c r="U84" s="76"/>
    </row>
    <row r="85" spans="1:21" x14ac:dyDescent="0.2">
      <c r="C85" s="533"/>
      <c r="F85" s="487"/>
      <c r="H85" s="533"/>
      <c r="N85" s="530"/>
      <c r="P85" s="533"/>
      <c r="T85" s="530"/>
    </row>
    <row r="86" spans="1:21" x14ac:dyDescent="0.2">
      <c r="C86" s="533"/>
      <c r="F86" s="487"/>
      <c r="H86" s="533"/>
      <c r="N86" s="530"/>
      <c r="P86" s="533"/>
      <c r="T86" s="530"/>
    </row>
    <row r="87" spans="1:21" x14ac:dyDescent="0.2">
      <c r="A87" s="346" t="s">
        <v>321</v>
      </c>
      <c r="B87" s="411" t="str">
        <f>+B18</f>
        <v>Működési célú átvett pénzeszközök</v>
      </c>
      <c r="C87" s="529"/>
      <c r="D87" s="76"/>
      <c r="E87" s="76"/>
      <c r="F87" s="555"/>
      <c r="G87" s="76"/>
      <c r="H87" s="529"/>
      <c r="K87" s="76"/>
      <c r="L87" s="93"/>
      <c r="M87" s="93"/>
      <c r="N87" s="530"/>
      <c r="O87" s="76"/>
      <c r="P87" s="529"/>
      <c r="Q87" s="75"/>
      <c r="R87" s="75"/>
      <c r="S87" s="75"/>
      <c r="T87" s="530"/>
      <c r="U87" s="76"/>
    </row>
    <row r="88" spans="1:21" x14ac:dyDescent="0.2">
      <c r="B88" s="58" t="str">
        <f t="shared" ref="B88:B94" si="70">+B76</f>
        <v>Sülysáp Város Önkormányzat</v>
      </c>
      <c r="C88" s="529">
        <f>+' 2. Önk. Bevételek'!C72</f>
        <v>0</v>
      </c>
      <c r="D88" s="75">
        <f>+' 2. Önk. Bevételek'!D72</f>
        <v>0</v>
      </c>
      <c r="E88" s="75">
        <f>+' 2. Önk. Bevételek'!E72</f>
        <v>0</v>
      </c>
      <c r="F88" s="489">
        <f>+' 2. Önk. Bevételek'!F72</f>
        <v>0</v>
      </c>
      <c r="G88" s="76"/>
      <c r="H88" s="529">
        <f>+' 2. Önk. Bevételek'!H72</f>
        <v>100000</v>
      </c>
      <c r="I88" s="75">
        <f>+' 2. Önk. Bevételek'!I72</f>
        <v>0</v>
      </c>
      <c r="J88" s="75">
        <f>+' 2. Önk. Bevételek'!J72</f>
        <v>0</v>
      </c>
      <c r="K88" s="76"/>
      <c r="L88" s="93"/>
      <c r="M88" s="93"/>
      <c r="N88" s="530"/>
      <c r="O88" s="76"/>
      <c r="P88" s="529">
        <f>+' 2. Önk. Bevételek'!P72</f>
        <v>0</v>
      </c>
      <c r="Q88" s="75">
        <f>+' 2. Önk. Bevételek'!Q72</f>
        <v>0</v>
      </c>
      <c r="R88" s="75">
        <f>+' 2. Önk. Bevételek'!R72</f>
        <v>0</v>
      </c>
      <c r="S88" s="75">
        <f>+' 2. Önk. Bevételek'!S72</f>
        <v>0</v>
      </c>
      <c r="T88" s="530"/>
      <c r="U88" s="76"/>
    </row>
    <row r="89" spans="1:21" x14ac:dyDescent="0.2">
      <c r="A89" s="58"/>
      <c r="B89" s="58" t="str">
        <f t="shared" si="70"/>
        <v>Dr. Gáspár István HSZK</v>
      </c>
      <c r="C89" s="529"/>
      <c r="D89" s="75"/>
      <c r="E89" s="75"/>
      <c r="F89" s="489"/>
      <c r="G89" s="75"/>
      <c r="H89" s="529"/>
      <c r="I89" s="75"/>
      <c r="J89" s="75"/>
      <c r="K89" s="75"/>
      <c r="L89" s="75"/>
      <c r="M89" s="75"/>
      <c r="N89" s="489"/>
      <c r="O89" s="75"/>
      <c r="P89" s="529"/>
      <c r="Q89" s="75"/>
      <c r="R89" s="75"/>
      <c r="S89" s="75"/>
      <c r="T89" s="530"/>
      <c r="U89" s="76"/>
    </row>
    <row r="90" spans="1:21" x14ac:dyDescent="0.2">
      <c r="B90" s="58" t="str">
        <f t="shared" si="70"/>
        <v>SÜLYSÁPI CSICSERGŐ ÓVODA</v>
      </c>
      <c r="C90" s="529"/>
      <c r="D90" s="75"/>
      <c r="E90" s="75"/>
      <c r="F90" s="489"/>
      <c r="G90" s="75"/>
      <c r="H90" s="529"/>
      <c r="I90" s="75"/>
      <c r="J90" s="75"/>
      <c r="K90" s="75"/>
      <c r="L90" s="75"/>
      <c r="M90" s="75"/>
      <c r="N90" s="489"/>
      <c r="O90" s="75"/>
      <c r="P90" s="529"/>
      <c r="Q90" s="75"/>
      <c r="R90" s="75"/>
      <c r="S90" s="75"/>
      <c r="T90" s="530"/>
      <c r="U90" s="76"/>
    </row>
    <row r="91" spans="1:21" x14ac:dyDescent="0.2">
      <c r="B91" s="58" t="str">
        <f t="shared" si="70"/>
        <v>GÓLYAHÍR BÖLCSŐDE</v>
      </c>
      <c r="C91" s="529"/>
      <c r="D91" s="75"/>
      <c r="E91" s="75"/>
      <c r="F91" s="489"/>
      <c r="G91" s="75"/>
      <c r="H91" s="529"/>
      <c r="I91" s="75"/>
      <c r="J91" s="75"/>
      <c r="K91" s="75"/>
      <c r="L91" s="75"/>
      <c r="M91" s="75"/>
      <c r="N91" s="489"/>
      <c r="O91" s="75"/>
      <c r="P91" s="529"/>
      <c r="Q91" s="75"/>
      <c r="R91" s="75"/>
      <c r="S91" s="75"/>
      <c r="T91" s="530"/>
      <c r="U91" s="76"/>
    </row>
    <row r="92" spans="1:21" x14ac:dyDescent="0.2">
      <c r="B92" s="58" t="str">
        <f t="shared" si="70"/>
        <v>POLGÁRMESTERI HIVATAL</v>
      </c>
      <c r="C92" s="529"/>
      <c r="D92" s="75"/>
      <c r="E92" s="75"/>
      <c r="F92" s="489"/>
      <c r="G92" s="75"/>
      <c r="H92" s="529"/>
      <c r="I92" s="75"/>
      <c r="J92" s="75"/>
      <c r="K92" s="75"/>
      <c r="L92" s="75"/>
      <c r="M92" s="75"/>
      <c r="N92" s="489"/>
      <c r="O92" s="75"/>
      <c r="P92" s="529"/>
      <c r="Q92" s="75"/>
      <c r="R92" s="75"/>
      <c r="S92" s="75"/>
      <c r="T92" s="530"/>
      <c r="U92" s="76"/>
    </row>
    <row r="93" spans="1:21" x14ac:dyDescent="0.2">
      <c r="B93" s="58" t="str">
        <f t="shared" si="70"/>
        <v>Wass Albert Művelődési Központ és Könyvtár</v>
      </c>
      <c r="C93" s="529"/>
      <c r="D93" s="75"/>
      <c r="E93" s="75"/>
      <c r="F93" s="489"/>
      <c r="G93" s="75"/>
      <c r="H93" s="529"/>
      <c r="I93" s="75"/>
      <c r="J93" s="75"/>
      <c r="K93" s="75"/>
      <c r="L93" s="75"/>
      <c r="M93" s="75"/>
      <c r="N93" s="489"/>
      <c r="O93" s="75"/>
      <c r="P93" s="529"/>
      <c r="Q93" s="75"/>
      <c r="R93" s="75"/>
      <c r="S93" s="75"/>
      <c r="T93" s="530"/>
      <c r="U93" s="76"/>
    </row>
    <row r="94" spans="1:21" x14ac:dyDescent="0.2">
      <c r="B94" s="58" t="str">
        <f t="shared" si="70"/>
        <v>Központi Konyha</v>
      </c>
      <c r="C94" s="529"/>
      <c r="D94" s="75"/>
      <c r="E94" s="75"/>
      <c r="F94" s="489"/>
      <c r="G94" s="75"/>
      <c r="H94" s="529"/>
      <c r="I94" s="75"/>
      <c r="J94" s="75"/>
      <c r="K94" s="75"/>
      <c r="L94" s="75"/>
      <c r="M94" s="75"/>
      <c r="N94" s="489"/>
      <c r="O94" s="75"/>
      <c r="P94" s="529"/>
      <c r="Q94" s="75"/>
      <c r="R94" s="75"/>
      <c r="S94" s="75"/>
      <c r="T94" s="530"/>
      <c r="U94" s="76"/>
    </row>
    <row r="95" spans="1:21" ht="8.1" customHeight="1" x14ac:dyDescent="0.2">
      <c r="B95" s="413" t="s">
        <v>459</v>
      </c>
      <c r="C95" s="531"/>
      <c r="D95" s="412"/>
      <c r="E95" s="412"/>
      <c r="F95" s="542"/>
      <c r="G95" s="412"/>
      <c r="H95" s="531"/>
      <c r="I95" s="412"/>
      <c r="J95" s="412"/>
      <c r="K95" s="412"/>
      <c r="L95" s="412"/>
      <c r="M95" s="412"/>
      <c r="N95" s="542"/>
      <c r="O95" s="412"/>
      <c r="P95" s="531"/>
      <c r="Q95" s="412"/>
      <c r="R95" s="412"/>
      <c r="S95" s="412"/>
      <c r="T95" s="530"/>
      <c r="U95" s="76"/>
    </row>
    <row r="96" spans="1:21" x14ac:dyDescent="0.2">
      <c r="A96" s="414" t="str">
        <f>+A87</f>
        <v>B6</v>
      </c>
      <c r="B96" s="394" t="s">
        <v>452</v>
      </c>
      <c r="C96" s="532">
        <f>SUM(C88:C95)</f>
        <v>0</v>
      </c>
      <c r="D96" s="395">
        <f t="shared" ref="D96" si="71">SUM(D88:D95)</f>
        <v>0</v>
      </c>
      <c r="E96" s="395">
        <f t="shared" ref="E96" si="72">SUM(E88:E95)</f>
        <v>0</v>
      </c>
      <c r="F96" s="543">
        <f t="shared" ref="F96" si="73">SUM(F88:F95)</f>
        <v>0</v>
      </c>
      <c r="G96" s="395"/>
      <c r="H96" s="532">
        <f>SUM(H88:H95)</f>
        <v>100000</v>
      </c>
      <c r="I96" s="395">
        <f t="shared" ref="I96" si="74">SUM(I88:I95)</f>
        <v>0</v>
      </c>
      <c r="J96" s="395">
        <f t="shared" ref="J96" si="75">SUM(J88:J95)</f>
        <v>0</v>
      </c>
      <c r="K96" s="395"/>
      <c r="L96" s="395"/>
      <c r="M96" s="395"/>
      <c r="N96" s="543"/>
      <c r="O96" s="395"/>
      <c r="P96" s="532">
        <f>SUM(P88:P95)</f>
        <v>0</v>
      </c>
      <c r="Q96" s="395">
        <f t="shared" ref="Q96" si="76">SUM(Q88:Q95)</f>
        <v>0</v>
      </c>
      <c r="R96" s="395">
        <f t="shared" ref="R96" si="77">SUM(R88:R95)</f>
        <v>0</v>
      </c>
      <c r="S96" s="395">
        <f t="shared" ref="S96" si="78">SUM(S88:S95)</f>
        <v>0</v>
      </c>
      <c r="T96" s="530"/>
      <c r="U96" s="76"/>
    </row>
    <row r="97" spans="1:21" x14ac:dyDescent="0.2">
      <c r="C97" s="533"/>
      <c r="F97" s="487"/>
      <c r="H97" s="533"/>
      <c r="N97" s="530"/>
      <c r="P97" s="533"/>
      <c r="T97" s="530"/>
    </row>
    <row r="98" spans="1:21" x14ac:dyDescent="0.2">
      <c r="C98" s="533"/>
      <c r="F98" s="487"/>
      <c r="H98" s="533"/>
      <c r="N98" s="530"/>
      <c r="P98" s="533"/>
      <c r="T98" s="530"/>
    </row>
    <row r="99" spans="1:21" x14ac:dyDescent="0.2">
      <c r="A99" s="346" t="s">
        <v>326</v>
      </c>
      <c r="B99" s="411" t="str">
        <f>+B19</f>
        <v>Felhalmozási célú átvett pénzeszközök</v>
      </c>
      <c r="C99" s="529"/>
      <c r="D99" s="76"/>
      <c r="E99" s="76"/>
      <c r="F99" s="555"/>
      <c r="G99" s="76"/>
      <c r="H99" s="529"/>
      <c r="K99" s="76"/>
      <c r="L99" s="93"/>
      <c r="M99" s="93"/>
      <c r="N99" s="530"/>
      <c r="O99" s="76"/>
      <c r="P99" s="529"/>
      <c r="Q99" s="75"/>
      <c r="R99" s="75"/>
      <c r="S99" s="75"/>
      <c r="T99" s="530"/>
      <c r="U99" s="76"/>
    </row>
    <row r="100" spans="1:21" x14ac:dyDescent="0.2">
      <c r="B100" s="58" t="str">
        <f t="shared" ref="B100:B106" si="79">+B88</f>
        <v>Sülysáp Város Önkormányzat</v>
      </c>
      <c r="C100" s="529">
        <f>+' 2. Önk. Bevételek'!C76</f>
        <v>0</v>
      </c>
      <c r="D100" s="75">
        <f>+' 2. Önk. Bevételek'!D76</f>
        <v>0</v>
      </c>
      <c r="E100" s="75">
        <f>+' 2. Önk. Bevételek'!E76</f>
        <v>0</v>
      </c>
      <c r="F100" s="489">
        <f>+' 2. Önk. Bevételek'!F76</f>
        <v>0</v>
      </c>
      <c r="G100" s="76"/>
      <c r="H100" s="529">
        <f>+' 2. Önk. Bevételek'!H76</f>
        <v>102000</v>
      </c>
      <c r="I100" s="75">
        <f>+' 2. Önk. Bevételek'!I76</f>
        <v>0</v>
      </c>
      <c r="J100" s="75">
        <f>+' 2. Önk. Bevételek'!J76</f>
        <v>0</v>
      </c>
      <c r="K100" s="76"/>
      <c r="L100" s="93"/>
      <c r="M100" s="93"/>
      <c r="N100" s="530"/>
      <c r="O100" s="76"/>
      <c r="P100" s="529">
        <f>+' 2. Önk. Bevételek'!P76</f>
        <v>0</v>
      </c>
      <c r="Q100" s="75">
        <f>+' 2. Önk. Bevételek'!Q76</f>
        <v>0</v>
      </c>
      <c r="R100" s="75">
        <f>+' 2. Önk. Bevételek'!R76</f>
        <v>0</v>
      </c>
      <c r="S100" s="75">
        <f>+' 2. Önk. Bevételek'!S76</f>
        <v>0</v>
      </c>
      <c r="T100" s="530"/>
      <c r="U100" s="76"/>
    </row>
    <row r="101" spans="1:21" x14ac:dyDescent="0.2">
      <c r="A101" s="58"/>
      <c r="B101" s="58" t="str">
        <f t="shared" si="79"/>
        <v>Dr. Gáspár István HSZK</v>
      </c>
      <c r="C101" s="529"/>
      <c r="D101" s="75"/>
      <c r="E101" s="75"/>
      <c r="F101" s="489"/>
      <c r="G101" s="75"/>
      <c r="H101" s="529"/>
      <c r="I101" s="75"/>
      <c r="J101" s="75"/>
      <c r="K101" s="75"/>
      <c r="L101" s="75"/>
      <c r="M101" s="75"/>
      <c r="N101" s="489"/>
      <c r="O101" s="75"/>
      <c r="P101" s="529"/>
      <c r="Q101" s="75"/>
      <c r="R101" s="75"/>
      <c r="S101" s="75"/>
      <c r="T101" s="530"/>
      <c r="U101" s="76"/>
    </row>
    <row r="102" spans="1:21" x14ac:dyDescent="0.2">
      <c r="B102" s="58" t="str">
        <f t="shared" si="79"/>
        <v>SÜLYSÁPI CSICSERGŐ ÓVODA</v>
      </c>
      <c r="C102" s="529"/>
      <c r="D102" s="75"/>
      <c r="E102" s="75"/>
      <c r="F102" s="489"/>
      <c r="G102" s="75"/>
      <c r="H102" s="529"/>
      <c r="I102" s="75"/>
      <c r="J102" s="75"/>
      <c r="K102" s="75"/>
      <c r="L102" s="75"/>
      <c r="M102" s="75"/>
      <c r="N102" s="489"/>
      <c r="O102" s="75"/>
      <c r="P102" s="529"/>
      <c r="Q102" s="75"/>
      <c r="R102" s="75"/>
      <c r="S102" s="75"/>
      <c r="T102" s="530"/>
      <c r="U102" s="76"/>
    </row>
    <row r="103" spans="1:21" x14ac:dyDescent="0.2">
      <c r="B103" s="58" t="str">
        <f t="shared" si="79"/>
        <v>GÓLYAHÍR BÖLCSŐDE</v>
      </c>
      <c r="C103" s="529"/>
      <c r="D103" s="75"/>
      <c r="E103" s="75"/>
      <c r="F103" s="489"/>
      <c r="G103" s="75"/>
      <c r="H103" s="529"/>
      <c r="I103" s="75"/>
      <c r="J103" s="75"/>
      <c r="K103" s="75"/>
      <c r="L103" s="75"/>
      <c r="M103" s="75"/>
      <c r="N103" s="489"/>
      <c r="O103" s="75"/>
      <c r="P103" s="529"/>
      <c r="Q103" s="75"/>
      <c r="R103" s="75"/>
      <c r="S103" s="75"/>
      <c r="T103" s="530"/>
      <c r="U103" s="76"/>
    </row>
    <row r="104" spans="1:21" x14ac:dyDescent="0.2">
      <c r="B104" s="58" t="str">
        <f t="shared" si="79"/>
        <v>POLGÁRMESTERI HIVATAL</v>
      </c>
      <c r="C104" s="529"/>
      <c r="D104" s="75"/>
      <c r="E104" s="75"/>
      <c r="F104" s="489"/>
      <c r="G104" s="75"/>
      <c r="H104" s="529"/>
      <c r="I104" s="75"/>
      <c r="J104" s="75"/>
      <c r="K104" s="75"/>
      <c r="L104" s="75"/>
      <c r="M104" s="75"/>
      <c r="N104" s="489"/>
      <c r="O104" s="75"/>
      <c r="P104" s="529"/>
      <c r="Q104" s="75"/>
      <c r="R104" s="75"/>
      <c r="S104" s="75"/>
      <c r="T104" s="530"/>
      <c r="U104" s="76"/>
    </row>
    <row r="105" spans="1:21" x14ac:dyDescent="0.2">
      <c r="B105" s="58" t="str">
        <f t="shared" si="79"/>
        <v>Wass Albert Művelődési Központ és Könyvtár</v>
      </c>
      <c r="C105" s="529"/>
      <c r="D105" s="75"/>
      <c r="E105" s="75"/>
      <c r="F105" s="489"/>
      <c r="G105" s="75"/>
      <c r="H105" s="529"/>
      <c r="I105" s="75"/>
      <c r="J105" s="75"/>
      <c r="K105" s="75"/>
      <c r="L105" s="75"/>
      <c r="M105" s="75"/>
      <c r="N105" s="489"/>
      <c r="O105" s="75"/>
      <c r="P105" s="529"/>
      <c r="Q105" s="75"/>
      <c r="R105" s="75"/>
      <c r="S105" s="75"/>
      <c r="T105" s="530"/>
      <c r="U105" s="76"/>
    </row>
    <row r="106" spans="1:21" x14ac:dyDescent="0.2">
      <c r="B106" s="58" t="str">
        <f t="shared" si="79"/>
        <v>Központi Konyha</v>
      </c>
      <c r="C106" s="529"/>
      <c r="D106" s="75"/>
      <c r="E106" s="75"/>
      <c r="F106" s="489"/>
      <c r="G106" s="75"/>
      <c r="H106" s="529"/>
      <c r="I106" s="75"/>
      <c r="J106" s="75"/>
      <c r="K106" s="75"/>
      <c r="L106" s="75"/>
      <c r="M106" s="75"/>
      <c r="N106" s="489"/>
      <c r="O106" s="75"/>
      <c r="P106" s="529"/>
      <c r="Q106" s="75"/>
      <c r="R106" s="75"/>
      <c r="S106" s="75"/>
      <c r="T106" s="530"/>
      <c r="U106" s="76"/>
    </row>
    <row r="107" spans="1:21" ht="8.1" customHeight="1" x14ac:dyDescent="0.2">
      <c r="B107" s="413" t="s">
        <v>459</v>
      </c>
      <c r="C107" s="531"/>
      <c r="D107" s="412"/>
      <c r="E107" s="412"/>
      <c r="F107" s="542"/>
      <c r="G107" s="412"/>
      <c r="H107" s="531"/>
      <c r="I107" s="412"/>
      <c r="J107" s="412"/>
      <c r="K107" s="412"/>
      <c r="L107" s="412"/>
      <c r="M107" s="412"/>
      <c r="N107" s="542"/>
      <c r="O107" s="412"/>
      <c r="P107" s="531"/>
      <c r="Q107" s="412"/>
      <c r="R107" s="412"/>
      <c r="S107" s="412"/>
      <c r="T107" s="530"/>
      <c r="U107" s="76"/>
    </row>
    <row r="108" spans="1:21" x14ac:dyDescent="0.2">
      <c r="A108" s="414" t="str">
        <f>+A99</f>
        <v>B7</v>
      </c>
      <c r="B108" s="394" t="s">
        <v>452</v>
      </c>
      <c r="C108" s="532">
        <f>SUM(C100:C107)</f>
        <v>0</v>
      </c>
      <c r="D108" s="395">
        <f t="shared" ref="D108" si="80">SUM(D100:D107)</f>
        <v>0</v>
      </c>
      <c r="E108" s="395">
        <f t="shared" ref="E108" si="81">SUM(E100:E107)</f>
        <v>0</v>
      </c>
      <c r="F108" s="543">
        <f t="shared" ref="F108" si="82">SUM(F100:F107)</f>
        <v>0</v>
      </c>
      <c r="G108" s="395"/>
      <c r="H108" s="532">
        <f>SUM(H100:H107)</f>
        <v>102000</v>
      </c>
      <c r="I108" s="395">
        <f t="shared" ref="I108" si="83">SUM(I100:I107)</f>
        <v>0</v>
      </c>
      <c r="J108" s="395">
        <f t="shared" ref="J108" si="84">SUM(J100:J107)</f>
        <v>0</v>
      </c>
      <c r="K108" s="395"/>
      <c r="L108" s="395"/>
      <c r="M108" s="395"/>
      <c r="N108" s="543"/>
      <c r="O108" s="395"/>
      <c r="P108" s="532">
        <f>SUM(P100:P107)</f>
        <v>0</v>
      </c>
      <c r="Q108" s="395">
        <f t="shared" ref="Q108" si="85">SUM(Q100:Q107)</f>
        <v>0</v>
      </c>
      <c r="R108" s="395">
        <f t="shared" ref="R108" si="86">SUM(R100:R107)</f>
        <v>0</v>
      </c>
      <c r="S108" s="395">
        <f t="shared" ref="S108" si="87">SUM(S100:S107)</f>
        <v>0</v>
      </c>
      <c r="T108" s="530"/>
      <c r="U108" s="76"/>
    </row>
    <row r="109" spans="1:21" x14ac:dyDescent="0.2">
      <c r="C109" s="533"/>
      <c r="F109" s="487"/>
      <c r="H109" s="533"/>
      <c r="N109" s="530"/>
      <c r="P109" s="533"/>
      <c r="T109" s="530"/>
    </row>
    <row r="110" spans="1:21" x14ac:dyDescent="0.2">
      <c r="C110" s="533"/>
      <c r="F110" s="487"/>
      <c r="H110" s="533"/>
      <c r="N110" s="530"/>
      <c r="P110" s="533"/>
      <c r="T110" s="530"/>
    </row>
    <row r="111" spans="1:21" x14ac:dyDescent="0.2">
      <c r="A111" s="346" t="s">
        <v>333</v>
      </c>
      <c r="B111" s="346"/>
      <c r="C111" s="529"/>
      <c r="D111" s="402" t="s">
        <v>455</v>
      </c>
      <c r="E111" s="76"/>
      <c r="F111" s="555"/>
      <c r="G111" s="76"/>
      <c r="H111" s="529"/>
      <c r="K111" s="76"/>
      <c r="L111" s="93"/>
      <c r="M111" s="93"/>
      <c r="N111" s="530"/>
      <c r="O111" s="76"/>
      <c r="P111" s="529"/>
      <c r="Q111" s="75"/>
      <c r="R111" s="75"/>
      <c r="S111" s="75"/>
      <c r="T111" s="530"/>
      <c r="U111" s="76"/>
    </row>
    <row r="112" spans="1:21" x14ac:dyDescent="0.2">
      <c r="B112" s="58" t="str">
        <f t="shared" ref="B112:B118" si="88">+B100</f>
        <v>Sülysáp Város Önkormányzat</v>
      </c>
      <c r="C112" s="529">
        <f>+' 2. Önk. Bevételek'!C80</f>
        <v>109560182</v>
      </c>
      <c r="D112" s="75">
        <f>+' 2. Önk. Bevételek'!D80</f>
        <v>126560182</v>
      </c>
      <c r="E112" s="75">
        <f>+' 2. Önk. Bevételek'!E80</f>
        <v>0</v>
      </c>
      <c r="F112" s="489">
        <f>+' 2. Önk. Bevételek'!F80-F124</f>
        <v>0</v>
      </c>
      <c r="G112" s="76"/>
      <c r="H112" s="529">
        <f>+' 2. Önk. Bevételek'!H80-H124</f>
        <v>109560182</v>
      </c>
      <c r="I112" s="75">
        <f>+' 2. Önk. Bevételek'!I80-I124</f>
        <v>0</v>
      </c>
      <c r="J112" s="75">
        <f>+' 2. Önk. Bevételek'!J80-J124</f>
        <v>0</v>
      </c>
      <c r="K112" s="76"/>
      <c r="L112" s="93"/>
      <c r="M112" s="93"/>
      <c r="N112" s="530"/>
      <c r="O112" s="76"/>
      <c r="P112" s="529">
        <f>+' 2. Önk. Bevételek'!P80-P124</f>
        <v>17000000</v>
      </c>
      <c r="Q112" s="75">
        <f>+' 2. Önk. Bevételek'!Q80-Q124</f>
        <v>-126560182</v>
      </c>
      <c r="R112" s="75">
        <f>+' 2. Önk. Bevételek'!R80-R124</f>
        <v>0</v>
      </c>
      <c r="S112" s="75">
        <f>+' 2. Önk. Bevételek'!S80-S124</f>
        <v>-109560182</v>
      </c>
      <c r="T112" s="530"/>
      <c r="U112" s="76"/>
    </row>
    <row r="113" spans="1:21" x14ac:dyDescent="0.2">
      <c r="A113" s="58"/>
      <c r="B113" s="58" t="str">
        <f t="shared" si="88"/>
        <v>Dr. Gáspár István HSZK</v>
      </c>
      <c r="C113" s="529">
        <f>+'4. Dr Gáspár HSZK'!C99</f>
        <v>28615000</v>
      </c>
      <c r="D113" s="75">
        <f>+'4. Dr Gáspár HSZK'!D99</f>
        <v>29024000</v>
      </c>
      <c r="E113" s="75">
        <f>+'4. Dr Gáspár HSZK'!E99</f>
        <v>0</v>
      </c>
      <c r="F113" s="489">
        <f>+'4. Dr Gáspár HSZK'!F99-F125</f>
        <v>0</v>
      </c>
      <c r="G113" s="75"/>
      <c r="H113" s="529">
        <f>+'4. Dr Gáspár HSZK'!H99-H125</f>
        <v>15590607</v>
      </c>
      <c r="I113" s="75">
        <f>+'4. Dr Gáspár HSZK'!I99-I125</f>
        <v>0</v>
      </c>
      <c r="J113" s="75">
        <f>+'4. Dr Gáspár HSZK'!J99-J125</f>
        <v>0</v>
      </c>
      <c r="K113" s="75"/>
      <c r="L113" s="75"/>
      <c r="M113" s="75"/>
      <c r="N113" s="489"/>
      <c r="O113" s="75"/>
      <c r="P113" s="529">
        <f>+'4. Dr Gáspár HSZK'!P99-P125</f>
        <v>409000</v>
      </c>
      <c r="Q113" s="75">
        <f>+'4. Dr Gáspár HSZK'!Q99-Q125</f>
        <v>-28137761</v>
      </c>
      <c r="R113" s="75">
        <f>+'4. Dr Gáspár HSZK'!R99-R125</f>
        <v>0</v>
      </c>
      <c r="S113" s="75">
        <f>+'4. Dr Gáspár HSZK'!S99-S125</f>
        <v>-27728761</v>
      </c>
      <c r="T113" s="530"/>
      <c r="U113" s="76"/>
    </row>
    <row r="114" spans="1:21" x14ac:dyDescent="0.2">
      <c r="B114" s="58" t="str">
        <f t="shared" si="88"/>
        <v>SÜLYSÁPI CSICSERGŐ ÓVODA</v>
      </c>
      <c r="C114" s="529">
        <f>+'5. Csicsergő'!C99</f>
        <v>171876100</v>
      </c>
      <c r="D114" s="75">
        <f>+'5. Csicsergő'!D99</f>
        <v>173320100</v>
      </c>
      <c r="E114" s="75">
        <f>+'5. Csicsergő'!E99</f>
        <v>0</v>
      </c>
      <c r="F114" s="489">
        <f>+'5. Csicsergő'!F99-F126</f>
        <v>0</v>
      </c>
      <c r="G114" s="75"/>
      <c r="H114" s="529">
        <f>+'5. Csicsergő'!H99-H126</f>
        <v>91148272</v>
      </c>
      <c r="I114" s="75">
        <f>+'5. Csicsergő'!I99-I126</f>
        <v>0</v>
      </c>
      <c r="J114" s="75">
        <f>+'5. Csicsergő'!J99-J126</f>
        <v>0</v>
      </c>
      <c r="K114" s="75"/>
      <c r="L114" s="75"/>
      <c r="M114" s="75"/>
      <c r="N114" s="489"/>
      <c r="O114" s="75"/>
      <c r="P114" s="529">
        <f>+'5. Csicsergő'!P99-P126</f>
        <v>1444000</v>
      </c>
      <c r="Q114" s="75">
        <f>+'5. Csicsergő'!Q99-Q126</f>
        <v>-172739092</v>
      </c>
      <c r="R114" s="75">
        <f>+'5. Csicsergő'!R99-R126</f>
        <v>0</v>
      </c>
      <c r="S114" s="75">
        <f>+'5. Csicsergő'!S99-S126</f>
        <v>-171295092</v>
      </c>
      <c r="T114" s="530"/>
      <c r="U114" s="76"/>
    </row>
    <row r="115" spans="1:21" x14ac:dyDescent="0.2">
      <c r="B115" s="58" t="str">
        <f t="shared" si="88"/>
        <v>GÓLYAHÍR BÖLCSŐDE</v>
      </c>
      <c r="C115" s="529">
        <f>+'6. Gólyahír'!C99</f>
        <v>51230000</v>
      </c>
      <c r="D115" s="75">
        <f>+'6. Gólyahír'!D99</f>
        <v>51230000</v>
      </c>
      <c r="E115" s="75">
        <f>+'6. Gólyahír'!E99</f>
        <v>0</v>
      </c>
      <c r="F115" s="489">
        <f>+'6. Gólyahír'!F99-F127</f>
        <v>0</v>
      </c>
      <c r="G115" s="75"/>
      <c r="H115" s="529">
        <f>+'6. Gólyahír'!H99-H127</f>
        <v>25458650</v>
      </c>
      <c r="I115" s="75">
        <f>+'6. Gólyahír'!I99-I127</f>
        <v>0</v>
      </c>
      <c r="J115" s="75">
        <f>+'6. Gólyahír'!J99-J127</f>
        <v>0</v>
      </c>
      <c r="K115" s="75"/>
      <c r="L115" s="75"/>
      <c r="M115" s="75"/>
      <c r="N115" s="489"/>
      <c r="O115" s="75"/>
      <c r="P115" s="529">
        <f>+'6. Gólyahír'!P99-P127</f>
        <v>0</v>
      </c>
      <c r="Q115" s="75">
        <f>+'6. Gólyahír'!Q99-Q127</f>
        <v>-48881766</v>
      </c>
      <c r="R115" s="75">
        <f>+'6. Gólyahír'!R99-R127</f>
        <v>0</v>
      </c>
      <c r="S115" s="75">
        <f>+'6. Gólyahír'!S99-S127</f>
        <v>-48881766</v>
      </c>
      <c r="T115" s="530"/>
      <c r="U115" s="76"/>
    </row>
    <row r="116" spans="1:21" x14ac:dyDescent="0.2">
      <c r="B116" s="58" t="str">
        <f t="shared" si="88"/>
        <v>POLGÁRMESTERI HIVATAL</v>
      </c>
      <c r="C116" s="529">
        <f>+'7. Polg.Hiv.'!C99</f>
        <v>113342899</v>
      </c>
      <c r="D116" s="75">
        <f>+'7. Polg.Hiv.'!D99</f>
        <v>113342899</v>
      </c>
      <c r="E116" s="75">
        <f>+'7. Polg.Hiv.'!E99</f>
        <v>0</v>
      </c>
      <c r="F116" s="489">
        <f>+'7. Polg.Hiv.'!F99-F128</f>
        <v>0</v>
      </c>
      <c r="G116" s="75"/>
      <c r="H116" s="529">
        <f>+'7. Polg.Hiv.'!H99-H128</f>
        <v>55828164</v>
      </c>
      <c r="I116" s="75">
        <f>+'7. Polg.Hiv.'!I99-I128</f>
        <v>0</v>
      </c>
      <c r="J116" s="75">
        <f>+'7. Polg.Hiv.'!J99-J128</f>
        <v>0</v>
      </c>
      <c r="K116" s="75"/>
      <c r="L116" s="75"/>
      <c r="M116" s="75"/>
      <c r="N116" s="489"/>
      <c r="O116" s="75"/>
      <c r="P116" s="529">
        <f>+'7. Polg.Hiv.'!P99-P128</f>
        <v>0</v>
      </c>
      <c r="Q116" s="75">
        <f>+'7. Polg.Hiv.'!Q99-Q128</f>
        <v>-111124591</v>
      </c>
      <c r="R116" s="75">
        <f>+'7. Polg.Hiv.'!R99-R128</f>
        <v>0</v>
      </c>
      <c r="S116" s="75">
        <f>+'7. Polg.Hiv.'!S99-S128</f>
        <v>-111124591</v>
      </c>
      <c r="T116" s="530"/>
      <c r="U116" s="76"/>
    </row>
    <row r="117" spans="1:21" x14ac:dyDescent="0.2">
      <c r="B117" s="58" t="str">
        <f t="shared" si="88"/>
        <v>Wass Albert Művelődési Központ és Könyvtár</v>
      </c>
      <c r="C117" s="529">
        <f>+'8. WAMKK'!C99</f>
        <v>29624000</v>
      </c>
      <c r="D117" s="75">
        <f>+'8. WAMKK'!D99</f>
        <v>31224000</v>
      </c>
      <c r="E117" s="75">
        <f>+'8. WAMKK'!E99</f>
        <v>0</v>
      </c>
      <c r="F117" s="489">
        <f>+'8. WAMKK'!F99-F129</f>
        <v>0</v>
      </c>
      <c r="G117" s="75"/>
      <c r="H117" s="529">
        <f>+'8. WAMKK'!H99-H129</f>
        <v>16263376</v>
      </c>
      <c r="I117" s="75">
        <f>+'8. WAMKK'!I99-I129</f>
        <v>0</v>
      </c>
      <c r="J117" s="75">
        <f>+'8. WAMKK'!J99-J129</f>
        <v>0</v>
      </c>
      <c r="K117" s="75"/>
      <c r="L117" s="75"/>
      <c r="M117" s="75"/>
      <c r="N117" s="489"/>
      <c r="O117" s="75"/>
      <c r="P117" s="529">
        <f>+'8. WAMKK'!P99-P129</f>
        <v>1600000</v>
      </c>
      <c r="Q117" s="75">
        <f>+'8. WAMKK'!Q99-Q129</f>
        <v>-30966179</v>
      </c>
      <c r="R117" s="75">
        <f>+'8. WAMKK'!R99-R129</f>
        <v>0</v>
      </c>
      <c r="S117" s="75">
        <f>+'8. WAMKK'!S99-S129</f>
        <v>-29366179</v>
      </c>
      <c r="T117" s="530"/>
      <c r="U117" s="76"/>
    </row>
    <row r="118" spans="1:21" x14ac:dyDescent="0.2">
      <c r="B118" s="58" t="str">
        <f t="shared" si="88"/>
        <v>Központi Konyha</v>
      </c>
      <c r="C118" s="529">
        <f>+'9. Közp. Konyha'!C99</f>
        <v>70811000</v>
      </c>
      <c r="D118" s="75">
        <f>+'9. Közp. Konyha'!D99</f>
        <v>70811000</v>
      </c>
      <c r="E118" s="75">
        <f>+'9. Közp. Konyha'!E99</f>
        <v>0</v>
      </c>
      <c r="F118" s="489">
        <f>+'9. Közp. Konyha'!F99-F130</f>
        <v>0</v>
      </c>
      <c r="G118" s="75"/>
      <c r="H118" s="529">
        <f>+'9. Közp. Konyha'!H99-H130</f>
        <v>33423906</v>
      </c>
      <c r="I118" s="75">
        <f>+'9. Közp. Konyha'!I99-I130</f>
        <v>0</v>
      </c>
      <c r="J118" s="75">
        <f>+'9. Közp. Konyha'!J99-J130</f>
        <v>0</v>
      </c>
      <c r="K118" s="75"/>
      <c r="L118" s="75"/>
      <c r="M118" s="75"/>
      <c r="N118" s="489"/>
      <c r="O118" s="75"/>
      <c r="P118" s="529">
        <f>+'9. Közp. Konyha'!P99-P130</f>
        <v>0</v>
      </c>
      <c r="Q118" s="75">
        <f>+'9. Közp. Konyha'!Q99-Q130</f>
        <v>-65769773</v>
      </c>
      <c r="R118" s="75">
        <f>+'9. Közp. Konyha'!R99-R130</f>
        <v>0</v>
      </c>
      <c r="S118" s="75">
        <f>+'9. Közp. Konyha'!S99-S130</f>
        <v>-65769773</v>
      </c>
      <c r="T118" s="530"/>
      <c r="U118" s="76"/>
    </row>
    <row r="119" spans="1:21" ht="8.1" customHeight="1" x14ac:dyDescent="0.2">
      <c r="B119" s="413" t="s">
        <v>459</v>
      </c>
      <c r="C119" s="531"/>
      <c r="D119" s="412"/>
      <c r="E119" s="412"/>
      <c r="F119" s="542"/>
      <c r="G119" s="412"/>
      <c r="H119" s="531"/>
      <c r="I119" s="412"/>
      <c r="J119" s="412"/>
      <c r="K119" s="412"/>
      <c r="L119" s="412"/>
      <c r="M119" s="412"/>
      <c r="N119" s="542"/>
      <c r="O119" s="412"/>
      <c r="P119" s="531"/>
      <c r="Q119" s="412"/>
      <c r="R119" s="412"/>
      <c r="S119" s="412"/>
      <c r="T119" s="530"/>
      <c r="U119" s="76"/>
    </row>
    <row r="120" spans="1:21" x14ac:dyDescent="0.2">
      <c r="A120" s="414" t="str">
        <f>+A111</f>
        <v>B8</v>
      </c>
      <c r="B120" s="394" t="s">
        <v>452</v>
      </c>
      <c r="C120" s="532">
        <f>SUM(C112:C119)</f>
        <v>575059181</v>
      </c>
      <c r="D120" s="395">
        <f t="shared" ref="D120" si="89">SUM(D112:D119)</f>
        <v>595512181</v>
      </c>
      <c r="E120" s="395">
        <f t="shared" ref="E120" si="90">SUM(E112:E119)</f>
        <v>0</v>
      </c>
      <c r="F120" s="543">
        <f t="shared" ref="F120" si="91">SUM(F112:F119)</f>
        <v>0</v>
      </c>
      <c r="G120" s="395"/>
      <c r="H120" s="532">
        <f>SUM(H112:H119)</f>
        <v>347273157</v>
      </c>
      <c r="I120" s="395">
        <f t="shared" ref="I120" si="92">SUM(I112:I119)</f>
        <v>0</v>
      </c>
      <c r="J120" s="395">
        <f t="shared" ref="J120" si="93">SUM(J112:J119)</f>
        <v>0</v>
      </c>
      <c r="K120" s="395"/>
      <c r="L120" s="395"/>
      <c r="M120" s="395"/>
      <c r="N120" s="543"/>
      <c r="O120" s="395"/>
      <c r="P120" s="532">
        <f>SUM(P112:P119)</f>
        <v>20453000</v>
      </c>
      <c r="Q120" s="395">
        <f t="shared" ref="Q120" si="94">SUM(Q112:Q119)</f>
        <v>-584179344</v>
      </c>
      <c r="R120" s="395">
        <f t="shared" ref="R120" si="95">SUM(R112:R119)</f>
        <v>0</v>
      </c>
      <c r="S120" s="395">
        <f t="shared" ref="S120" si="96">SUM(S112:S119)</f>
        <v>-563726344</v>
      </c>
      <c r="T120" s="530"/>
      <c r="U120" s="76"/>
    </row>
    <row r="121" spans="1:21" x14ac:dyDescent="0.2">
      <c r="C121" s="533"/>
      <c r="F121" s="487"/>
      <c r="H121" s="533"/>
      <c r="N121" s="530"/>
      <c r="P121" s="533"/>
      <c r="T121" s="530"/>
    </row>
    <row r="122" spans="1:21" x14ac:dyDescent="0.2">
      <c r="C122" s="533"/>
      <c r="F122" s="487"/>
      <c r="H122" s="533"/>
      <c r="N122" s="530"/>
      <c r="P122" s="533"/>
      <c r="T122" s="530"/>
    </row>
    <row r="123" spans="1:21" x14ac:dyDescent="0.2">
      <c r="A123" s="346" t="s">
        <v>460</v>
      </c>
      <c r="B123" s="346"/>
      <c r="C123" s="529"/>
      <c r="D123" s="76"/>
      <c r="E123" s="76"/>
      <c r="F123" s="555"/>
      <c r="G123" s="76"/>
      <c r="H123" s="529"/>
      <c r="K123" s="76"/>
      <c r="L123" s="93"/>
      <c r="M123" s="93"/>
      <c r="N123" s="530"/>
      <c r="O123" s="76"/>
      <c r="P123" s="529"/>
      <c r="Q123" s="75"/>
      <c r="R123" s="75"/>
      <c r="S123" s="75"/>
      <c r="T123" s="530"/>
      <c r="U123" s="76"/>
    </row>
    <row r="124" spans="1:21" x14ac:dyDescent="0.2">
      <c r="B124" s="58" t="str">
        <f t="shared" ref="B124:B130" si="97">+B112</f>
        <v>Sülysáp Város Önkormányzat</v>
      </c>
      <c r="C124" s="529">
        <f>+' 2. Önk. Bevételek'!C87</f>
        <v>0</v>
      </c>
      <c r="D124" s="75">
        <f>+' 2. Önk. Bevételek'!D87</f>
        <v>0</v>
      </c>
      <c r="E124" s="75">
        <f>+' 2. Önk. Bevételek'!E87</f>
        <v>0</v>
      </c>
      <c r="F124" s="489">
        <f>+' 2. Önk. Bevételek'!F87</f>
        <v>0</v>
      </c>
      <c r="G124" s="76"/>
      <c r="H124" s="529">
        <f>+' 2. Önk. Bevételek'!H87</f>
        <v>0</v>
      </c>
      <c r="I124" s="75">
        <f>+' 2. Önk. Bevételek'!I87</f>
        <v>0</v>
      </c>
      <c r="J124" s="75">
        <f>+' 2. Önk. Bevételek'!J87</f>
        <v>0</v>
      </c>
      <c r="K124" s="76"/>
      <c r="L124" s="93"/>
      <c r="M124" s="93"/>
      <c r="N124" s="530"/>
      <c r="O124" s="76"/>
      <c r="P124" s="529">
        <f>+' 2. Önk. Bevételek'!P87</f>
        <v>0</v>
      </c>
      <c r="Q124" s="75">
        <f>+' 2. Önk. Bevételek'!Q87</f>
        <v>0</v>
      </c>
      <c r="R124" s="75">
        <f>+' 2. Önk. Bevételek'!R87</f>
        <v>0</v>
      </c>
      <c r="S124" s="75">
        <f>+' 2. Önk. Bevételek'!S87</f>
        <v>0</v>
      </c>
      <c r="T124" s="530"/>
      <c r="U124" s="76"/>
    </row>
    <row r="125" spans="1:21" x14ac:dyDescent="0.2">
      <c r="A125" s="58"/>
      <c r="B125" s="58" t="str">
        <f t="shared" si="97"/>
        <v>Dr. Gáspár István HSZK</v>
      </c>
      <c r="C125" s="529">
        <f>+'4. Dr Gáspár HSZK'!C101</f>
        <v>886239</v>
      </c>
      <c r="D125" s="75">
        <f>+'4. Dr Gáspár HSZK'!D101</f>
        <v>886239</v>
      </c>
      <c r="E125" s="75">
        <f>+'4. Dr Gáspár HSZK'!E101</f>
        <v>0</v>
      </c>
      <c r="F125" s="489">
        <f>+'4. Dr Gáspár HSZK'!F101</f>
        <v>0</v>
      </c>
      <c r="G125" s="75"/>
      <c r="H125" s="529">
        <f>+'4. Dr Gáspár HSZK'!H101</f>
        <v>886239</v>
      </c>
      <c r="I125" s="75">
        <f>+'4. Dr Gáspár HSZK'!I101</f>
        <v>0</v>
      </c>
      <c r="J125" s="75">
        <f>+'4. Dr Gáspár HSZK'!J101</f>
        <v>0</v>
      </c>
      <c r="K125" s="75"/>
      <c r="L125" s="75"/>
      <c r="M125" s="75"/>
      <c r="N125" s="489"/>
      <c r="O125" s="75"/>
      <c r="P125" s="529">
        <f>+'4. Dr Gáspár HSZK'!P101</f>
        <v>0</v>
      </c>
      <c r="Q125" s="75">
        <f>+'4. Dr Gáspár HSZK'!Q101</f>
        <v>-886239</v>
      </c>
      <c r="R125" s="75">
        <f>+'4. Dr Gáspár HSZK'!R101</f>
        <v>0</v>
      </c>
      <c r="S125" s="75">
        <f>+'4. Dr Gáspár HSZK'!S101</f>
        <v>-886239</v>
      </c>
      <c r="T125" s="530"/>
      <c r="U125" s="76"/>
    </row>
    <row r="126" spans="1:21" x14ac:dyDescent="0.2">
      <c r="B126" s="58" t="str">
        <f t="shared" si="97"/>
        <v>SÜLYSÁPI CSICSERGŐ ÓVODA</v>
      </c>
      <c r="C126" s="529">
        <f>+'5. Csicsergő'!C101</f>
        <v>581008</v>
      </c>
      <c r="D126" s="75">
        <f>+'5. Csicsergő'!D101</f>
        <v>581008</v>
      </c>
      <c r="E126" s="75">
        <f>+'5. Csicsergő'!E101</f>
        <v>0</v>
      </c>
      <c r="F126" s="489">
        <f>+'5. Csicsergő'!F101</f>
        <v>0</v>
      </c>
      <c r="G126" s="75"/>
      <c r="H126" s="529">
        <f>+'5. Csicsergő'!H101</f>
        <v>581008</v>
      </c>
      <c r="I126" s="75">
        <f>+'5. Csicsergő'!I101</f>
        <v>0</v>
      </c>
      <c r="J126" s="75">
        <f>+'5. Csicsergő'!J101</f>
        <v>0</v>
      </c>
      <c r="K126" s="75"/>
      <c r="L126" s="75"/>
      <c r="M126" s="75"/>
      <c r="N126" s="489"/>
      <c r="O126" s="75"/>
      <c r="P126" s="529">
        <f>+'5. Csicsergő'!P101</f>
        <v>0</v>
      </c>
      <c r="Q126" s="75">
        <f>+'5. Csicsergő'!Q101</f>
        <v>-581008</v>
      </c>
      <c r="R126" s="75">
        <f>+'5. Csicsergő'!R101</f>
        <v>0</v>
      </c>
      <c r="S126" s="75">
        <f>+'5. Csicsergő'!S101</f>
        <v>-581008</v>
      </c>
      <c r="T126" s="530"/>
      <c r="U126" s="76"/>
    </row>
    <row r="127" spans="1:21" x14ac:dyDescent="0.2">
      <c r="B127" s="58" t="str">
        <f t="shared" si="97"/>
        <v>GÓLYAHÍR BÖLCSŐDE</v>
      </c>
      <c r="C127" s="529">
        <f>+'6. Gólyahír'!C101</f>
        <v>2348234</v>
      </c>
      <c r="D127" s="75">
        <f>+'6. Gólyahír'!D101</f>
        <v>2348234</v>
      </c>
      <c r="E127" s="75">
        <f>+'6. Gólyahír'!E101</f>
        <v>0</v>
      </c>
      <c r="F127" s="489">
        <f>+'6. Gólyahír'!F101</f>
        <v>0</v>
      </c>
      <c r="G127" s="75"/>
      <c r="H127" s="529">
        <f>+'6. Gólyahír'!H101</f>
        <v>2348234</v>
      </c>
      <c r="I127" s="75">
        <f>+'6. Gólyahír'!I101</f>
        <v>0</v>
      </c>
      <c r="J127" s="75">
        <f>+'6. Gólyahír'!J101</f>
        <v>0</v>
      </c>
      <c r="K127" s="75"/>
      <c r="L127" s="75"/>
      <c r="M127" s="75"/>
      <c r="N127" s="489"/>
      <c r="O127" s="75"/>
      <c r="P127" s="529">
        <f>+'6. Gólyahír'!P101</f>
        <v>0</v>
      </c>
      <c r="Q127" s="75">
        <f>+'6. Gólyahír'!Q101</f>
        <v>-2348234</v>
      </c>
      <c r="R127" s="75">
        <f>+'6. Gólyahír'!R101</f>
        <v>0</v>
      </c>
      <c r="S127" s="75">
        <f>+'6. Gólyahír'!S101</f>
        <v>-2348234</v>
      </c>
      <c r="T127" s="530"/>
      <c r="U127" s="76"/>
    </row>
    <row r="128" spans="1:21" x14ac:dyDescent="0.2">
      <c r="B128" s="58" t="str">
        <f t="shared" si="97"/>
        <v>POLGÁRMESTERI HIVATAL</v>
      </c>
      <c r="C128" s="529">
        <f>+'7. Polg.Hiv.'!C101</f>
        <v>2218308</v>
      </c>
      <c r="D128" s="75">
        <f>+'7. Polg.Hiv.'!D101</f>
        <v>2218308</v>
      </c>
      <c r="E128" s="75">
        <f>+'7. Polg.Hiv.'!E101</f>
        <v>0</v>
      </c>
      <c r="F128" s="489">
        <f>+'7. Polg.Hiv.'!F101</f>
        <v>0</v>
      </c>
      <c r="G128" s="75"/>
      <c r="H128" s="529">
        <f>+'7. Polg.Hiv.'!H101</f>
        <v>2218308</v>
      </c>
      <c r="I128" s="75">
        <f>+'7. Polg.Hiv.'!I101</f>
        <v>0</v>
      </c>
      <c r="J128" s="75">
        <f>+'7. Polg.Hiv.'!J101</f>
        <v>0</v>
      </c>
      <c r="K128" s="75"/>
      <c r="L128" s="75"/>
      <c r="M128" s="75"/>
      <c r="N128" s="489"/>
      <c r="O128" s="75"/>
      <c r="P128" s="529">
        <f>+'7. Polg.Hiv.'!P101</f>
        <v>0</v>
      </c>
      <c r="Q128" s="75">
        <f>+'7. Polg.Hiv.'!Q101</f>
        <v>-2218308</v>
      </c>
      <c r="R128" s="75">
        <f>+'7. Polg.Hiv.'!R101</f>
        <v>0</v>
      </c>
      <c r="S128" s="75">
        <f>+'7. Polg.Hiv.'!S101</f>
        <v>-2218308</v>
      </c>
      <c r="T128" s="530"/>
      <c r="U128" s="76"/>
    </row>
    <row r="129" spans="1:21" x14ac:dyDescent="0.2">
      <c r="B129" s="58" t="str">
        <f t="shared" si="97"/>
        <v>Wass Albert Művelődési Központ és Könyvtár</v>
      </c>
      <c r="C129" s="529">
        <f>+'8. WAMKK'!C101</f>
        <v>257821</v>
      </c>
      <c r="D129" s="75">
        <f>+'8. WAMKK'!D101</f>
        <v>257821</v>
      </c>
      <c r="E129" s="75">
        <f>+'8. WAMKK'!E101</f>
        <v>0</v>
      </c>
      <c r="F129" s="489">
        <f>+'8. WAMKK'!F101</f>
        <v>0</v>
      </c>
      <c r="G129" s="75"/>
      <c r="H129" s="529">
        <f>+'8. WAMKK'!H101</f>
        <v>257821</v>
      </c>
      <c r="I129" s="75">
        <f>+'8. WAMKK'!I101</f>
        <v>0</v>
      </c>
      <c r="J129" s="75">
        <f>+'8. WAMKK'!J101</f>
        <v>0</v>
      </c>
      <c r="K129" s="75"/>
      <c r="L129" s="75"/>
      <c r="M129" s="75"/>
      <c r="N129" s="489"/>
      <c r="O129" s="75"/>
      <c r="P129" s="529">
        <f>+'8. WAMKK'!P101</f>
        <v>0</v>
      </c>
      <c r="Q129" s="75">
        <f>+'8. WAMKK'!Q101</f>
        <v>-257821</v>
      </c>
      <c r="R129" s="75">
        <f>+'8. WAMKK'!R101</f>
        <v>0</v>
      </c>
      <c r="S129" s="75">
        <f>+'8. WAMKK'!S101</f>
        <v>-257821</v>
      </c>
      <c r="T129" s="530"/>
      <c r="U129" s="76"/>
    </row>
    <row r="130" spans="1:21" x14ac:dyDescent="0.2">
      <c r="B130" s="58" t="str">
        <f t="shared" si="97"/>
        <v>Központi Konyha</v>
      </c>
      <c r="C130" s="529">
        <f>+'9. Közp. Konyha'!C101</f>
        <v>5041227</v>
      </c>
      <c r="D130" s="75">
        <f>+'9. Közp. Konyha'!D101</f>
        <v>5041227</v>
      </c>
      <c r="E130" s="75">
        <f>+'9. Közp. Konyha'!E101</f>
        <v>0</v>
      </c>
      <c r="F130" s="489">
        <f>+'9. Közp. Konyha'!F101</f>
        <v>0</v>
      </c>
      <c r="G130" s="75"/>
      <c r="H130" s="529">
        <f>+'9. Közp. Konyha'!H101</f>
        <v>5041227</v>
      </c>
      <c r="I130" s="75">
        <f>+'9. Közp. Konyha'!I101</f>
        <v>0</v>
      </c>
      <c r="J130" s="75">
        <f>+'9. Közp. Konyha'!J101</f>
        <v>0</v>
      </c>
      <c r="K130" s="75"/>
      <c r="L130" s="75"/>
      <c r="M130" s="75"/>
      <c r="N130" s="489"/>
      <c r="O130" s="75"/>
      <c r="P130" s="529">
        <f>+'9. Közp. Konyha'!P101</f>
        <v>0</v>
      </c>
      <c r="Q130" s="75">
        <f>+'9. Közp. Konyha'!Q101</f>
        <v>-5041227</v>
      </c>
      <c r="R130" s="75">
        <f>+'9. Közp. Konyha'!R101</f>
        <v>0</v>
      </c>
      <c r="S130" s="75">
        <f>+'9. Közp. Konyha'!S101</f>
        <v>-5041227</v>
      </c>
      <c r="T130" s="530"/>
      <c r="U130" s="76"/>
    </row>
    <row r="131" spans="1:21" ht="8.1" customHeight="1" x14ac:dyDescent="0.2">
      <c r="B131" s="413" t="s">
        <v>459</v>
      </c>
      <c r="C131" s="531"/>
      <c r="D131" s="412"/>
      <c r="E131" s="412"/>
      <c r="F131" s="542"/>
      <c r="G131" s="412"/>
      <c r="H131" s="531"/>
      <c r="I131" s="412"/>
      <c r="J131" s="412"/>
      <c r="K131" s="412"/>
      <c r="L131" s="412"/>
      <c r="M131" s="412"/>
      <c r="N131" s="542"/>
      <c r="O131" s="412"/>
      <c r="P131" s="531"/>
      <c r="Q131" s="412"/>
      <c r="R131" s="412"/>
      <c r="S131" s="412"/>
      <c r="T131" s="530"/>
      <c r="U131" s="76"/>
    </row>
    <row r="132" spans="1:21" x14ac:dyDescent="0.2">
      <c r="A132" s="414" t="str">
        <f>+A123</f>
        <v>B8-ból előző évi mardvány igénybevétele</v>
      </c>
      <c r="B132" s="394" t="s">
        <v>452</v>
      </c>
      <c r="C132" s="532">
        <f>SUM(C124:C131)</f>
        <v>11332837</v>
      </c>
      <c r="D132" s="395">
        <f t="shared" ref="D132" si="98">SUM(D124:D131)</f>
        <v>11332837</v>
      </c>
      <c r="E132" s="395">
        <f t="shared" ref="E132" si="99">SUM(E124:E131)</f>
        <v>0</v>
      </c>
      <c r="F132" s="543">
        <f t="shared" ref="F132" si="100">SUM(F124:F131)</f>
        <v>0</v>
      </c>
      <c r="G132" s="395"/>
      <c r="H132" s="532">
        <f>SUM(H124:H131)</f>
        <v>11332837</v>
      </c>
      <c r="I132" s="395">
        <f t="shared" ref="I132" si="101">SUM(I124:I131)</f>
        <v>0</v>
      </c>
      <c r="J132" s="395">
        <f t="shared" ref="J132" si="102">SUM(J124:J131)</f>
        <v>0</v>
      </c>
      <c r="K132" s="395"/>
      <c r="L132" s="395"/>
      <c r="M132" s="395"/>
      <c r="N132" s="543"/>
      <c r="O132" s="395"/>
      <c r="P132" s="532">
        <f>SUM(P124:P131)</f>
        <v>0</v>
      </c>
      <c r="Q132" s="395">
        <f t="shared" ref="Q132" si="103">SUM(Q124:Q131)</f>
        <v>-11332837</v>
      </c>
      <c r="R132" s="395">
        <f t="shared" ref="R132" si="104">SUM(R124:R131)</f>
        <v>0</v>
      </c>
      <c r="S132" s="395">
        <f t="shared" ref="S132" si="105">SUM(S124:S131)</f>
        <v>-11332837</v>
      </c>
      <c r="T132" s="530"/>
      <c r="U132" s="76"/>
    </row>
    <row r="133" spans="1:21" x14ac:dyDescent="0.2">
      <c r="C133" s="529"/>
      <c r="F133" s="487"/>
      <c r="H133" s="533"/>
      <c r="N133" s="530"/>
      <c r="P133" s="533"/>
      <c r="T133" s="530"/>
    </row>
    <row r="134" spans="1:21" x14ac:dyDescent="0.2">
      <c r="C134" s="533"/>
      <c r="F134" s="487"/>
      <c r="H134" s="533"/>
      <c r="N134" s="530"/>
      <c r="P134" s="533"/>
      <c r="T134" s="530"/>
    </row>
    <row r="135" spans="1:21" x14ac:dyDescent="0.2">
      <c r="A135" s="346" t="s">
        <v>359</v>
      </c>
      <c r="B135" s="346" t="str">
        <f>+'4. Dr Gáspár HSZK'!B100</f>
        <v>Központi, irányító szervi támogatás</v>
      </c>
      <c r="C135" s="556" t="s">
        <v>455</v>
      </c>
      <c r="D135" s="76"/>
      <c r="E135" s="76"/>
      <c r="F135" s="555"/>
      <c r="G135" s="76"/>
      <c r="H135" s="529"/>
      <c r="K135" s="76"/>
      <c r="L135" s="93"/>
      <c r="M135" s="93"/>
      <c r="N135" s="530"/>
      <c r="O135" s="76"/>
      <c r="P135" s="529"/>
      <c r="Q135" s="75"/>
      <c r="R135" s="75"/>
      <c r="S135" s="75"/>
      <c r="T135" s="530"/>
      <c r="U135" s="76"/>
    </row>
    <row r="136" spans="1:21" x14ac:dyDescent="0.2">
      <c r="B136" s="58" t="str">
        <f t="shared" ref="B136:B142" si="106">+B124</f>
        <v>Sülysáp Város Önkormányzat</v>
      </c>
      <c r="C136" s="529"/>
      <c r="D136" s="75"/>
      <c r="E136" s="75"/>
      <c r="F136" s="489"/>
      <c r="G136" s="76"/>
      <c r="H136" s="529"/>
      <c r="I136" s="75"/>
      <c r="J136" s="75"/>
      <c r="K136" s="76"/>
      <c r="L136" s="93"/>
      <c r="M136" s="93"/>
      <c r="N136" s="530"/>
      <c r="O136" s="76"/>
      <c r="P136" s="529"/>
      <c r="Q136" s="75"/>
      <c r="R136" s="75"/>
      <c r="S136" s="75"/>
      <c r="T136" s="530"/>
      <c r="U136" s="76"/>
    </row>
    <row r="137" spans="1:21" x14ac:dyDescent="0.2">
      <c r="A137" s="58"/>
      <c r="B137" s="58" t="str">
        <f t="shared" si="106"/>
        <v>Dr. Gáspár István HSZK</v>
      </c>
      <c r="C137" s="529">
        <f>+'4. Dr Gáspár HSZK'!C100</f>
        <v>27728761</v>
      </c>
      <c r="D137" s="75">
        <f>+'4. Dr Gáspár HSZK'!D100</f>
        <v>28137761</v>
      </c>
      <c r="E137" s="75">
        <f>+'4. Dr Gáspár HSZK'!E100</f>
        <v>0</v>
      </c>
      <c r="F137" s="489">
        <f>+'4. Dr Gáspár HSZK'!F100</f>
        <v>0</v>
      </c>
      <c r="G137" s="75"/>
      <c r="H137" s="529">
        <f>+'4. Dr Gáspár HSZK'!H100</f>
        <v>15590607</v>
      </c>
      <c r="I137" s="75">
        <f>+'4. Dr Gáspár HSZK'!I100</f>
        <v>0</v>
      </c>
      <c r="J137" s="75">
        <f>+'4. Dr Gáspár HSZK'!J100</f>
        <v>0</v>
      </c>
      <c r="K137" s="75"/>
      <c r="L137" s="75"/>
      <c r="M137" s="75"/>
      <c r="N137" s="489"/>
      <c r="O137" s="75"/>
      <c r="P137" s="529">
        <f>+'4. Dr Gáspár HSZK'!P100</f>
        <v>409000</v>
      </c>
      <c r="Q137" s="75">
        <f>+'4. Dr Gáspár HSZK'!Q100</f>
        <v>-28137761</v>
      </c>
      <c r="R137" s="75">
        <f>+'4. Dr Gáspár HSZK'!R100</f>
        <v>0</v>
      </c>
      <c r="S137" s="75">
        <f>+'4. Dr Gáspár HSZK'!S100</f>
        <v>-27728761</v>
      </c>
      <c r="T137" s="530"/>
      <c r="U137" s="76"/>
    </row>
    <row r="138" spans="1:21" x14ac:dyDescent="0.2">
      <c r="B138" s="58" t="str">
        <f t="shared" si="106"/>
        <v>SÜLYSÁPI CSICSERGŐ ÓVODA</v>
      </c>
      <c r="C138" s="529">
        <f>+'5. Csicsergő'!C100</f>
        <v>171295092</v>
      </c>
      <c r="D138" s="75">
        <f>+'5. Csicsergő'!D100</f>
        <v>172739092</v>
      </c>
      <c r="E138" s="75">
        <f>+'5. Csicsergő'!E100</f>
        <v>0</v>
      </c>
      <c r="F138" s="489">
        <f>+'5. Csicsergő'!F100</f>
        <v>0</v>
      </c>
      <c r="G138" s="75"/>
      <c r="H138" s="529">
        <f>+'5. Csicsergő'!H100</f>
        <v>91148272</v>
      </c>
      <c r="I138" s="75">
        <f>+'5. Csicsergő'!I100</f>
        <v>0</v>
      </c>
      <c r="J138" s="75">
        <f>+'5. Csicsergő'!J100</f>
        <v>0</v>
      </c>
      <c r="K138" s="75"/>
      <c r="L138" s="75"/>
      <c r="M138" s="75"/>
      <c r="N138" s="489"/>
      <c r="O138" s="75"/>
      <c r="P138" s="529">
        <f>+'5. Csicsergő'!P100</f>
        <v>1444000</v>
      </c>
      <c r="Q138" s="75">
        <f>+'5. Csicsergő'!Q100</f>
        <v>-172739092</v>
      </c>
      <c r="R138" s="75">
        <f>+'5. Csicsergő'!R100</f>
        <v>0</v>
      </c>
      <c r="S138" s="75">
        <f>+'5. Csicsergő'!S100</f>
        <v>-171295092</v>
      </c>
      <c r="T138" s="530"/>
      <c r="U138" s="76"/>
    </row>
    <row r="139" spans="1:21" x14ac:dyDescent="0.2">
      <c r="B139" s="58" t="str">
        <f t="shared" si="106"/>
        <v>GÓLYAHÍR BÖLCSŐDE</v>
      </c>
      <c r="C139" s="529">
        <f>+'6. Gólyahír'!C100</f>
        <v>48881766</v>
      </c>
      <c r="D139" s="75">
        <f>+'6. Gólyahír'!D100</f>
        <v>48881766</v>
      </c>
      <c r="E139" s="75">
        <f>+'6. Gólyahír'!E100</f>
        <v>0</v>
      </c>
      <c r="F139" s="489">
        <f>+'6. Gólyahír'!F100</f>
        <v>0</v>
      </c>
      <c r="G139" s="75"/>
      <c r="H139" s="529">
        <f>+'6. Gólyahír'!H100</f>
        <v>25458650</v>
      </c>
      <c r="I139" s="75">
        <f>+'6. Gólyahír'!I100</f>
        <v>0</v>
      </c>
      <c r="J139" s="75">
        <f>+'6. Gólyahír'!J100</f>
        <v>0</v>
      </c>
      <c r="K139" s="75"/>
      <c r="L139" s="75"/>
      <c r="M139" s="75"/>
      <c r="N139" s="489"/>
      <c r="O139" s="75"/>
      <c r="P139" s="529">
        <f>+'6. Gólyahír'!P100</f>
        <v>0</v>
      </c>
      <c r="Q139" s="75">
        <f>+'6. Gólyahír'!Q100</f>
        <v>-48881766</v>
      </c>
      <c r="R139" s="75">
        <f>+'6. Gólyahír'!R100</f>
        <v>0</v>
      </c>
      <c r="S139" s="75">
        <f>+'6. Gólyahír'!S100</f>
        <v>-48881766</v>
      </c>
      <c r="T139" s="530"/>
      <c r="U139" s="76"/>
    </row>
    <row r="140" spans="1:21" x14ac:dyDescent="0.2">
      <c r="B140" s="58" t="str">
        <f t="shared" si="106"/>
        <v>POLGÁRMESTERI HIVATAL</v>
      </c>
      <c r="C140" s="529">
        <f>+'7. Polg.Hiv.'!C100</f>
        <v>111124591</v>
      </c>
      <c r="D140" s="75">
        <f>+'7. Polg.Hiv.'!D100</f>
        <v>111124591</v>
      </c>
      <c r="E140" s="75">
        <f>+'7. Polg.Hiv.'!E100</f>
        <v>0</v>
      </c>
      <c r="F140" s="489">
        <f>+'7. Polg.Hiv.'!F100</f>
        <v>0</v>
      </c>
      <c r="G140" s="75"/>
      <c r="H140" s="529">
        <f>+'7. Polg.Hiv.'!H100</f>
        <v>55828164</v>
      </c>
      <c r="I140" s="75">
        <f>+'7. Polg.Hiv.'!I100</f>
        <v>0</v>
      </c>
      <c r="J140" s="75">
        <f>+'7. Polg.Hiv.'!J100</f>
        <v>0</v>
      </c>
      <c r="K140" s="75"/>
      <c r="L140" s="75"/>
      <c r="M140" s="75"/>
      <c r="N140" s="489"/>
      <c r="O140" s="75"/>
      <c r="P140" s="529">
        <f>+'7. Polg.Hiv.'!P100</f>
        <v>0</v>
      </c>
      <c r="Q140" s="75">
        <f>+'7. Polg.Hiv.'!Q100</f>
        <v>-111124591</v>
      </c>
      <c r="R140" s="75">
        <f>+'7. Polg.Hiv.'!R100</f>
        <v>0</v>
      </c>
      <c r="S140" s="75">
        <f>+'7. Polg.Hiv.'!S100</f>
        <v>-111124591</v>
      </c>
      <c r="T140" s="530"/>
      <c r="U140" s="76"/>
    </row>
    <row r="141" spans="1:21" x14ac:dyDescent="0.2">
      <c r="B141" s="58" t="str">
        <f t="shared" si="106"/>
        <v>Wass Albert Művelődési Központ és Könyvtár</v>
      </c>
      <c r="C141" s="529">
        <f>+'8. WAMKK'!C100</f>
        <v>29366179</v>
      </c>
      <c r="D141" s="75">
        <f>+'8. WAMKK'!D100</f>
        <v>30966179</v>
      </c>
      <c r="E141" s="75">
        <f>+'8. WAMKK'!E100</f>
        <v>0</v>
      </c>
      <c r="F141" s="489">
        <f>+'8. WAMKK'!F100</f>
        <v>0</v>
      </c>
      <c r="G141" s="75"/>
      <c r="H141" s="529">
        <f>+'8. WAMKK'!H100</f>
        <v>16263376</v>
      </c>
      <c r="I141" s="75">
        <f>+'8. WAMKK'!I100</f>
        <v>0</v>
      </c>
      <c r="J141" s="75">
        <f>+'8. WAMKK'!J100</f>
        <v>0</v>
      </c>
      <c r="K141" s="75"/>
      <c r="L141" s="75"/>
      <c r="M141" s="75"/>
      <c r="N141" s="489"/>
      <c r="O141" s="75"/>
      <c r="P141" s="529">
        <f>+'8. WAMKK'!P100</f>
        <v>1600000</v>
      </c>
      <c r="Q141" s="75">
        <f>+'8. WAMKK'!Q100</f>
        <v>-30966179</v>
      </c>
      <c r="R141" s="75">
        <f>+'8. WAMKK'!R100</f>
        <v>0</v>
      </c>
      <c r="S141" s="75">
        <f>+'8. WAMKK'!S100</f>
        <v>-29366179</v>
      </c>
      <c r="T141" s="530"/>
      <c r="U141" s="76"/>
    </row>
    <row r="142" spans="1:21" x14ac:dyDescent="0.2">
      <c r="B142" s="58" t="str">
        <f t="shared" si="106"/>
        <v>Központi Konyha</v>
      </c>
      <c r="C142" s="529">
        <f>+'9. Közp. Konyha'!C100</f>
        <v>65769773</v>
      </c>
      <c r="D142" s="75">
        <f>+'9. Közp. Konyha'!D100</f>
        <v>65769773</v>
      </c>
      <c r="E142" s="75">
        <f>+'9. Közp. Konyha'!E100</f>
        <v>0</v>
      </c>
      <c r="F142" s="489">
        <f>+'9. Közp. Konyha'!F100</f>
        <v>0</v>
      </c>
      <c r="G142" s="75"/>
      <c r="H142" s="529">
        <f>+'9. Közp. Konyha'!H100</f>
        <v>33423906</v>
      </c>
      <c r="I142" s="75">
        <f>+'9. Közp. Konyha'!I100</f>
        <v>0</v>
      </c>
      <c r="J142" s="75">
        <f>+'9. Közp. Konyha'!J100</f>
        <v>0</v>
      </c>
      <c r="K142" s="75"/>
      <c r="L142" s="75"/>
      <c r="M142" s="75"/>
      <c r="N142" s="489"/>
      <c r="O142" s="75"/>
      <c r="P142" s="529">
        <f>+'9. Közp. Konyha'!P100</f>
        <v>0</v>
      </c>
      <c r="Q142" s="75">
        <f>+'9. Közp. Konyha'!Q100</f>
        <v>-65769773</v>
      </c>
      <c r="R142" s="75">
        <f>+'9. Közp. Konyha'!R100</f>
        <v>0</v>
      </c>
      <c r="S142" s="75">
        <f>+'9. Közp. Konyha'!S100</f>
        <v>-65769773</v>
      </c>
      <c r="T142" s="530"/>
      <c r="U142" s="76"/>
    </row>
    <row r="143" spans="1:21" x14ac:dyDescent="0.2">
      <c r="B143" s="394" t="s">
        <v>452</v>
      </c>
      <c r="C143" s="532">
        <f>SUM(C136:C142)</f>
        <v>454166162</v>
      </c>
      <c r="D143" s="395">
        <f t="shared" ref="D143:F143" si="107">SUM(D136:D142)</f>
        <v>457619162</v>
      </c>
      <c r="E143" s="395">
        <f t="shared" si="107"/>
        <v>0</v>
      </c>
      <c r="F143" s="543">
        <f t="shared" si="107"/>
        <v>0</v>
      </c>
      <c r="G143" s="395"/>
      <c r="H143" s="532">
        <f t="shared" ref="H143:J143" si="108">SUM(H136:H142)</f>
        <v>237712975</v>
      </c>
      <c r="I143" s="395">
        <f t="shared" si="108"/>
        <v>0</v>
      </c>
      <c r="J143" s="395">
        <f t="shared" si="108"/>
        <v>0</v>
      </c>
      <c r="K143" s="395"/>
      <c r="L143" s="395"/>
      <c r="M143" s="395"/>
      <c r="N143" s="543"/>
      <c r="O143" s="395"/>
      <c r="P143" s="532">
        <f>SUM(P137:P142)</f>
        <v>3453000</v>
      </c>
      <c r="Q143" s="395">
        <f>SUM(Q136:Q142)</f>
        <v>-457619162</v>
      </c>
      <c r="R143" s="395">
        <f>SUM(R136:R142)</f>
        <v>0</v>
      </c>
      <c r="S143" s="395">
        <f>SUM(S136:S142)</f>
        <v>-454166162</v>
      </c>
      <c r="T143" s="530"/>
      <c r="U143" s="76"/>
    </row>
    <row r="144" spans="1:21" x14ac:dyDescent="0.2">
      <c r="C144" s="534"/>
      <c r="D144" s="544"/>
      <c r="E144" s="544"/>
      <c r="F144" s="557"/>
      <c r="H144" s="534"/>
      <c r="I144" s="544"/>
      <c r="J144" s="544"/>
      <c r="K144" s="544"/>
      <c r="L144" s="535"/>
      <c r="M144" s="535"/>
      <c r="N144" s="536"/>
      <c r="P144" s="534"/>
      <c r="Q144" s="535"/>
      <c r="R144" s="535"/>
      <c r="S144" s="535"/>
      <c r="T144" s="536"/>
    </row>
    <row r="145" spans="3:3" x14ac:dyDescent="0.2">
      <c r="C145" s="23"/>
    </row>
    <row r="146" spans="3:3" x14ac:dyDescent="0.2">
      <c r="C146" s="23"/>
    </row>
    <row r="147" spans="3:3" x14ac:dyDescent="0.2">
      <c r="C147" s="23"/>
    </row>
    <row r="148" spans="3:3" x14ac:dyDescent="0.2">
      <c r="C148" s="23"/>
    </row>
    <row r="149" spans="3:3" x14ac:dyDescent="0.2">
      <c r="C149" s="23"/>
    </row>
    <row r="150" spans="3:3" x14ac:dyDescent="0.2">
      <c r="C150" s="23"/>
    </row>
    <row r="151" spans="3:3" x14ac:dyDescent="0.2">
      <c r="C151" s="2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8" scale="76" fitToHeight="0" orientation="landscape" r:id="rId1"/>
  <headerFooter>
    <oddHeader>&amp;R&amp;"Arial,Félkövér dőlt"&amp;A  /&amp;"Arial,Normál"
&amp;"Arial,Dőlt"&amp;8&amp;F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tabSelected="1" view="pageBreakPreview" zoomScaleNormal="75" zoomScaleSheetLayoutView="100" workbookViewId="0">
      <selection activeCell="B7" sqref="B7"/>
    </sheetView>
  </sheetViews>
  <sheetFormatPr defaultRowHeight="12.75" x14ac:dyDescent="0.2"/>
  <cols>
    <col min="1" max="1" width="8.42578125" style="22" customWidth="1"/>
    <col min="2" max="2" width="40" style="22" customWidth="1"/>
    <col min="3" max="3" width="14.85546875" style="22" customWidth="1"/>
    <col min="4" max="6" width="14.85546875" style="23" customWidth="1"/>
    <col min="7" max="7" width="0.85546875" style="23" customWidth="1"/>
    <col min="8" max="8" width="14.85546875" style="22" customWidth="1"/>
    <col min="9" max="9" width="14.85546875" style="23" customWidth="1"/>
    <col min="10" max="10" width="17.140625" style="23" customWidth="1"/>
    <col min="11" max="11" width="0.85546875" style="23" customWidth="1"/>
    <col min="12" max="12" width="16.140625" style="22" customWidth="1"/>
    <col min="13" max="14" width="15.5703125" style="22" customWidth="1"/>
    <col min="15" max="15" width="0.85546875" style="23" customWidth="1"/>
    <col min="16" max="19" width="13.85546875" style="22" customWidth="1"/>
    <col min="20" max="20" width="13.42578125" style="22" customWidth="1"/>
  </cols>
  <sheetData>
    <row r="1" spans="1:25" ht="26.25" x14ac:dyDescent="0.4">
      <c r="A1" s="250" t="s">
        <v>468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2017. FÉLÉVES BESZÁMOLÓ</v>
      </c>
      <c r="K1" s="251" t="s">
        <v>430</v>
      </c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5" hidden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5" hidden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5" ht="13.5" thickBot="1" x14ac:dyDescent="0.25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</row>
    <row r="5" spans="1:25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</row>
    <row r="6" spans="1:25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</row>
    <row r="7" spans="1:25" ht="15.75" x14ac:dyDescent="0.25">
      <c r="A7" s="48"/>
      <c r="B7" s="48"/>
      <c r="C7" s="673" t="s">
        <v>412</v>
      </c>
      <c r="D7" s="674"/>
      <c r="E7" s="674"/>
      <c r="F7" s="675"/>
      <c r="G7" s="375"/>
      <c r="H7" s="673" t="s">
        <v>411</v>
      </c>
      <c r="I7" s="676"/>
      <c r="J7" s="676"/>
      <c r="K7" s="676"/>
      <c r="L7" s="676"/>
      <c r="M7" s="676"/>
      <c r="N7" s="677"/>
      <c r="O7" s="375"/>
      <c r="P7" s="673" t="s">
        <v>408</v>
      </c>
      <c r="Q7" s="674"/>
      <c r="R7" s="674"/>
      <c r="S7" s="674"/>
      <c r="T7" s="675"/>
    </row>
    <row r="8" spans="1:25" ht="15" x14ac:dyDescent="0.25">
      <c r="A8" s="48"/>
      <c r="B8" s="48"/>
      <c r="C8" s="467"/>
      <c r="D8" s="408"/>
      <c r="E8" s="408"/>
      <c r="F8" s="451"/>
      <c r="G8" s="372"/>
      <c r="H8" s="678" t="s">
        <v>425</v>
      </c>
      <c r="I8" s="679"/>
      <c r="J8" s="680"/>
      <c r="K8" s="407"/>
      <c r="L8" s="671" t="s">
        <v>424</v>
      </c>
      <c r="M8" s="670"/>
      <c r="N8" s="681"/>
      <c r="O8" s="372"/>
      <c r="P8" s="450"/>
      <c r="Q8" s="408"/>
      <c r="R8" s="408"/>
      <c r="S8" s="408"/>
      <c r="T8" s="451"/>
    </row>
    <row r="9" spans="1:25" s="1" customFormat="1" ht="64.5" customHeight="1" x14ac:dyDescent="0.2">
      <c r="A9" s="387" t="s">
        <v>373</v>
      </c>
      <c r="B9" s="387" t="s">
        <v>371</v>
      </c>
      <c r="C9" s="551" t="s">
        <v>483</v>
      </c>
      <c r="D9" s="388" t="s">
        <v>484</v>
      </c>
      <c r="E9" s="388" t="s">
        <v>485</v>
      </c>
      <c r="F9" s="552" t="s">
        <v>486</v>
      </c>
      <c r="G9" s="388"/>
      <c r="H9" s="525" t="s">
        <v>487</v>
      </c>
      <c r="I9" s="389" t="s">
        <v>488</v>
      </c>
      <c r="J9" s="389" t="s">
        <v>489</v>
      </c>
      <c r="K9" s="388"/>
      <c r="L9" s="390" t="s">
        <v>490</v>
      </c>
      <c r="M9" s="390" t="s">
        <v>494</v>
      </c>
      <c r="N9" s="526" t="s">
        <v>495</v>
      </c>
      <c r="O9" s="388"/>
      <c r="P9" s="525" t="s">
        <v>491</v>
      </c>
      <c r="Q9" s="389" t="s">
        <v>493</v>
      </c>
      <c r="R9" s="389" t="s">
        <v>492</v>
      </c>
      <c r="S9" s="389" t="s">
        <v>409</v>
      </c>
      <c r="T9" s="526" t="s">
        <v>410</v>
      </c>
    </row>
    <row r="10" spans="1:25" ht="13.5" thickBot="1" x14ac:dyDescent="0.25">
      <c r="A10" s="391"/>
      <c r="B10" s="49"/>
      <c r="C10" s="468"/>
      <c r="D10" s="392"/>
      <c r="E10" s="392"/>
      <c r="F10" s="469"/>
      <c r="G10" s="392"/>
      <c r="H10" s="452"/>
      <c r="I10" s="663"/>
      <c r="J10" s="486"/>
      <c r="K10" s="392"/>
      <c r="L10" s="385"/>
      <c r="M10" s="393"/>
      <c r="N10" s="462"/>
      <c r="O10" s="392"/>
      <c r="P10" s="452"/>
      <c r="Q10" s="371"/>
      <c r="R10" s="371"/>
      <c r="S10" s="371"/>
      <c r="T10" s="453"/>
    </row>
    <row r="11" spans="1:25" ht="18.75" thickBot="1" x14ac:dyDescent="0.3">
      <c r="A11" s="441" t="str">
        <f>+'bevételi segédtábla'!B28</f>
        <v>Sülysáp Város Önkormányzat</v>
      </c>
      <c r="B11" s="442"/>
      <c r="C11" s="76"/>
      <c r="D11" s="76"/>
      <c r="E11" s="76"/>
      <c r="F11" s="471"/>
      <c r="G11" s="76"/>
      <c r="H11" s="463"/>
      <c r="I11" s="238"/>
      <c r="J11" s="487"/>
      <c r="K11" s="76"/>
      <c r="L11" s="93"/>
      <c r="M11" s="93"/>
      <c r="N11" s="435"/>
      <c r="O11" s="76"/>
      <c r="P11" s="454"/>
      <c r="Q11" s="75"/>
      <c r="R11" s="75"/>
      <c r="S11" s="75"/>
      <c r="T11" s="435"/>
    </row>
    <row r="12" spans="1:25" x14ac:dyDescent="0.2">
      <c r="A12" s="426"/>
      <c r="B12" s="427"/>
      <c r="C12" s="455"/>
      <c r="D12" s="447"/>
      <c r="E12" s="447"/>
      <c r="F12" s="472"/>
      <c r="G12" s="447"/>
      <c r="H12" s="464"/>
      <c r="I12" s="448"/>
      <c r="J12" s="488"/>
      <c r="K12" s="447"/>
      <c r="L12" s="449"/>
      <c r="M12" s="449"/>
      <c r="N12" s="429"/>
      <c r="O12" s="447"/>
      <c r="P12" s="455"/>
      <c r="Q12" s="446"/>
      <c r="R12" s="446"/>
      <c r="S12" s="446"/>
      <c r="T12" s="429"/>
    </row>
    <row r="13" spans="1:25" x14ac:dyDescent="0.2">
      <c r="A13" s="430" t="s">
        <v>0</v>
      </c>
      <c r="B13" s="22" t="s">
        <v>3</v>
      </c>
      <c r="C13" s="454">
        <f>+'3. Önk. Kiadások'!C13</f>
        <v>107902000</v>
      </c>
      <c r="D13" s="75">
        <f>+'3. Önk. Kiadások'!D13</f>
        <v>107902000</v>
      </c>
      <c r="E13" s="75">
        <f>+'3. Önk. Kiadások'!E13</f>
        <v>0</v>
      </c>
      <c r="F13" s="465">
        <f>+'3. Önk. Kiadások'!F13</f>
        <v>0</v>
      </c>
      <c r="G13" s="75">
        <f>+'3. Önk. Kiadások'!G13</f>
        <v>0</v>
      </c>
      <c r="H13" s="454">
        <f>+'3. Önk. Kiadások'!H13</f>
        <v>50677066</v>
      </c>
      <c r="I13" s="75">
        <f>+'3. Önk. Kiadások'!I13</f>
        <v>0</v>
      </c>
      <c r="J13" s="489">
        <f>+'3. Önk. Kiadások'!J13</f>
        <v>0</v>
      </c>
      <c r="K13" s="75"/>
      <c r="L13" s="562">
        <f t="shared" ref="L13:N22" si="0">H13/D13</f>
        <v>0.46965826398027838</v>
      </c>
      <c r="M13" s="562" t="e">
        <f t="shared" si="0"/>
        <v>#DIV/0!</v>
      </c>
      <c r="N13" s="563" t="e">
        <f t="shared" si="0"/>
        <v>#DIV/0!</v>
      </c>
      <c r="O13" s="75"/>
      <c r="P13" s="454">
        <f>+'3. Önk. Kiadások'!P13</f>
        <v>0</v>
      </c>
      <c r="Q13" s="75">
        <f>+'3. Önk. Kiadások'!Q13</f>
        <v>0</v>
      </c>
      <c r="R13" s="75">
        <f>+'3. Önk. Kiadások'!R13</f>
        <v>0</v>
      </c>
      <c r="S13" s="75">
        <f>+'3. Önk. Kiadások'!S13</f>
        <v>0</v>
      </c>
      <c r="T13" s="578">
        <f>IF(S13=0,0,S13/C13)</f>
        <v>0</v>
      </c>
    </row>
    <row r="14" spans="1:25" x14ac:dyDescent="0.2">
      <c r="A14" s="430" t="s">
        <v>26</v>
      </c>
      <c r="B14" s="58" t="s">
        <v>27</v>
      </c>
      <c r="C14" s="454">
        <f>+'3. Önk. Kiadások'!C29</f>
        <v>15219000</v>
      </c>
      <c r="D14" s="75">
        <f>+'3. Önk. Kiadások'!D29</f>
        <v>15219000</v>
      </c>
      <c r="E14" s="75">
        <f>+'3. Önk. Kiadások'!E29</f>
        <v>0</v>
      </c>
      <c r="F14" s="465">
        <f>+'3. Önk. Kiadások'!F29</f>
        <v>0</v>
      </c>
      <c r="G14" s="76"/>
      <c r="H14" s="454">
        <f>+'3. Önk. Kiadások'!H29</f>
        <v>8759313</v>
      </c>
      <c r="I14" s="75">
        <f>+'3. Önk. Kiadások'!I29</f>
        <v>0</v>
      </c>
      <c r="J14" s="489">
        <f>+'3. Önk. Kiadások'!J29</f>
        <v>0</v>
      </c>
      <c r="K14" s="76"/>
      <c r="L14" s="562">
        <f t="shared" si="0"/>
        <v>0.57555115316380845</v>
      </c>
      <c r="M14" s="562" t="e">
        <f t="shared" si="0"/>
        <v>#DIV/0!</v>
      </c>
      <c r="N14" s="563" t="e">
        <f t="shared" si="0"/>
        <v>#DIV/0!</v>
      </c>
      <c r="O14" s="76"/>
      <c r="P14" s="454">
        <f>+'3. Önk. Kiadások'!P29</f>
        <v>0</v>
      </c>
      <c r="Q14" s="75">
        <f>+'3. Önk. Kiadások'!Q29</f>
        <v>0</v>
      </c>
      <c r="R14" s="75">
        <f>+'3. Önk. Kiadások'!R29</f>
        <v>0</v>
      </c>
      <c r="S14" s="75">
        <f>+'3. Önk. Kiadások'!S29</f>
        <v>0</v>
      </c>
      <c r="T14" s="578">
        <f t="shared" ref="T14:T33" si="1">IF(S14=0,0,S14/C14)</f>
        <v>0</v>
      </c>
    </row>
    <row r="15" spans="1:25" x14ac:dyDescent="0.2">
      <c r="A15" s="430" t="s">
        <v>29</v>
      </c>
      <c r="B15" s="58" t="s">
        <v>30</v>
      </c>
      <c r="C15" s="454">
        <f>+'3. Önk. Kiadások'!C32</f>
        <v>112191000</v>
      </c>
      <c r="D15" s="75">
        <f>+'3. Önk. Kiadások'!D32</f>
        <v>153139000</v>
      </c>
      <c r="E15" s="75">
        <f>+'3. Önk. Kiadások'!E32</f>
        <v>0</v>
      </c>
      <c r="F15" s="465">
        <f>+'3. Önk. Kiadások'!F32</f>
        <v>0</v>
      </c>
      <c r="G15" s="76"/>
      <c r="H15" s="454">
        <f>+'3. Önk. Kiadások'!H32</f>
        <v>85708192</v>
      </c>
      <c r="I15" s="75">
        <f>+'3. Önk. Kiadások'!I32</f>
        <v>0</v>
      </c>
      <c r="J15" s="489">
        <f>+'3. Önk. Kiadások'!J32</f>
        <v>0</v>
      </c>
      <c r="K15" s="76"/>
      <c r="L15" s="562">
        <f t="shared" si="0"/>
        <v>0.55967579780460885</v>
      </c>
      <c r="M15" s="562" t="e">
        <f t="shared" si="0"/>
        <v>#DIV/0!</v>
      </c>
      <c r="N15" s="563" t="e">
        <f t="shared" si="0"/>
        <v>#DIV/0!</v>
      </c>
      <c r="O15" s="76"/>
      <c r="P15" s="454">
        <f>+'3. Önk. Kiadások'!P32</f>
        <v>40948000</v>
      </c>
      <c r="Q15" s="75">
        <f>+'3. Önk. Kiadások'!Q32</f>
        <v>0</v>
      </c>
      <c r="R15" s="75">
        <f>+'3. Önk. Kiadások'!R32</f>
        <v>0</v>
      </c>
      <c r="S15" s="75">
        <f>+'3. Önk. Kiadások'!S32</f>
        <v>40948000</v>
      </c>
      <c r="T15" s="578">
        <f t="shared" si="1"/>
        <v>0.36498471356882461</v>
      </c>
    </row>
    <row r="16" spans="1:25" x14ac:dyDescent="0.2">
      <c r="A16" s="430" t="s">
        <v>111</v>
      </c>
      <c r="B16" s="58" t="s">
        <v>112</v>
      </c>
      <c r="C16" s="454">
        <f>+'3. Önk. Kiadások'!C81</f>
        <v>19500000</v>
      </c>
      <c r="D16" s="75">
        <f>+'3. Önk. Kiadások'!D81</f>
        <v>20000000</v>
      </c>
      <c r="E16" s="75">
        <f>+'3. Önk. Kiadások'!E81</f>
        <v>0</v>
      </c>
      <c r="F16" s="465">
        <f>+'3. Önk. Kiadások'!F81</f>
        <v>0</v>
      </c>
      <c r="G16" s="76"/>
      <c r="H16" s="454">
        <f>+'3. Önk. Kiadások'!H81</f>
        <v>8657425</v>
      </c>
      <c r="I16" s="75">
        <f>+'3. Önk. Kiadások'!I81</f>
        <v>0</v>
      </c>
      <c r="J16" s="489">
        <f>+'3. Önk. Kiadások'!J81</f>
        <v>0</v>
      </c>
      <c r="K16" s="76"/>
      <c r="L16" s="562">
        <f t="shared" si="0"/>
        <v>0.43287124999999999</v>
      </c>
      <c r="M16" s="562" t="e">
        <f t="shared" si="0"/>
        <v>#DIV/0!</v>
      </c>
      <c r="N16" s="563" t="e">
        <f t="shared" si="0"/>
        <v>#DIV/0!</v>
      </c>
      <c r="O16" s="76"/>
      <c r="P16" s="454">
        <f>+'3. Önk. Kiadások'!P81</f>
        <v>500000</v>
      </c>
      <c r="Q16" s="75">
        <f>+'3. Önk. Kiadások'!Q81</f>
        <v>0</v>
      </c>
      <c r="R16" s="75">
        <f>+'3. Önk. Kiadások'!R81</f>
        <v>0</v>
      </c>
      <c r="S16" s="75">
        <f>+'3. Önk. Kiadások'!S81</f>
        <v>500000</v>
      </c>
      <c r="T16" s="578">
        <f t="shared" si="1"/>
        <v>2.564102564102564E-2</v>
      </c>
    </row>
    <row r="17" spans="1:20" x14ac:dyDescent="0.2">
      <c r="A17" s="431" t="s">
        <v>376</v>
      </c>
      <c r="B17" s="58" t="s">
        <v>141</v>
      </c>
      <c r="C17" s="454">
        <f>+'3. Önk. Kiadások'!C106</f>
        <v>174456925</v>
      </c>
      <c r="D17" s="75">
        <f>+'3. Önk. Kiadások'!D106</f>
        <v>144494000</v>
      </c>
      <c r="E17" s="75">
        <f>+'3. Önk. Kiadások'!E106</f>
        <v>0</v>
      </c>
      <c r="F17" s="465">
        <f>+'3. Önk. Kiadások'!F106</f>
        <v>0</v>
      </c>
      <c r="G17" s="76"/>
      <c r="H17" s="454">
        <f>+'3. Önk. Kiadások'!H106</f>
        <v>97482764</v>
      </c>
      <c r="I17" s="75">
        <f>+'3. Önk. Kiadások'!I106</f>
        <v>0</v>
      </c>
      <c r="J17" s="489">
        <f>+'3. Önk. Kiadások'!J106</f>
        <v>0</v>
      </c>
      <c r="K17" s="76"/>
      <c r="L17" s="562">
        <f t="shared" si="0"/>
        <v>0.6746492172685371</v>
      </c>
      <c r="M17" s="562" t="e">
        <f t="shared" si="0"/>
        <v>#DIV/0!</v>
      </c>
      <c r="N17" s="563" t="e">
        <f t="shared" si="0"/>
        <v>#DIV/0!</v>
      </c>
      <c r="O17" s="76"/>
      <c r="P17" s="454">
        <f>+'3. Önk. Kiadások'!P106</f>
        <v>-29962925</v>
      </c>
      <c r="Q17" s="75">
        <f>+'3. Önk. Kiadások'!Q106</f>
        <v>0</v>
      </c>
      <c r="R17" s="75">
        <f>+'3. Önk. Kiadások'!R106</f>
        <v>0</v>
      </c>
      <c r="S17" s="75">
        <f>+'3. Önk. Kiadások'!S106</f>
        <v>-29962925</v>
      </c>
      <c r="T17" s="578">
        <f t="shared" si="1"/>
        <v>-0.17174970268448789</v>
      </c>
    </row>
    <row r="18" spans="1:20" x14ac:dyDescent="0.2">
      <c r="A18" s="430" t="s">
        <v>158</v>
      </c>
      <c r="B18" s="58" t="s">
        <v>159</v>
      </c>
      <c r="C18" s="454">
        <f>+'3. Önk. Kiadások'!C120</f>
        <v>211500000</v>
      </c>
      <c r="D18" s="75">
        <f>+'3. Önk. Kiadások'!D120</f>
        <v>425525752</v>
      </c>
      <c r="E18" s="75">
        <f>+'3. Önk. Kiadások'!E120</f>
        <v>0</v>
      </c>
      <c r="F18" s="465">
        <f>+'3. Önk. Kiadások'!F120</f>
        <v>0</v>
      </c>
      <c r="G18" s="76"/>
      <c r="H18" s="454">
        <f>+'3. Önk. Kiadások'!H120</f>
        <v>7083713</v>
      </c>
      <c r="I18" s="75">
        <f>+'3. Önk. Kiadások'!I120</f>
        <v>0</v>
      </c>
      <c r="J18" s="489">
        <f>+'3. Önk. Kiadások'!J120</f>
        <v>0</v>
      </c>
      <c r="K18" s="76"/>
      <c r="L18" s="562">
        <f t="shared" si="0"/>
        <v>1.664696664468852E-2</v>
      </c>
      <c r="M18" s="562" t="e">
        <f t="shared" si="0"/>
        <v>#DIV/0!</v>
      </c>
      <c r="N18" s="563" t="e">
        <f t="shared" si="0"/>
        <v>#DIV/0!</v>
      </c>
      <c r="O18" s="76"/>
      <c r="P18" s="454">
        <f>+'3. Önk. Kiadások'!P120</f>
        <v>214025752</v>
      </c>
      <c r="Q18" s="75">
        <f>+'3. Önk. Kiadások'!Q120</f>
        <v>0</v>
      </c>
      <c r="R18" s="75">
        <f>+'3. Önk. Kiadások'!R120</f>
        <v>0</v>
      </c>
      <c r="S18" s="75">
        <f>+'3. Önk. Kiadások'!S120</f>
        <v>214025752</v>
      </c>
      <c r="T18" s="578">
        <f t="shared" si="1"/>
        <v>1.0119420898345153</v>
      </c>
    </row>
    <row r="19" spans="1:20" x14ac:dyDescent="0.2">
      <c r="A19" s="430" t="s">
        <v>173</v>
      </c>
      <c r="B19" s="58" t="s">
        <v>174</v>
      </c>
      <c r="C19" s="454">
        <f>+'3. Önk. Kiadások'!C129</f>
        <v>108480000</v>
      </c>
      <c r="D19" s="75">
        <f>+'3. Önk. Kiadások'!D129</f>
        <v>296686866</v>
      </c>
      <c r="E19" s="75">
        <f>+'3. Önk. Kiadások'!E129</f>
        <v>0</v>
      </c>
      <c r="F19" s="465">
        <f>+'3. Önk. Kiadások'!F129</f>
        <v>0</v>
      </c>
      <c r="G19" s="76"/>
      <c r="H19" s="454">
        <f>+'3. Önk. Kiadások'!H129</f>
        <v>3723918</v>
      </c>
      <c r="I19" s="75">
        <f>+'3. Önk. Kiadások'!I129</f>
        <v>0</v>
      </c>
      <c r="J19" s="489">
        <f>+'3. Önk. Kiadások'!J129</f>
        <v>0</v>
      </c>
      <c r="K19" s="76"/>
      <c r="L19" s="562">
        <f t="shared" si="0"/>
        <v>1.2551677970132995E-2</v>
      </c>
      <c r="M19" s="562" t="e">
        <f t="shared" si="0"/>
        <v>#DIV/0!</v>
      </c>
      <c r="N19" s="563" t="e">
        <f t="shared" si="0"/>
        <v>#DIV/0!</v>
      </c>
      <c r="O19" s="76"/>
      <c r="P19" s="454">
        <f>+'3. Önk. Kiadások'!P129</f>
        <v>188206866</v>
      </c>
      <c r="Q19" s="75">
        <f>+'3. Önk. Kiadások'!Q129</f>
        <v>0</v>
      </c>
      <c r="R19" s="75">
        <f>+'3. Önk. Kiadások'!R129</f>
        <v>0</v>
      </c>
      <c r="S19" s="75">
        <f>+'3. Önk. Kiadások'!S129</f>
        <v>188206866</v>
      </c>
      <c r="T19" s="578">
        <f t="shared" si="1"/>
        <v>1.7349452986725664</v>
      </c>
    </row>
    <row r="20" spans="1:20" x14ac:dyDescent="0.2">
      <c r="A20" s="430" t="s">
        <v>183</v>
      </c>
      <c r="B20" s="58" t="s">
        <v>48</v>
      </c>
      <c r="C20" s="454">
        <f>+'3. Önk. Kiadások'!C135</f>
        <v>0</v>
      </c>
      <c r="D20" s="75">
        <f>+'3. Önk. Kiadások'!D135</f>
        <v>0</v>
      </c>
      <c r="E20" s="75">
        <f>+'3. Önk. Kiadások'!E135</f>
        <v>0</v>
      </c>
      <c r="F20" s="465">
        <f>+'3. Önk. Kiadások'!F135</f>
        <v>0</v>
      </c>
      <c r="G20" s="76"/>
      <c r="H20" s="454">
        <f>+'3. Önk. Kiadások'!H135</f>
        <v>0</v>
      </c>
      <c r="I20" s="75">
        <f>+'3. Önk. Kiadások'!I135</f>
        <v>0</v>
      </c>
      <c r="J20" s="489">
        <f>+'3. Önk. Kiadások'!J135</f>
        <v>0</v>
      </c>
      <c r="K20" s="76"/>
      <c r="L20" s="562" t="e">
        <f t="shared" si="0"/>
        <v>#DIV/0!</v>
      </c>
      <c r="M20" s="562" t="e">
        <f t="shared" si="0"/>
        <v>#DIV/0!</v>
      </c>
      <c r="N20" s="563" t="e">
        <f t="shared" si="0"/>
        <v>#DIV/0!</v>
      </c>
      <c r="O20" s="76"/>
      <c r="P20" s="454">
        <f>+'3. Önk. Kiadások'!P135</f>
        <v>0</v>
      </c>
      <c r="Q20" s="75">
        <f>+'3. Önk. Kiadások'!Q135</f>
        <v>0</v>
      </c>
      <c r="R20" s="75">
        <f>+'3. Önk. Kiadások'!R135</f>
        <v>0</v>
      </c>
      <c r="S20" s="75">
        <f>+'3. Önk. Kiadások'!S135</f>
        <v>0</v>
      </c>
      <c r="T20" s="578">
        <f t="shared" si="1"/>
        <v>0</v>
      </c>
    </row>
    <row r="21" spans="1:20" x14ac:dyDescent="0.2">
      <c r="A21" s="430" t="s">
        <v>201</v>
      </c>
      <c r="B21" s="58" t="s">
        <v>202</v>
      </c>
      <c r="C21" s="454">
        <f>+'3. Önk. Kiadások'!C145</f>
        <v>454166162</v>
      </c>
      <c r="D21" s="75">
        <f>+'3. Önk. Kiadások'!D145</f>
        <v>474740182</v>
      </c>
      <c r="E21" s="75">
        <f>+'3. Önk. Kiadások'!E145</f>
        <v>0</v>
      </c>
      <c r="F21" s="465">
        <f>+'3. Önk. Kiadások'!F145</f>
        <v>0</v>
      </c>
      <c r="G21" s="76"/>
      <c r="H21" s="454">
        <f>+'3. Önk. Kiadások'!H145</f>
        <v>254833995</v>
      </c>
      <c r="I21" s="75">
        <f>+'3. Önk. Kiadások'!I145</f>
        <v>0</v>
      </c>
      <c r="J21" s="489">
        <f>+'3. Önk. Kiadások'!J145</f>
        <v>0</v>
      </c>
      <c r="K21" s="76"/>
      <c r="L21" s="562">
        <f t="shared" si="0"/>
        <v>0.53678623521275892</v>
      </c>
      <c r="M21" s="562" t="e">
        <f t="shared" si="0"/>
        <v>#DIV/0!</v>
      </c>
      <c r="N21" s="563" t="e">
        <f t="shared" si="0"/>
        <v>#DIV/0!</v>
      </c>
      <c r="O21" s="76"/>
      <c r="P21" s="454">
        <f>+'3. Önk. Kiadások'!P145</f>
        <v>20574020</v>
      </c>
      <c r="Q21" s="75">
        <f>+'3. Önk. Kiadások'!Q145</f>
        <v>0</v>
      </c>
      <c r="R21" s="75">
        <f>+'3. Önk. Kiadások'!R145</f>
        <v>0</v>
      </c>
      <c r="S21" s="75">
        <f>+'3. Önk. Kiadások'!S145</f>
        <v>20574020</v>
      </c>
      <c r="T21" s="578">
        <f t="shared" si="1"/>
        <v>4.5300644833156899E-2</v>
      </c>
    </row>
    <row r="22" spans="1:20" x14ac:dyDescent="0.2">
      <c r="A22" s="432"/>
      <c r="B22" s="416" t="s">
        <v>378</v>
      </c>
      <c r="C22" s="456">
        <f>SUM(C13:C21)</f>
        <v>1203415087</v>
      </c>
      <c r="D22" s="417">
        <f t="shared" ref="D22:J22" si="2">SUM(D13:D21)</f>
        <v>1637706800</v>
      </c>
      <c r="E22" s="417">
        <f t="shared" si="2"/>
        <v>0</v>
      </c>
      <c r="F22" s="473">
        <f t="shared" si="2"/>
        <v>0</v>
      </c>
      <c r="G22" s="417"/>
      <c r="H22" s="456">
        <f t="shared" si="2"/>
        <v>516926386</v>
      </c>
      <c r="I22" s="417">
        <f t="shared" si="2"/>
        <v>0</v>
      </c>
      <c r="J22" s="418">
        <f t="shared" si="2"/>
        <v>0</v>
      </c>
      <c r="K22" s="217"/>
      <c r="L22" s="564">
        <f t="shared" si="0"/>
        <v>0.31564037347832957</v>
      </c>
      <c r="M22" s="564" t="e">
        <f t="shared" si="0"/>
        <v>#DIV/0!</v>
      </c>
      <c r="N22" s="565" t="e">
        <f t="shared" si="0"/>
        <v>#DIV/0!</v>
      </c>
      <c r="O22" s="217"/>
      <c r="P22" s="456">
        <f t="shared" ref="P22" si="3">SUM(P13:P21)</f>
        <v>434291713</v>
      </c>
      <c r="Q22" s="417">
        <f t="shared" ref="Q22" si="4">SUM(Q13:Q21)</f>
        <v>0</v>
      </c>
      <c r="R22" s="417">
        <f t="shared" ref="R22" si="5">SUM(R13:R21)</f>
        <v>0</v>
      </c>
      <c r="S22" s="418">
        <f t="shared" ref="S22" si="6">SUM(S13:S21)</f>
        <v>434291713</v>
      </c>
      <c r="T22" s="579">
        <f t="shared" si="1"/>
        <v>0.36088272258797099</v>
      </c>
    </row>
    <row r="23" spans="1:20" x14ac:dyDescent="0.2">
      <c r="A23" s="430"/>
      <c r="C23" s="454"/>
      <c r="D23" s="76"/>
      <c r="E23" s="76"/>
      <c r="F23" s="471"/>
      <c r="G23" s="76"/>
      <c r="H23" s="463"/>
      <c r="I23" s="239"/>
      <c r="J23" s="487"/>
      <c r="K23" s="76"/>
      <c r="L23" s="562"/>
      <c r="M23" s="562"/>
      <c r="N23" s="563"/>
      <c r="O23" s="76"/>
      <c r="P23" s="454"/>
      <c r="Q23" s="75"/>
      <c r="R23" s="75"/>
      <c r="S23" s="75"/>
      <c r="T23" s="578"/>
    </row>
    <row r="24" spans="1:20" x14ac:dyDescent="0.2">
      <c r="A24" s="430" t="s">
        <v>241</v>
      </c>
      <c r="B24" s="22" t="s">
        <v>458</v>
      </c>
      <c r="C24" s="454">
        <f>+' 2. Önk. Bevételek'!C13</f>
        <v>577146258</v>
      </c>
      <c r="D24" s="75">
        <f>+' 2. Önk. Bevételek'!D13</f>
        <v>588469848</v>
      </c>
      <c r="E24" s="75">
        <f>+' 2. Önk. Bevételek'!E13</f>
        <v>0</v>
      </c>
      <c r="F24" s="465">
        <f>+' 2. Önk. Bevételek'!F13</f>
        <v>0</v>
      </c>
      <c r="G24" s="75">
        <f>+'3. Önk. Kiadások'!G13</f>
        <v>0</v>
      </c>
      <c r="H24" s="454">
        <f>+' 2. Önk. Bevételek'!H13</f>
        <v>310092946</v>
      </c>
      <c r="I24" s="75">
        <f>+' 2. Önk. Bevételek'!I13</f>
        <v>0</v>
      </c>
      <c r="J24" s="489">
        <f>+' 2. Önk. Bevételek'!J13</f>
        <v>0</v>
      </c>
      <c r="K24" s="75"/>
      <c r="L24" s="562">
        <f t="shared" ref="L24:L87" si="7">H24/D24</f>
        <v>0.52694789215436577</v>
      </c>
      <c r="M24" s="562" t="e">
        <f t="shared" ref="M24:M87" si="8">I24/E24</f>
        <v>#DIV/0!</v>
      </c>
      <c r="N24" s="563" t="e">
        <f t="shared" ref="N24:N87" si="9">J24/F24</f>
        <v>#DIV/0!</v>
      </c>
      <c r="O24" s="75"/>
      <c r="P24" s="454">
        <f>+' 2. Önk. Bevételek'!P13</f>
        <v>11323590</v>
      </c>
      <c r="Q24" s="75">
        <f>+' 2. Önk. Bevételek'!Q13</f>
        <v>-588469848</v>
      </c>
      <c r="R24" s="75">
        <f>+' 2. Önk. Bevételek'!R13</f>
        <v>0</v>
      </c>
      <c r="S24" s="75">
        <f>+' 2. Önk. Bevételek'!S13</f>
        <v>-577146258</v>
      </c>
      <c r="T24" s="578">
        <f t="shared" si="1"/>
        <v>-1</v>
      </c>
    </row>
    <row r="25" spans="1:20" x14ac:dyDescent="0.2">
      <c r="A25" s="431" t="s">
        <v>262</v>
      </c>
      <c r="B25" s="22" t="s">
        <v>457</v>
      </c>
      <c r="C25" s="454">
        <f>+' 2. Önk. Bevételek'!C30</f>
        <v>175000000</v>
      </c>
      <c r="D25" s="75">
        <f>+' 2. Önk. Bevételek'!D30</f>
        <v>580968123</v>
      </c>
      <c r="E25" s="75">
        <f>+' 2. Önk. Bevételek'!E30</f>
        <v>0</v>
      </c>
      <c r="F25" s="465">
        <f>+' 2. Önk. Bevételek'!F30</f>
        <v>0</v>
      </c>
      <c r="G25" s="76"/>
      <c r="H25" s="454">
        <f>+' 2. Önk. Bevételek'!H30</f>
        <v>505968123</v>
      </c>
      <c r="I25" s="75">
        <f>+' 2. Önk. Bevételek'!I30</f>
        <v>0</v>
      </c>
      <c r="J25" s="489">
        <f>+' 2. Önk. Bevételek'!J30</f>
        <v>0</v>
      </c>
      <c r="K25" s="76"/>
      <c r="L25" s="562">
        <f t="shared" si="7"/>
        <v>0.87090513742352094</v>
      </c>
      <c r="M25" s="562" t="e">
        <f t="shared" si="8"/>
        <v>#DIV/0!</v>
      </c>
      <c r="N25" s="563" t="e">
        <f t="shared" si="9"/>
        <v>#DIV/0!</v>
      </c>
      <c r="O25" s="76"/>
      <c r="P25" s="454">
        <f>+' 2. Önk. Bevételek'!P30</f>
        <v>405968123</v>
      </c>
      <c r="Q25" s="75">
        <f>+' 2. Önk. Bevételek'!Q30</f>
        <v>-580968123</v>
      </c>
      <c r="R25" s="75">
        <f>+' 2. Önk. Bevételek'!R30</f>
        <v>0</v>
      </c>
      <c r="S25" s="75">
        <f>+' 2. Önk. Bevételek'!S30</f>
        <v>-175000000</v>
      </c>
      <c r="T25" s="578">
        <f t="shared" si="1"/>
        <v>-1</v>
      </c>
    </row>
    <row r="26" spans="1:20" x14ac:dyDescent="0.2">
      <c r="A26" s="431" t="s">
        <v>270</v>
      </c>
      <c r="B26" s="22" t="s">
        <v>271</v>
      </c>
      <c r="C26" s="454">
        <f>+' 2. Önk. Bevételek'!C39</f>
        <v>198244647</v>
      </c>
      <c r="D26" s="75">
        <f>+' 2. Önk. Bevételek'!D39</f>
        <v>198244647</v>
      </c>
      <c r="E26" s="75">
        <f>+' 2. Önk. Bevételek'!E39</f>
        <v>0</v>
      </c>
      <c r="F26" s="465">
        <f>+' 2. Önk. Bevételek'!F39</f>
        <v>0</v>
      </c>
      <c r="G26" s="76"/>
      <c r="H26" s="454">
        <f>+' 2. Önk. Bevételek'!H39</f>
        <v>110800513</v>
      </c>
      <c r="I26" s="75">
        <f>+' 2. Önk. Bevételek'!I39</f>
        <v>0</v>
      </c>
      <c r="J26" s="489">
        <f>+' 2. Önk. Bevételek'!J39</f>
        <v>0</v>
      </c>
      <c r="K26" s="76"/>
      <c r="L26" s="562">
        <f t="shared" si="7"/>
        <v>0.55890796889965966</v>
      </c>
      <c r="M26" s="562" t="e">
        <f t="shared" si="8"/>
        <v>#DIV/0!</v>
      </c>
      <c r="N26" s="563" t="e">
        <f t="shared" si="9"/>
        <v>#DIV/0!</v>
      </c>
      <c r="O26" s="76"/>
      <c r="P26" s="454">
        <f>+' 2. Önk. Bevételek'!P39</f>
        <v>0</v>
      </c>
      <c r="Q26" s="75">
        <f>+' 2. Önk. Bevételek'!Q39</f>
        <v>-198244647</v>
      </c>
      <c r="R26" s="75">
        <f>+' 2. Önk. Bevételek'!R39</f>
        <v>0</v>
      </c>
      <c r="S26" s="75">
        <f>+' 2. Önk. Bevételek'!S39</f>
        <v>-198244647</v>
      </c>
      <c r="T26" s="578">
        <f t="shared" si="1"/>
        <v>-1</v>
      </c>
    </row>
    <row r="27" spans="1:20" x14ac:dyDescent="0.2">
      <c r="A27" s="431" t="s">
        <v>284</v>
      </c>
      <c r="B27" s="22" t="s">
        <v>285</v>
      </c>
      <c r="C27" s="454">
        <f>+' 2. Önk. Bevételek'!C50</f>
        <v>70826000</v>
      </c>
      <c r="D27" s="75">
        <f>+' 2. Önk. Bevételek'!D50</f>
        <v>70826000</v>
      </c>
      <c r="E27" s="75">
        <f>+' 2. Önk. Bevételek'!E50</f>
        <v>0</v>
      </c>
      <c r="F27" s="465">
        <f>+' 2. Önk. Bevételek'!F50</f>
        <v>0</v>
      </c>
      <c r="G27" s="76"/>
      <c r="H27" s="454">
        <f>+' 2. Önk. Bevételek'!H50</f>
        <v>53883694</v>
      </c>
      <c r="I27" s="75">
        <f>+' 2. Önk. Bevételek'!I50</f>
        <v>0</v>
      </c>
      <c r="J27" s="489">
        <f>+' 2. Önk. Bevételek'!J50</f>
        <v>0</v>
      </c>
      <c r="K27" s="76"/>
      <c r="L27" s="562">
        <f t="shared" si="7"/>
        <v>0.7607897382317228</v>
      </c>
      <c r="M27" s="562" t="e">
        <f t="shared" si="8"/>
        <v>#DIV/0!</v>
      </c>
      <c r="N27" s="563" t="e">
        <f t="shared" si="9"/>
        <v>#DIV/0!</v>
      </c>
      <c r="O27" s="76"/>
      <c r="P27" s="454">
        <f>+' 2. Önk. Bevételek'!P50</f>
        <v>0</v>
      </c>
      <c r="Q27" s="75">
        <f>+' 2. Önk. Bevételek'!Q50</f>
        <v>-70826000</v>
      </c>
      <c r="R27" s="75">
        <f>+' 2. Önk. Bevételek'!R50</f>
        <v>0</v>
      </c>
      <c r="S27" s="75">
        <f>+' 2. Önk. Bevételek'!S50</f>
        <v>-70826000</v>
      </c>
      <c r="T27" s="578">
        <f t="shared" si="1"/>
        <v>-1</v>
      </c>
    </row>
    <row r="28" spans="1:20" x14ac:dyDescent="0.2">
      <c r="A28" s="431" t="s">
        <v>311</v>
      </c>
      <c r="B28" s="22" t="s">
        <v>312</v>
      </c>
      <c r="C28" s="454">
        <f>+' 2. Önk. Bevételek'!C67</f>
        <v>72638000</v>
      </c>
      <c r="D28" s="75">
        <f>+' 2. Önk. Bevételek'!D67</f>
        <v>72638000</v>
      </c>
      <c r="E28" s="75">
        <f>+' 2. Önk. Bevételek'!E67</f>
        <v>0</v>
      </c>
      <c r="F28" s="465">
        <f>+' 2. Önk. Bevételek'!F67</f>
        <v>0</v>
      </c>
      <c r="G28" s="76"/>
      <c r="H28" s="454">
        <f>+' 2. Önk. Bevételek'!H67</f>
        <v>16435054</v>
      </c>
      <c r="I28" s="75">
        <f>+' 2. Önk. Bevételek'!I67</f>
        <v>0</v>
      </c>
      <c r="J28" s="489">
        <f>+' 2. Önk. Bevételek'!J67</f>
        <v>0</v>
      </c>
      <c r="K28" s="76"/>
      <c r="L28" s="562">
        <f t="shared" si="7"/>
        <v>0.2262597263140505</v>
      </c>
      <c r="M28" s="562" t="e">
        <f t="shared" si="8"/>
        <v>#DIV/0!</v>
      </c>
      <c r="N28" s="563" t="e">
        <f t="shared" si="9"/>
        <v>#DIV/0!</v>
      </c>
      <c r="O28" s="76"/>
      <c r="P28" s="454">
        <f>+' 2. Önk. Bevételek'!P67</f>
        <v>0</v>
      </c>
      <c r="Q28" s="75">
        <f>+' 2. Önk. Bevételek'!Q67</f>
        <v>-72638000</v>
      </c>
      <c r="R28" s="75">
        <f>+' 2. Önk. Bevételek'!R67</f>
        <v>0</v>
      </c>
      <c r="S28" s="75">
        <f>+' 2. Önk. Bevételek'!S67</f>
        <v>-72638000</v>
      </c>
      <c r="T28" s="578">
        <f t="shared" si="1"/>
        <v>-1</v>
      </c>
    </row>
    <row r="29" spans="1:20" x14ac:dyDescent="0.2">
      <c r="A29" s="431" t="s">
        <v>321</v>
      </c>
      <c r="B29" s="22" t="s">
        <v>322</v>
      </c>
      <c r="C29" s="454">
        <f>+' 2. Önk. Bevételek'!C72</f>
        <v>0</v>
      </c>
      <c r="D29" s="75">
        <f>+' 2. Önk. Bevételek'!D72</f>
        <v>0</v>
      </c>
      <c r="E29" s="75">
        <f>+' 2. Önk. Bevételek'!E72</f>
        <v>0</v>
      </c>
      <c r="F29" s="465">
        <f>+' 2. Önk. Bevételek'!F72</f>
        <v>0</v>
      </c>
      <c r="G29" s="76"/>
      <c r="H29" s="454">
        <f>+' 2. Önk. Bevételek'!H72</f>
        <v>100000</v>
      </c>
      <c r="I29" s="75">
        <f>+' 2. Önk. Bevételek'!I72</f>
        <v>0</v>
      </c>
      <c r="J29" s="489">
        <f>+' 2. Önk. Bevételek'!J72</f>
        <v>0</v>
      </c>
      <c r="K29" s="76"/>
      <c r="L29" s="562" t="e">
        <f t="shared" si="7"/>
        <v>#DIV/0!</v>
      </c>
      <c r="M29" s="562" t="e">
        <f t="shared" si="8"/>
        <v>#DIV/0!</v>
      </c>
      <c r="N29" s="563" t="e">
        <f t="shared" si="9"/>
        <v>#DIV/0!</v>
      </c>
      <c r="O29" s="76"/>
      <c r="P29" s="454">
        <f>+' 2. Önk. Bevételek'!P72</f>
        <v>0</v>
      </c>
      <c r="Q29" s="75">
        <f>+' 2. Önk. Bevételek'!Q72</f>
        <v>0</v>
      </c>
      <c r="R29" s="75">
        <f>+' 2. Önk. Bevételek'!R72</f>
        <v>0</v>
      </c>
      <c r="S29" s="75">
        <f>+' 2. Önk. Bevételek'!S72</f>
        <v>0</v>
      </c>
      <c r="T29" s="578">
        <f t="shared" si="1"/>
        <v>0</v>
      </c>
    </row>
    <row r="30" spans="1:20" x14ac:dyDescent="0.2">
      <c r="A30" s="431" t="s">
        <v>326</v>
      </c>
      <c r="B30" s="22" t="s">
        <v>327</v>
      </c>
      <c r="C30" s="454">
        <f>+' 2. Önk. Bevételek'!C76</f>
        <v>0</v>
      </c>
      <c r="D30" s="75">
        <f>+' 2. Önk. Bevételek'!D76</f>
        <v>0</v>
      </c>
      <c r="E30" s="75">
        <f>+' 2. Önk. Bevételek'!E76</f>
        <v>0</v>
      </c>
      <c r="F30" s="465">
        <f>+' 2. Önk. Bevételek'!F76</f>
        <v>0</v>
      </c>
      <c r="G30" s="76"/>
      <c r="H30" s="454">
        <f>+' 2. Önk. Bevételek'!H76</f>
        <v>102000</v>
      </c>
      <c r="I30" s="75">
        <f>+' 2. Önk. Bevételek'!I76</f>
        <v>0</v>
      </c>
      <c r="J30" s="489">
        <f>+' 2. Önk. Bevételek'!J76</f>
        <v>0</v>
      </c>
      <c r="K30" s="76"/>
      <c r="L30" s="562" t="e">
        <f t="shared" si="7"/>
        <v>#DIV/0!</v>
      </c>
      <c r="M30" s="562" t="e">
        <f t="shared" si="8"/>
        <v>#DIV/0!</v>
      </c>
      <c r="N30" s="563" t="e">
        <f t="shared" si="9"/>
        <v>#DIV/0!</v>
      </c>
      <c r="O30" s="76"/>
      <c r="P30" s="454">
        <f>+' 2. Önk. Bevételek'!P76</f>
        <v>0</v>
      </c>
      <c r="Q30" s="75">
        <f>+' 2. Önk. Bevételek'!Q76</f>
        <v>0</v>
      </c>
      <c r="R30" s="75">
        <f>+' 2. Önk. Bevételek'!R76</f>
        <v>0</v>
      </c>
      <c r="S30" s="75">
        <f>+' 2. Önk. Bevételek'!S76</f>
        <v>0</v>
      </c>
      <c r="T30" s="578">
        <f t="shared" si="1"/>
        <v>0</v>
      </c>
    </row>
    <row r="31" spans="1:20" x14ac:dyDescent="0.2">
      <c r="A31" s="431" t="s">
        <v>466</v>
      </c>
      <c r="B31" s="58"/>
      <c r="C31" s="457">
        <f>+' 2. Önk. Bevételek'!C80-C32</f>
        <v>109560182</v>
      </c>
      <c r="D31" s="344">
        <f>+' 2. Önk. Bevételek'!D80-D32</f>
        <v>126560182</v>
      </c>
      <c r="E31" s="344">
        <f>+' 2. Önk. Bevételek'!E80-E32</f>
        <v>0</v>
      </c>
      <c r="F31" s="474">
        <f>+' 2. Önk. Bevételek'!F80-F32</f>
        <v>0</v>
      </c>
      <c r="G31" s="425"/>
      <c r="H31" s="457">
        <f>+' 2. Önk. Bevételek'!H80-H32</f>
        <v>109560182</v>
      </c>
      <c r="I31" s="344">
        <f>+' 2. Önk. Bevételek'!I80-I32</f>
        <v>0</v>
      </c>
      <c r="J31" s="490">
        <f>+' 2. Önk. Bevételek'!J80-J32</f>
        <v>0</v>
      </c>
      <c r="K31" s="76"/>
      <c r="L31" s="562">
        <f t="shared" si="7"/>
        <v>0.86567655220344109</v>
      </c>
      <c r="M31" s="562" t="e">
        <f t="shared" si="8"/>
        <v>#DIV/0!</v>
      </c>
      <c r="N31" s="563" t="e">
        <f t="shared" si="9"/>
        <v>#DIV/0!</v>
      </c>
      <c r="O31" s="425"/>
      <c r="P31" s="457">
        <f>+' 2. Önk. Bevételek'!P80-P32</f>
        <v>17000000</v>
      </c>
      <c r="Q31" s="344">
        <f>+' 2. Önk. Bevételek'!Q80-Q32</f>
        <v>-126560182</v>
      </c>
      <c r="R31" s="344">
        <f>+' 2. Önk. Bevételek'!R80-R32</f>
        <v>0</v>
      </c>
      <c r="S31" s="344">
        <f>+' 2. Önk. Bevételek'!S80-S32</f>
        <v>-109560182</v>
      </c>
      <c r="T31" s="578">
        <f t="shared" si="1"/>
        <v>-1</v>
      </c>
    </row>
    <row r="32" spans="1:20" x14ac:dyDescent="0.2">
      <c r="A32" s="430" t="s">
        <v>460</v>
      </c>
      <c r="B32" s="58"/>
      <c r="C32" s="457">
        <f>+' 2. Önk. Bevételek'!C87</f>
        <v>0</v>
      </c>
      <c r="D32" s="344">
        <f>+' 2. Önk. Bevételek'!D87</f>
        <v>0</v>
      </c>
      <c r="E32" s="344">
        <f>+' 2. Önk. Bevételek'!E87</f>
        <v>0</v>
      </c>
      <c r="F32" s="474">
        <f>+' 2. Önk. Bevételek'!F87</f>
        <v>0</v>
      </c>
      <c r="G32" s="425"/>
      <c r="H32" s="457">
        <f>+' 2. Önk. Bevételek'!H87</f>
        <v>0</v>
      </c>
      <c r="I32" s="344">
        <f>+' 2. Önk. Bevételek'!I87</f>
        <v>0</v>
      </c>
      <c r="J32" s="490">
        <f>+' 2. Önk. Bevételek'!J87</f>
        <v>0</v>
      </c>
      <c r="K32" s="76"/>
      <c r="L32" s="562" t="e">
        <f t="shared" si="7"/>
        <v>#DIV/0!</v>
      </c>
      <c r="M32" s="562" t="e">
        <f t="shared" si="8"/>
        <v>#DIV/0!</v>
      </c>
      <c r="N32" s="563" t="e">
        <f t="shared" si="9"/>
        <v>#DIV/0!</v>
      </c>
      <c r="O32" s="425"/>
      <c r="P32" s="457">
        <f>+' 2. Önk. Bevételek'!P87</f>
        <v>0</v>
      </c>
      <c r="Q32" s="344">
        <f>+' 2. Önk. Bevételek'!Q87</f>
        <v>0</v>
      </c>
      <c r="R32" s="344">
        <f>+' 2. Önk. Bevételek'!R87</f>
        <v>0</v>
      </c>
      <c r="S32" s="344">
        <f>+' 2. Önk. Bevételek'!S87</f>
        <v>0</v>
      </c>
      <c r="T32" s="578">
        <f t="shared" si="1"/>
        <v>0</v>
      </c>
    </row>
    <row r="33" spans="1:20" x14ac:dyDescent="0.2">
      <c r="A33" s="434"/>
      <c r="B33" s="416" t="s">
        <v>377</v>
      </c>
      <c r="C33" s="456">
        <f>SUM(C24:C32)</f>
        <v>1203415087</v>
      </c>
      <c r="D33" s="417">
        <f t="shared" ref="D33:J33" si="10">SUM(D24:D32)</f>
        <v>1637706800</v>
      </c>
      <c r="E33" s="417">
        <f t="shared" si="10"/>
        <v>0</v>
      </c>
      <c r="F33" s="473">
        <f t="shared" si="10"/>
        <v>0</v>
      </c>
      <c r="G33" s="417"/>
      <c r="H33" s="456">
        <f t="shared" si="10"/>
        <v>1106942512</v>
      </c>
      <c r="I33" s="417">
        <f t="shared" si="10"/>
        <v>0</v>
      </c>
      <c r="J33" s="418">
        <f t="shared" si="10"/>
        <v>0</v>
      </c>
      <c r="K33" s="419"/>
      <c r="L33" s="566">
        <f t="shared" si="7"/>
        <v>0.67591006644168539</v>
      </c>
      <c r="M33" s="566" t="e">
        <f t="shared" si="8"/>
        <v>#DIV/0!</v>
      </c>
      <c r="N33" s="567" t="e">
        <f t="shared" si="9"/>
        <v>#DIV/0!</v>
      </c>
      <c r="O33" s="419"/>
      <c r="P33" s="456">
        <f t="shared" ref="P33" si="11">SUM(P24:P32)</f>
        <v>434291713</v>
      </c>
      <c r="Q33" s="417">
        <f t="shared" ref="Q33" si="12">SUM(Q24:Q32)</f>
        <v>-1637706800</v>
      </c>
      <c r="R33" s="417">
        <f t="shared" ref="R33" si="13">SUM(R24:R32)</f>
        <v>0</v>
      </c>
      <c r="S33" s="418">
        <f t="shared" ref="S33" si="14">SUM(S24:S32)</f>
        <v>-1203415087</v>
      </c>
      <c r="T33" s="579">
        <f t="shared" si="1"/>
        <v>-1</v>
      </c>
    </row>
    <row r="34" spans="1:20" x14ac:dyDescent="0.2">
      <c r="A34" s="433"/>
      <c r="B34" s="75"/>
      <c r="C34" s="454"/>
      <c r="D34" s="75"/>
      <c r="E34" s="75"/>
      <c r="F34" s="465"/>
      <c r="G34" s="75"/>
      <c r="H34" s="454"/>
      <c r="I34" s="75"/>
      <c r="J34" s="489"/>
      <c r="K34" s="75"/>
      <c r="L34" s="562"/>
      <c r="M34" s="562"/>
      <c r="N34" s="563"/>
      <c r="O34" s="75"/>
      <c r="P34" s="454"/>
      <c r="Q34" s="75"/>
      <c r="R34" s="75"/>
      <c r="S34" s="75"/>
      <c r="T34" s="580"/>
    </row>
    <row r="35" spans="1:20" ht="13.5" thickBot="1" x14ac:dyDescent="0.25">
      <c r="A35" s="436"/>
      <c r="B35" s="437" t="s">
        <v>467</v>
      </c>
      <c r="C35" s="458">
        <f>+C33-C22</f>
        <v>0</v>
      </c>
      <c r="D35" s="438">
        <f>+D33-D22</f>
        <v>0</v>
      </c>
      <c r="E35" s="438">
        <f>+E33-E22</f>
        <v>0</v>
      </c>
      <c r="F35" s="475">
        <f>+F33-F22</f>
        <v>0</v>
      </c>
      <c r="G35" s="438"/>
      <c r="H35" s="458">
        <f>+H33-H22</f>
        <v>590016126</v>
      </c>
      <c r="I35" s="438">
        <f>+I33-I22</f>
        <v>0</v>
      </c>
      <c r="J35" s="440">
        <f>+J33-J22</f>
        <v>0</v>
      </c>
      <c r="K35" s="439"/>
      <c r="L35" s="568" t="e">
        <f t="shared" si="7"/>
        <v>#DIV/0!</v>
      </c>
      <c r="M35" s="568" t="e">
        <f t="shared" si="8"/>
        <v>#DIV/0!</v>
      </c>
      <c r="N35" s="569" t="e">
        <f t="shared" si="9"/>
        <v>#DIV/0!</v>
      </c>
      <c r="O35" s="439"/>
      <c r="P35" s="458">
        <f>+P33-P22</f>
        <v>0</v>
      </c>
      <c r="Q35" s="438">
        <f>+Q33-Q22</f>
        <v>-1637706800</v>
      </c>
      <c r="R35" s="438">
        <f>+R33-R22</f>
        <v>0</v>
      </c>
      <c r="S35" s="440">
        <f>+S33-S22</f>
        <v>-1637706800</v>
      </c>
      <c r="T35" s="581"/>
    </row>
    <row r="36" spans="1:20" x14ac:dyDescent="0.2">
      <c r="C36" s="454"/>
      <c r="D36" s="76"/>
      <c r="E36" s="76"/>
      <c r="F36" s="471"/>
      <c r="G36" s="76"/>
      <c r="H36" s="463"/>
      <c r="I36" s="239"/>
      <c r="J36" s="487"/>
      <c r="K36" s="76"/>
      <c r="L36" s="562"/>
      <c r="M36" s="562"/>
      <c r="N36" s="563"/>
      <c r="O36" s="76"/>
      <c r="P36" s="454"/>
      <c r="Q36" s="75"/>
      <c r="R36" s="75"/>
      <c r="S36" s="75"/>
      <c r="T36" s="580"/>
    </row>
    <row r="37" spans="1:20" ht="13.5" thickBot="1" x14ac:dyDescent="0.25">
      <c r="C37" s="454"/>
      <c r="D37" s="76"/>
      <c r="E37" s="76"/>
      <c r="F37" s="471"/>
      <c r="G37" s="76"/>
      <c r="H37" s="463"/>
      <c r="I37" s="239"/>
      <c r="J37" s="487"/>
      <c r="K37" s="76"/>
      <c r="L37" s="562"/>
      <c r="M37" s="562"/>
      <c r="N37" s="563"/>
      <c r="O37" s="76"/>
      <c r="P37" s="454"/>
      <c r="Q37" s="75"/>
      <c r="R37" s="75"/>
      <c r="S37" s="75"/>
      <c r="T37" s="580"/>
    </row>
    <row r="38" spans="1:20" ht="18.75" thickBot="1" x14ac:dyDescent="0.3">
      <c r="A38" s="443" t="s">
        <v>523</v>
      </c>
      <c r="B38" s="470"/>
      <c r="D38" s="76"/>
      <c r="E38" s="76"/>
      <c r="F38" s="471"/>
      <c r="G38" s="76"/>
      <c r="H38" s="463"/>
      <c r="I38" s="239"/>
      <c r="J38" s="487"/>
      <c r="K38" s="76"/>
      <c r="L38" s="562"/>
      <c r="M38" s="562"/>
      <c r="N38" s="563"/>
      <c r="O38" s="76"/>
      <c r="P38" s="454"/>
      <c r="Q38" s="75"/>
      <c r="R38" s="75"/>
      <c r="S38" s="75"/>
      <c r="T38" s="580"/>
    </row>
    <row r="39" spans="1:20" x14ac:dyDescent="0.2">
      <c r="A39" s="426"/>
      <c r="B39" s="427"/>
      <c r="C39" s="455"/>
      <c r="D39" s="447"/>
      <c r="E39" s="447"/>
      <c r="F39" s="472"/>
      <c r="G39" s="447"/>
      <c r="H39" s="464"/>
      <c r="I39" s="448"/>
      <c r="J39" s="488"/>
      <c r="K39" s="447"/>
      <c r="L39" s="570"/>
      <c r="M39" s="570"/>
      <c r="N39" s="571"/>
      <c r="O39" s="447"/>
      <c r="P39" s="455"/>
      <c r="Q39" s="446"/>
      <c r="R39" s="446"/>
      <c r="S39" s="446"/>
      <c r="T39" s="582"/>
    </row>
    <row r="40" spans="1:20" x14ac:dyDescent="0.2">
      <c r="A40" s="430" t="s">
        <v>0</v>
      </c>
      <c r="B40" s="58" t="str">
        <f t="shared" ref="B40:B48" si="15">+B13</f>
        <v>Személyi juttatások</v>
      </c>
      <c r="C40" s="454">
        <f>+'4. Dr Gáspár HSZK'!C13</f>
        <v>21347000</v>
      </c>
      <c r="D40" s="75">
        <f>+'4. Dr Gáspár HSZK'!D13</f>
        <v>21347000</v>
      </c>
      <c r="E40" s="75">
        <f>+'4. Dr Gáspár HSZK'!E13</f>
        <v>0</v>
      </c>
      <c r="F40" s="465">
        <f>+'4. Dr Gáspár HSZK'!F13</f>
        <v>0</v>
      </c>
      <c r="G40" s="75"/>
      <c r="H40" s="454">
        <f>+'4. Dr Gáspár HSZK'!H13</f>
        <v>9693006</v>
      </c>
      <c r="I40" s="75">
        <f>+'4. Dr Gáspár HSZK'!I13</f>
        <v>0</v>
      </c>
      <c r="J40" s="489">
        <f>+'4. Dr Gáspár HSZK'!J13</f>
        <v>0</v>
      </c>
      <c r="K40" s="75"/>
      <c r="L40" s="562">
        <f t="shared" si="7"/>
        <v>0.45406876844521477</v>
      </c>
      <c r="M40" s="562" t="e">
        <f t="shared" si="8"/>
        <v>#DIV/0!</v>
      </c>
      <c r="N40" s="563" t="e">
        <f t="shared" si="9"/>
        <v>#DIV/0!</v>
      </c>
      <c r="O40" s="75"/>
      <c r="P40" s="454">
        <f>+'4. Dr Gáspár HSZK'!P13</f>
        <v>0</v>
      </c>
      <c r="Q40" s="75">
        <f>+'4. Dr Gáspár HSZK'!Q13</f>
        <v>-21347000</v>
      </c>
      <c r="R40" s="75">
        <f>+'4. Dr Gáspár HSZK'!R13</f>
        <v>0</v>
      </c>
      <c r="S40" s="75">
        <f>+'4. Dr Gáspár HSZK'!S13</f>
        <v>-21347000</v>
      </c>
      <c r="T40" s="578">
        <f>IF(S40=0,0,S40/C40)</f>
        <v>-1</v>
      </c>
    </row>
    <row r="41" spans="1:20" x14ac:dyDescent="0.2">
      <c r="A41" s="430" t="s">
        <v>26</v>
      </c>
      <c r="B41" s="58" t="str">
        <f t="shared" si="15"/>
        <v>Munkaadót terhelő járulékok és szociális hozzájárulás</v>
      </c>
      <c r="C41" s="454">
        <f>+'4. Dr Gáspár HSZK'!C29</f>
        <v>4780000</v>
      </c>
      <c r="D41" s="75">
        <f>+'4. Dr Gáspár HSZK'!D29</f>
        <v>4780000</v>
      </c>
      <c r="E41" s="75">
        <f>+'4. Dr Gáspár HSZK'!E29</f>
        <v>0</v>
      </c>
      <c r="F41" s="465">
        <f>+'4. Dr Gáspár HSZK'!F29</f>
        <v>0</v>
      </c>
      <c r="G41" s="75"/>
      <c r="H41" s="454">
        <f>+'4. Dr Gáspár HSZK'!H29</f>
        <v>2484606</v>
      </c>
      <c r="I41" s="75">
        <f>+'4. Dr Gáspár HSZK'!I29</f>
        <v>0</v>
      </c>
      <c r="J41" s="489">
        <f>+'4. Dr Gáspár HSZK'!J29</f>
        <v>0</v>
      </c>
      <c r="K41" s="75"/>
      <c r="L41" s="562">
        <f t="shared" si="7"/>
        <v>0.51979205020920505</v>
      </c>
      <c r="M41" s="562" t="e">
        <f t="shared" si="8"/>
        <v>#DIV/0!</v>
      </c>
      <c r="N41" s="563" t="e">
        <f t="shared" si="9"/>
        <v>#DIV/0!</v>
      </c>
      <c r="O41" s="75"/>
      <c r="P41" s="454">
        <f>+'4. Dr Gáspár HSZK'!P29</f>
        <v>0</v>
      </c>
      <c r="Q41" s="75">
        <f>+'4. Dr Gáspár HSZK'!Q29</f>
        <v>-4780000</v>
      </c>
      <c r="R41" s="75">
        <f>+'4. Dr Gáspár HSZK'!R29</f>
        <v>0</v>
      </c>
      <c r="S41" s="75">
        <f>+'4. Dr Gáspár HSZK'!S29</f>
        <v>-4780000</v>
      </c>
      <c r="T41" s="578">
        <f t="shared" ref="T41:T60" si="16">IF(S41=0,0,S41/C41)</f>
        <v>-1</v>
      </c>
    </row>
    <row r="42" spans="1:20" x14ac:dyDescent="0.2">
      <c r="A42" s="430" t="s">
        <v>29</v>
      </c>
      <c r="B42" s="58" t="str">
        <f t="shared" si="15"/>
        <v>Dologi kiadások</v>
      </c>
      <c r="C42" s="454">
        <f>+'4. Dr Gáspár HSZK'!C32</f>
        <v>10571000</v>
      </c>
      <c r="D42" s="75">
        <f>+'4. Dr Gáspár HSZK'!D32</f>
        <v>10980000</v>
      </c>
      <c r="E42" s="75">
        <f>+'4. Dr Gáspár HSZK'!E32</f>
        <v>0</v>
      </c>
      <c r="F42" s="465">
        <f>+'4. Dr Gáspár HSZK'!F32</f>
        <v>0</v>
      </c>
      <c r="G42" s="75"/>
      <c r="H42" s="457">
        <f>+'4. Dr Gáspár HSZK'!H32</f>
        <v>5462412</v>
      </c>
      <c r="I42" s="344">
        <f>+'4. Dr Gáspár HSZK'!I32</f>
        <v>0</v>
      </c>
      <c r="J42" s="489">
        <f>+'4. Dr Gáspár HSZK'!J32</f>
        <v>0</v>
      </c>
      <c r="K42" s="75"/>
      <c r="L42" s="562">
        <f t="shared" si="7"/>
        <v>0.49748743169398907</v>
      </c>
      <c r="M42" s="562" t="e">
        <f t="shared" si="8"/>
        <v>#DIV/0!</v>
      </c>
      <c r="N42" s="563" t="e">
        <f t="shared" si="9"/>
        <v>#DIV/0!</v>
      </c>
      <c r="O42" s="75"/>
      <c r="P42" s="454">
        <f>+'4. Dr Gáspár HSZK'!P32</f>
        <v>409000</v>
      </c>
      <c r="Q42" s="75">
        <f>+'4. Dr Gáspár HSZK'!Q32</f>
        <v>-10980000</v>
      </c>
      <c r="R42" s="75">
        <f>+'4. Dr Gáspár HSZK'!R32</f>
        <v>0</v>
      </c>
      <c r="S42" s="75">
        <f>+'4. Dr Gáspár HSZK'!S32</f>
        <v>-10571000</v>
      </c>
      <c r="T42" s="578">
        <f t="shared" si="16"/>
        <v>-1</v>
      </c>
    </row>
    <row r="43" spans="1:20" x14ac:dyDescent="0.2">
      <c r="A43" s="430" t="s">
        <v>111</v>
      </c>
      <c r="B43" s="58" t="str">
        <f t="shared" si="15"/>
        <v>Elláttotak pénzpeli juttatásai</v>
      </c>
      <c r="C43" s="454"/>
      <c r="D43" s="75"/>
      <c r="E43" s="75"/>
      <c r="F43" s="465"/>
      <c r="G43" s="75"/>
      <c r="H43" s="454"/>
      <c r="I43" s="75"/>
      <c r="J43" s="489"/>
      <c r="K43" s="75"/>
      <c r="L43" s="562" t="e">
        <f t="shared" si="7"/>
        <v>#DIV/0!</v>
      </c>
      <c r="M43" s="562" t="e">
        <f t="shared" si="8"/>
        <v>#DIV/0!</v>
      </c>
      <c r="N43" s="563" t="e">
        <f t="shared" si="9"/>
        <v>#DIV/0!</v>
      </c>
      <c r="O43" s="75"/>
      <c r="P43" s="454"/>
      <c r="Q43" s="75"/>
      <c r="R43" s="75"/>
      <c r="S43" s="75"/>
      <c r="T43" s="578">
        <f t="shared" si="16"/>
        <v>0</v>
      </c>
    </row>
    <row r="44" spans="1:20" x14ac:dyDescent="0.2">
      <c r="A44" s="431" t="s">
        <v>376</v>
      </c>
      <c r="B44" s="58" t="str">
        <f t="shared" si="15"/>
        <v>Egyéb működési célú kiadások</v>
      </c>
      <c r="C44" s="454"/>
      <c r="D44" s="75"/>
      <c r="E44" s="75"/>
      <c r="F44" s="465"/>
      <c r="G44" s="75"/>
      <c r="H44" s="454"/>
      <c r="I44" s="75"/>
      <c r="J44" s="489"/>
      <c r="K44" s="75"/>
      <c r="L44" s="562" t="e">
        <f t="shared" si="7"/>
        <v>#DIV/0!</v>
      </c>
      <c r="M44" s="562" t="e">
        <f t="shared" si="8"/>
        <v>#DIV/0!</v>
      </c>
      <c r="N44" s="563" t="e">
        <f t="shared" si="9"/>
        <v>#DIV/0!</v>
      </c>
      <c r="O44" s="75"/>
      <c r="P44" s="454"/>
      <c r="Q44" s="75"/>
      <c r="R44" s="75"/>
      <c r="S44" s="75"/>
      <c r="T44" s="578">
        <f t="shared" si="16"/>
        <v>0</v>
      </c>
    </row>
    <row r="45" spans="1:20" x14ac:dyDescent="0.2">
      <c r="A45" s="430" t="s">
        <v>158</v>
      </c>
      <c r="B45" s="58" t="str">
        <f t="shared" si="15"/>
        <v>Beruházások</v>
      </c>
      <c r="C45" s="454">
        <f>+'4. Dr Gáspár HSZK'!C83</f>
        <v>52000</v>
      </c>
      <c r="D45" s="75">
        <f>+'4. Dr Gáspár HSZK'!D83</f>
        <v>52000</v>
      </c>
      <c r="E45" s="75">
        <f>+'4. Dr Gáspár HSZK'!E83</f>
        <v>0</v>
      </c>
      <c r="F45" s="465">
        <f>+'4. Dr Gáspár HSZK'!F83</f>
        <v>0</v>
      </c>
      <c r="G45" s="75"/>
      <c r="H45" s="454">
        <f>+'4. Dr Gáspár HSZK'!H83</f>
        <v>0</v>
      </c>
      <c r="I45" s="75">
        <f>+'4. Dr Gáspár HSZK'!I83</f>
        <v>0</v>
      </c>
      <c r="J45" s="489">
        <f>+'4. Dr Gáspár HSZK'!J83</f>
        <v>0</v>
      </c>
      <c r="K45" s="75">
        <f>+'4. Dr Gáspár HSZK'!K83</f>
        <v>0</v>
      </c>
      <c r="L45" s="562">
        <f t="shared" si="7"/>
        <v>0</v>
      </c>
      <c r="M45" s="562" t="e">
        <f t="shared" si="8"/>
        <v>#DIV/0!</v>
      </c>
      <c r="N45" s="563" t="e">
        <f t="shared" si="9"/>
        <v>#DIV/0!</v>
      </c>
      <c r="O45" s="75"/>
      <c r="P45" s="454">
        <f>+'4. Dr Gáspár HSZK'!P83</f>
        <v>0</v>
      </c>
      <c r="Q45" s="75">
        <f>+'4. Dr Gáspár HSZK'!Q83</f>
        <v>-52000</v>
      </c>
      <c r="R45" s="75">
        <f>+'4. Dr Gáspár HSZK'!R83</f>
        <v>0</v>
      </c>
      <c r="S45" s="75">
        <f>+'4. Dr Gáspár HSZK'!S83</f>
        <v>-52000</v>
      </c>
      <c r="T45" s="578">
        <f t="shared" si="16"/>
        <v>-1</v>
      </c>
    </row>
    <row r="46" spans="1:20" x14ac:dyDescent="0.2">
      <c r="A46" s="430" t="s">
        <v>173</v>
      </c>
      <c r="B46" s="58" t="str">
        <f t="shared" si="15"/>
        <v>Felújítások</v>
      </c>
      <c r="C46" s="454">
        <f>+'4. Dr Gáspár HSZK'!C86</f>
        <v>0</v>
      </c>
      <c r="D46" s="75">
        <f>+'4. Dr Gáspár HSZK'!D86</f>
        <v>0</v>
      </c>
      <c r="E46" s="75">
        <f>+'4. Dr Gáspár HSZK'!E86</f>
        <v>0</v>
      </c>
      <c r="F46" s="465">
        <f>+'4. Dr Gáspár HSZK'!F86</f>
        <v>0</v>
      </c>
      <c r="G46" s="75"/>
      <c r="H46" s="454">
        <f>+'4. Dr Gáspár HSZK'!H86</f>
        <v>0</v>
      </c>
      <c r="I46" s="75">
        <f>+'4. Dr Gáspár HSZK'!I86</f>
        <v>0</v>
      </c>
      <c r="J46" s="489">
        <f>+'4. Dr Gáspár HSZK'!J86</f>
        <v>0</v>
      </c>
      <c r="K46" s="75">
        <f>+'4. Dr Gáspár HSZK'!K86</f>
        <v>0</v>
      </c>
      <c r="L46" s="562" t="e">
        <f t="shared" si="7"/>
        <v>#DIV/0!</v>
      </c>
      <c r="M46" s="562" t="e">
        <f t="shared" si="8"/>
        <v>#DIV/0!</v>
      </c>
      <c r="N46" s="563" t="e">
        <f t="shared" si="9"/>
        <v>#DIV/0!</v>
      </c>
      <c r="O46" s="75"/>
      <c r="P46" s="454">
        <f>+'4. Dr Gáspár HSZK'!P86</f>
        <v>0</v>
      </c>
      <c r="Q46" s="75">
        <f>+'4. Dr Gáspár HSZK'!Q86</f>
        <v>0</v>
      </c>
      <c r="R46" s="75">
        <f>+'4. Dr Gáspár HSZK'!R86</f>
        <v>0</v>
      </c>
      <c r="S46" s="75">
        <f>+'4. Dr Gáspár HSZK'!S86</f>
        <v>0</v>
      </c>
      <c r="T46" s="578">
        <f t="shared" si="16"/>
        <v>0</v>
      </c>
    </row>
    <row r="47" spans="1:20" x14ac:dyDescent="0.2">
      <c r="A47" s="430" t="s">
        <v>183</v>
      </c>
      <c r="B47" s="58" t="str">
        <f t="shared" si="15"/>
        <v>Szolgáltatások kiadásai</v>
      </c>
      <c r="C47" s="454"/>
      <c r="D47" s="75"/>
      <c r="E47" s="75"/>
      <c r="F47" s="465"/>
      <c r="G47" s="75"/>
      <c r="H47" s="454"/>
      <c r="I47" s="75"/>
      <c r="J47" s="489"/>
      <c r="K47" s="75"/>
      <c r="L47" s="562" t="e">
        <f t="shared" si="7"/>
        <v>#DIV/0!</v>
      </c>
      <c r="M47" s="562" t="e">
        <f t="shared" si="8"/>
        <v>#DIV/0!</v>
      </c>
      <c r="N47" s="563" t="e">
        <f t="shared" si="9"/>
        <v>#DIV/0!</v>
      </c>
      <c r="O47" s="75"/>
      <c r="P47" s="454"/>
      <c r="Q47" s="75"/>
      <c r="R47" s="75"/>
      <c r="S47" s="75"/>
      <c r="T47" s="578">
        <f t="shared" si="16"/>
        <v>0</v>
      </c>
    </row>
    <row r="48" spans="1:20" x14ac:dyDescent="0.2">
      <c r="A48" s="430" t="s">
        <v>201</v>
      </c>
      <c r="B48" s="58" t="str">
        <f t="shared" si="15"/>
        <v>Finanszírozási kiadások</v>
      </c>
      <c r="C48" s="433"/>
      <c r="F48" s="476"/>
      <c r="H48" s="433"/>
      <c r="J48" s="487"/>
      <c r="L48" s="562" t="e">
        <f t="shared" si="7"/>
        <v>#DIV/0!</v>
      </c>
      <c r="M48" s="562" t="e">
        <f t="shared" si="8"/>
        <v>#DIV/0!</v>
      </c>
      <c r="N48" s="563" t="e">
        <f t="shared" si="9"/>
        <v>#DIV/0!</v>
      </c>
      <c r="P48" s="433"/>
      <c r="T48" s="578">
        <f t="shared" si="16"/>
        <v>0</v>
      </c>
    </row>
    <row r="49" spans="1:20" x14ac:dyDescent="0.2">
      <c r="A49" s="432"/>
      <c r="B49" s="416" t="s">
        <v>378</v>
      </c>
      <c r="C49" s="456">
        <f>SUM(C40:C48)</f>
        <v>36750000</v>
      </c>
      <c r="D49" s="417">
        <f t="shared" ref="D49" si="17">SUM(D40:D48)</f>
        <v>37159000</v>
      </c>
      <c r="E49" s="417">
        <f t="shared" ref="E49" si="18">SUM(E40:E48)</f>
        <v>0</v>
      </c>
      <c r="F49" s="473">
        <f t="shared" ref="F49" si="19">SUM(F40:F48)</f>
        <v>0</v>
      </c>
      <c r="G49" s="417"/>
      <c r="H49" s="456">
        <f t="shared" ref="H49" si="20">SUM(H40:H48)</f>
        <v>17640024</v>
      </c>
      <c r="I49" s="417">
        <f t="shared" ref="I49" si="21">SUM(I40:I48)</f>
        <v>0</v>
      </c>
      <c r="J49" s="418">
        <f t="shared" ref="J49" si="22">SUM(J40:J48)</f>
        <v>0</v>
      </c>
      <c r="K49" s="217"/>
      <c r="L49" s="564">
        <f t="shared" si="7"/>
        <v>0.47471740358997822</v>
      </c>
      <c r="M49" s="564" t="e">
        <f t="shared" si="8"/>
        <v>#DIV/0!</v>
      </c>
      <c r="N49" s="565" t="e">
        <f t="shared" si="9"/>
        <v>#DIV/0!</v>
      </c>
      <c r="O49" s="217"/>
      <c r="P49" s="456">
        <f t="shared" ref="P49" si="23">SUM(P40:P48)</f>
        <v>409000</v>
      </c>
      <c r="Q49" s="417">
        <f t="shared" ref="Q49" si="24">SUM(Q40:Q48)</f>
        <v>-37159000</v>
      </c>
      <c r="R49" s="417">
        <f t="shared" ref="R49" si="25">SUM(R40:R48)</f>
        <v>0</v>
      </c>
      <c r="S49" s="418">
        <f t="shared" ref="S49" si="26">SUM(S40:S48)</f>
        <v>-36750000</v>
      </c>
      <c r="T49" s="579">
        <f t="shared" si="16"/>
        <v>-1</v>
      </c>
    </row>
    <row r="50" spans="1:20" x14ac:dyDescent="0.2">
      <c r="A50" s="433"/>
      <c r="C50" s="454"/>
      <c r="D50" s="76"/>
      <c r="E50" s="76"/>
      <c r="F50" s="471"/>
      <c r="G50" s="76"/>
      <c r="H50" s="463"/>
      <c r="I50" s="239"/>
      <c r="J50" s="487"/>
      <c r="K50" s="76"/>
      <c r="L50" s="562"/>
      <c r="M50" s="562"/>
      <c r="N50" s="563"/>
      <c r="O50" s="76"/>
      <c r="P50" s="454"/>
      <c r="Q50" s="75"/>
      <c r="R50" s="75"/>
      <c r="S50" s="75"/>
      <c r="T50" s="578"/>
    </row>
    <row r="51" spans="1:20" x14ac:dyDescent="0.2">
      <c r="A51" s="430" t="str">
        <f>+A24</f>
        <v>B1</v>
      </c>
      <c r="B51" s="58" t="s">
        <v>458</v>
      </c>
      <c r="C51" s="454">
        <f>+'4. Dr Gáspár HSZK'!C93</f>
        <v>0</v>
      </c>
      <c r="D51" s="75">
        <f>+'4. Dr Gáspár HSZK'!D93</f>
        <v>0</v>
      </c>
      <c r="E51" s="75">
        <f>+'4. Dr Gáspár HSZK'!E93</f>
        <v>0</v>
      </c>
      <c r="F51" s="465">
        <f>+'4. Dr Gáspár HSZK'!F93</f>
        <v>0</v>
      </c>
      <c r="G51" s="75">
        <f>+'4. Dr Gáspár HSZK'!G93</f>
        <v>0</v>
      </c>
      <c r="H51" s="454">
        <f>+'4. Dr Gáspár HSZK'!H93</f>
        <v>0</v>
      </c>
      <c r="I51" s="75">
        <f>+'4. Dr Gáspár HSZK'!I93</f>
        <v>0</v>
      </c>
      <c r="J51" s="489">
        <f>+'4. Dr Gáspár HSZK'!J93</f>
        <v>0</v>
      </c>
      <c r="K51" s="75"/>
      <c r="L51" s="562" t="e">
        <f t="shared" si="7"/>
        <v>#DIV/0!</v>
      </c>
      <c r="M51" s="562" t="e">
        <f t="shared" si="8"/>
        <v>#DIV/0!</v>
      </c>
      <c r="N51" s="563" t="e">
        <f t="shared" si="9"/>
        <v>#DIV/0!</v>
      </c>
      <c r="O51" s="75"/>
      <c r="P51" s="454">
        <f>+'4. Dr Gáspár HSZK'!P93</f>
        <v>0</v>
      </c>
      <c r="Q51" s="75">
        <f>+'4. Dr Gáspár HSZK'!Q93</f>
        <v>0</v>
      </c>
      <c r="R51" s="75">
        <f>+'4. Dr Gáspár HSZK'!R93</f>
        <v>0</v>
      </c>
      <c r="S51" s="75">
        <f>+'4. Dr Gáspár HSZK'!S93</f>
        <v>0</v>
      </c>
      <c r="T51" s="578">
        <f t="shared" si="16"/>
        <v>0</v>
      </c>
    </row>
    <row r="52" spans="1:20" x14ac:dyDescent="0.2">
      <c r="A52" s="430" t="str">
        <f t="shared" ref="A52" si="27">+A25</f>
        <v>B2</v>
      </c>
      <c r="B52" s="58" t="s">
        <v>457</v>
      </c>
      <c r="C52" s="454"/>
      <c r="D52" s="75"/>
      <c r="E52" s="75"/>
      <c r="F52" s="465"/>
      <c r="G52" s="75"/>
      <c r="H52" s="454"/>
      <c r="I52" s="75"/>
      <c r="J52" s="489"/>
      <c r="K52" s="75"/>
      <c r="L52" s="562" t="e">
        <f t="shared" si="7"/>
        <v>#DIV/0!</v>
      </c>
      <c r="M52" s="562" t="e">
        <f t="shared" si="8"/>
        <v>#DIV/0!</v>
      </c>
      <c r="N52" s="563" t="e">
        <f t="shared" si="9"/>
        <v>#DIV/0!</v>
      </c>
      <c r="O52" s="75"/>
      <c r="P52" s="454"/>
      <c r="Q52" s="75"/>
      <c r="R52" s="75"/>
      <c r="S52" s="75"/>
      <c r="T52" s="578">
        <f t="shared" si="16"/>
        <v>0</v>
      </c>
    </row>
    <row r="53" spans="1:20" x14ac:dyDescent="0.2">
      <c r="A53" s="430" t="str">
        <f t="shared" ref="A53" si="28">+A26</f>
        <v>B3</v>
      </c>
      <c r="B53" s="58" t="s">
        <v>271</v>
      </c>
      <c r="C53" s="454"/>
      <c r="D53" s="75"/>
      <c r="E53" s="75"/>
      <c r="F53" s="465"/>
      <c r="G53" s="75"/>
      <c r="H53" s="454"/>
      <c r="I53" s="75"/>
      <c r="J53" s="489"/>
      <c r="K53" s="75"/>
      <c r="L53" s="562" t="e">
        <f t="shared" si="7"/>
        <v>#DIV/0!</v>
      </c>
      <c r="M53" s="562" t="e">
        <f t="shared" si="8"/>
        <v>#DIV/0!</v>
      </c>
      <c r="N53" s="563" t="e">
        <f t="shared" si="9"/>
        <v>#DIV/0!</v>
      </c>
      <c r="O53" s="75"/>
      <c r="P53" s="454"/>
      <c r="Q53" s="75"/>
      <c r="R53" s="75"/>
      <c r="S53" s="75"/>
      <c r="T53" s="578">
        <f t="shared" si="16"/>
        <v>0</v>
      </c>
    </row>
    <row r="54" spans="1:20" x14ac:dyDescent="0.2">
      <c r="A54" s="430" t="str">
        <f t="shared" ref="A54" si="29">+A27</f>
        <v>B4</v>
      </c>
      <c r="B54" s="58" t="s">
        <v>285</v>
      </c>
      <c r="C54" s="454">
        <f>+'4. Dr Gáspár HSZK'!C95</f>
        <v>8135000</v>
      </c>
      <c r="D54" s="75">
        <f>+'4. Dr Gáspár HSZK'!D95</f>
        <v>8135000</v>
      </c>
      <c r="E54" s="75">
        <f>+'4. Dr Gáspár HSZK'!E95</f>
        <v>0</v>
      </c>
      <c r="F54" s="465">
        <f>+'4. Dr Gáspár HSZK'!F95</f>
        <v>0</v>
      </c>
      <c r="G54" s="75"/>
      <c r="H54" s="454">
        <f>+'4. Dr Gáspár HSZK'!H95</f>
        <v>3968495</v>
      </c>
      <c r="I54" s="75">
        <f>+'4. Dr Gáspár HSZK'!I95</f>
        <v>0</v>
      </c>
      <c r="J54" s="489">
        <f>+'4. Dr Gáspár HSZK'!J95</f>
        <v>0</v>
      </c>
      <c r="K54" s="75"/>
      <c r="L54" s="562">
        <f t="shared" si="7"/>
        <v>0.48782974800245849</v>
      </c>
      <c r="M54" s="562" t="e">
        <f t="shared" si="8"/>
        <v>#DIV/0!</v>
      </c>
      <c r="N54" s="563" t="e">
        <f t="shared" si="9"/>
        <v>#DIV/0!</v>
      </c>
      <c r="O54" s="75"/>
      <c r="P54" s="454">
        <f>+'4. Dr Gáspár HSZK'!P95</f>
        <v>0</v>
      </c>
      <c r="Q54" s="75">
        <f>+'4. Dr Gáspár HSZK'!Q95</f>
        <v>-8135000</v>
      </c>
      <c r="R54" s="75">
        <f>+'4. Dr Gáspár HSZK'!R95</f>
        <v>0</v>
      </c>
      <c r="S54" s="75">
        <f>+'4. Dr Gáspár HSZK'!S95</f>
        <v>-8135000</v>
      </c>
      <c r="T54" s="578">
        <f t="shared" si="16"/>
        <v>-1</v>
      </c>
    </row>
    <row r="55" spans="1:20" x14ac:dyDescent="0.2">
      <c r="A55" s="430" t="str">
        <f t="shared" ref="A55" si="30">+A28</f>
        <v>B5</v>
      </c>
      <c r="B55" s="58" t="s">
        <v>312</v>
      </c>
      <c r="C55" s="454"/>
      <c r="D55" s="75"/>
      <c r="E55" s="75"/>
      <c r="F55" s="465"/>
      <c r="G55" s="75"/>
      <c r="H55" s="454"/>
      <c r="I55" s="75"/>
      <c r="J55" s="489"/>
      <c r="K55" s="75"/>
      <c r="L55" s="562" t="e">
        <f t="shared" si="7"/>
        <v>#DIV/0!</v>
      </c>
      <c r="M55" s="562" t="e">
        <f t="shared" si="8"/>
        <v>#DIV/0!</v>
      </c>
      <c r="N55" s="563" t="e">
        <f t="shared" si="9"/>
        <v>#DIV/0!</v>
      </c>
      <c r="O55" s="75"/>
      <c r="P55" s="454"/>
      <c r="Q55" s="75"/>
      <c r="R55" s="75"/>
      <c r="S55" s="75"/>
      <c r="T55" s="578">
        <f t="shared" si="16"/>
        <v>0</v>
      </c>
    </row>
    <row r="56" spans="1:20" x14ac:dyDescent="0.2">
      <c r="A56" s="430" t="str">
        <f t="shared" ref="A56" si="31">+A29</f>
        <v>B6</v>
      </c>
      <c r="B56" s="58" t="s">
        <v>322</v>
      </c>
      <c r="C56" s="454"/>
      <c r="D56" s="75"/>
      <c r="E56" s="75"/>
      <c r="F56" s="465"/>
      <c r="G56" s="75"/>
      <c r="H56" s="454"/>
      <c r="I56" s="75"/>
      <c r="J56" s="489"/>
      <c r="K56" s="75"/>
      <c r="L56" s="562" t="e">
        <f t="shared" si="7"/>
        <v>#DIV/0!</v>
      </c>
      <c r="M56" s="562" t="e">
        <f t="shared" si="8"/>
        <v>#DIV/0!</v>
      </c>
      <c r="N56" s="563" t="e">
        <f t="shared" si="9"/>
        <v>#DIV/0!</v>
      </c>
      <c r="O56" s="75"/>
      <c r="P56" s="454"/>
      <c r="Q56" s="75"/>
      <c r="R56" s="75"/>
      <c r="S56" s="75"/>
      <c r="T56" s="578">
        <f t="shared" si="16"/>
        <v>0</v>
      </c>
    </row>
    <row r="57" spans="1:20" x14ac:dyDescent="0.2">
      <c r="A57" s="430" t="str">
        <f t="shared" ref="A57" si="32">+A30</f>
        <v>B7</v>
      </c>
      <c r="B57" s="58" t="s">
        <v>327</v>
      </c>
      <c r="C57" s="454"/>
      <c r="D57" s="75"/>
      <c r="E57" s="75"/>
      <c r="F57" s="465"/>
      <c r="G57" s="75"/>
      <c r="H57" s="454"/>
      <c r="I57" s="75"/>
      <c r="J57" s="489"/>
      <c r="K57" s="75"/>
      <c r="L57" s="562" t="e">
        <f t="shared" si="7"/>
        <v>#DIV/0!</v>
      </c>
      <c r="M57" s="562" t="e">
        <f t="shared" si="8"/>
        <v>#DIV/0!</v>
      </c>
      <c r="N57" s="563" t="e">
        <f t="shared" si="9"/>
        <v>#DIV/0!</v>
      </c>
      <c r="O57" s="75"/>
      <c r="P57" s="454"/>
      <c r="Q57" s="75"/>
      <c r="R57" s="75"/>
      <c r="S57" s="344" t="s">
        <v>481</v>
      </c>
      <c r="T57" s="578" t="e">
        <f t="shared" si="16"/>
        <v>#VALUE!</v>
      </c>
    </row>
    <row r="58" spans="1:20" x14ac:dyDescent="0.2">
      <c r="A58" s="430" t="str">
        <f>+A31</f>
        <v>B8-ból maradványértéken túli finanszírozási bevételek</v>
      </c>
      <c r="B58" s="58"/>
      <c r="C58" s="454">
        <f>+'4. Dr Gáspár HSZK'!C99-C59</f>
        <v>27728761</v>
      </c>
      <c r="D58" s="75">
        <f>+'4. Dr Gáspár HSZK'!D99-D59</f>
        <v>28137761</v>
      </c>
      <c r="E58" s="75">
        <f>+'4. Dr Gáspár HSZK'!E99-E59</f>
        <v>0</v>
      </c>
      <c r="F58" s="465">
        <f>+'4. Dr Gáspár HSZK'!F99-F59</f>
        <v>0</v>
      </c>
      <c r="G58" s="75"/>
      <c r="H58" s="454">
        <f>+'4. Dr Gáspár HSZK'!H99-H59</f>
        <v>15590607</v>
      </c>
      <c r="I58" s="75">
        <f>+'4. Dr Gáspár HSZK'!I99-I59</f>
        <v>0</v>
      </c>
      <c r="J58" s="489">
        <f>+'4. Dr Gáspár HSZK'!J99-J59</f>
        <v>0</v>
      </c>
      <c r="K58" s="75"/>
      <c r="L58" s="562">
        <f t="shared" si="7"/>
        <v>0.55408129310644161</v>
      </c>
      <c r="M58" s="562" t="e">
        <f t="shared" si="8"/>
        <v>#DIV/0!</v>
      </c>
      <c r="N58" s="563" t="e">
        <f t="shared" si="9"/>
        <v>#DIV/0!</v>
      </c>
      <c r="O58" s="75"/>
      <c r="P58" s="454">
        <f>+'4. Dr Gáspár HSZK'!P99-P59</f>
        <v>409000</v>
      </c>
      <c r="Q58" s="75">
        <f>+'4. Dr Gáspár HSZK'!Q99-Q59</f>
        <v>-28137761</v>
      </c>
      <c r="R58" s="75">
        <f>+'4. Dr Gáspár HSZK'!R99-R59</f>
        <v>0</v>
      </c>
      <c r="S58" s="75">
        <f>+'4. Dr Gáspár HSZK'!S99-S59</f>
        <v>-27728761</v>
      </c>
      <c r="T58" s="578">
        <f t="shared" si="16"/>
        <v>-1</v>
      </c>
    </row>
    <row r="59" spans="1:20" x14ac:dyDescent="0.2">
      <c r="A59" s="430" t="str">
        <f>+A32</f>
        <v>B8-ból előző évi mardvány igénybevétele</v>
      </c>
      <c r="B59" s="58"/>
      <c r="C59" s="454">
        <f>+'4. Dr Gáspár HSZK'!C101</f>
        <v>886239</v>
      </c>
      <c r="D59" s="75">
        <f>+'4. Dr Gáspár HSZK'!D101</f>
        <v>886239</v>
      </c>
      <c r="E59" s="75">
        <f>+'4. Dr Gáspár HSZK'!E101</f>
        <v>0</v>
      </c>
      <c r="F59" s="465">
        <f>+'4. Dr Gáspár HSZK'!F101</f>
        <v>0</v>
      </c>
      <c r="G59" s="75"/>
      <c r="H59" s="454">
        <f>+'4. Dr Gáspár HSZK'!H101</f>
        <v>886239</v>
      </c>
      <c r="I59" s="75">
        <f>+'4. Dr Gáspár HSZK'!I101</f>
        <v>0</v>
      </c>
      <c r="J59" s="489">
        <f>+'4. Dr Gáspár HSZK'!J101</f>
        <v>0</v>
      </c>
      <c r="K59" s="75"/>
      <c r="L59" s="562">
        <f t="shared" si="7"/>
        <v>1</v>
      </c>
      <c r="M59" s="562" t="e">
        <f t="shared" si="8"/>
        <v>#DIV/0!</v>
      </c>
      <c r="N59" s="563" t="e">
        <f t="shared" si="9"/>
        <v>#DIV/0!</v>
      </c>
      <c r="O59" s="75"/>
      <c r="P59" s="454">
        <f>+'4. Dr Gáspár HSZK'!P101</f>
        <v>0</v>
      </c>
      <c r="Q59" s="75">
        <f>+'4. Dr Gáspár HSZK'!Q101</f>
        <v>-886239</v>
      </c>
      <c r="R59" s="75">
        <f>+'4. Dr Gáspár HSZK'!R101</f>
        <v>0</v>
      </c>
      <c r="S59" s="75">
        <f>+'4. Dr Gáspár HSZK'!S101</f>
        <v>-886239</v>
      </c>
      <c r="T59" s="578">
        <f t="shared" si="16"/>
        <v>-1</v>
      </c>
    </row>
    <row r="60" spans="1:20" x14ac:dyDescent="0.2">
      <c r="A60" s="434"/>
      <c r="B60" s="416" t="s">
        <v>377</v>
      </c>
      <c r="C60" s="456">
        <f>SUM(C51:C59)</f>
        <v>36750000</v>
      </c>
      <c r="D60" s="417">
        <f t="shared" ref="D60" si="33">SUM(D51:D59)</f>
        <v>37159000</v>
      </c>
      <c r="E60" s="417">
        <f t="shared" ref="E60" si="34">SUM(E51:E59)</f>
        <v>0</v>
      </c>
      <c r="F60" s="473">
        <f t="shared" ref="F60" si="35">SUM(F51:F59)</f>
        <v>0</v>
      </c>
      <c r="G60" s="417"/>
      <c r="H60" s="456">
        <f t="shared" ref="H60" si="36">SUM(H51:H59)</f>
        <v>20445341</v>
      </c>
      <c r="I60" s="417">
        <f t="shared" ref="I60" si="37">SUM(I51:I59)</f>
        <v>0</v>
      </c>
      <c r="J60" s="418">
        <f t="shared" ref="J60" si="38">SUM(J51:J59)</f>
        <v>0</v>
      </c>
      <c r="K60" s="419"/>
      <c r="L60" s="566">
        <f t="shared" si="7"/>
        <v>0.55021235770607391</v>
      </c>
      <c r="M60" s="566" t="e">
        <f t="shared" si="8"/>
        <v>#DIV/0!</v>
      </c>
      <c r="N60" s="567" t="e">
        <f t="shared" si="9"/>
        <v>#DIV/0!</v>
      </c>
      <c r="O60" s="419"/>
      <c r="P60" s="456">
        <f t="shared" ref="P60" si="39">SUM(P51:P59)</f>
        <v>409000</v>
      </c>
      <c r="Q60" s="417">
        <f t="shared" ref="Q60" si="40">SUM(Q51:Q59)</f>
        <v>-37159000</v>
      </c>
      <c r="R60" s="417">
        <f t="shared" ref="R60" si="41">SUM(R51:R59)</f>
        <v>0</v>
      </c>
      <c r="S60" s="418">
        <f t="shared" ref="S60" si="42">SUM(S51:S59)</f>
        <v>-36750000</v>
      </c>
      <c r="T60" s="579">
        <f t="shared" si="16"/>
        <v>-1</v>
      </c>
    </row>
    <row r="61" spans="1:20" x14ac:dyDescent="0.2">
      <c r="A61" s="433"/>
      <c r="B61" s="75"/>
      <c r="C61" s="454"/>
      <c r="D61" s="75"/>
      <c r="E61" s="75"/>
      <c r="F61" s="465"/>
      <c r="G61" s="75"/>
      <c r="H61" s="454"/>
      <c r="I61" s="75"/>
      <c r="J61" s="489"/>
      <c r="K61" s="75"/>
      <c r="L61" s="562"/>
      <c r="M61" s="562"/>
      <c r="N61" s="563"/>
      <c r="O61" s="75"/>
      <c r="P61" s="454"/>
      <c r="Q61" s="75"/>
      <c r="R61" s="75"/>
      <c r="S61" s="75"/>
      <c r="T61" s="580"/>
    </row>
    <row r="62" spans="1:20" ht="13.5" thickBot="1" x14ac:dyDescent="0.25">
      <c r="A62" s="436"/>
      <c r="B62" s="437" t="s">
        <v>467</v>
      </c>
      <c r="C62" s="458">
        <f>+C60-C49</f>
        <v>0</v>
      </c>
      <c r="D62" s="438">
        <f>+D60-D49</f>
        <v>0</v>
      </c>
      <c r="E62" s="438">
        <f>+E60-E49</f>
        <v>0</v>
      </c>
      <c r="F62" s="475">
        <f>+F60-F49</f>
        <v>0</v>
      </c>
      <c r="G62" s="438"/>
      <c r="H62" s="458">
        <f>+H60-H49</f>
        <v>2805317</v>
      </c>
      <c r="I62" s="438">
        <f>+I60-I49</f>
        <v>0</v>
      </c>
      <c r="J62" s="440">
        <f>+J60-J49</f>
        <v>0</v>
      </c>
      <c r="K62" s="439"/>
      <c r="L62" s="568" t="e">
        <f t="shared" si="7"/>
        <v>#DIV/0!</v>
      </c>
      <c r="M62" s="568" t="e">
        <f t="shared" si="8"/>
        <v>#DIV/0!</v>
      </c>
      <c r="N62" s="569" t="e">
        <f t="shared" si="9"/>
        <v>#DIV/0!</v>
      </c>
      <c r="O62" s="439"/>
      <c r="P62" s="458">
        <f>+P60-P49</f>
        <v>0</v>
      </c>
      <c r="Q62" s="438">
        <f>+Q60-Q49</f>
        <v>0</v>
      </c>
      <c r="R62" s="438">
        <f>+R60-R49</f>
        <v>0</v>
      </c>
      <c r="S62" s="440">
        <f>+S60-S49</f>
        <v>0</v>
      </c>
      <c r="T62" s="581"/>
    </row>
    <row r="63" spans="1:20" x14ac:dyDescent="0.2">
      <c r="C63" s="454"/>
      <c r="D63" s="76"/>
      <c r="E63" s="76"/>
      <c r="F63" s="471"/>
      <c r="G63" s="76"/>
      <c r="H63" s="463"/>
      <c r="I63" s="239"/>
      <c r="J63" s="487"/>
      <c r="K63" s="76"/>
      <c r="L63" s="562"/>
      <c r="M63" s="562"/>
      <c r="N63" s="563"/>
      <c r="O63" s="76"/>
      <c r="P63" s="454"/>
      <c r="Q63" s="75"/>
      <c r="R63" s="75"/>
      <c r="S63" s="75"/>
      <c r="T63" s="580"/>
    </row>
    <row r="64" spans="1:20" ht="13.5" thickBot="1" x14ac:dyDescent="0.25">
      <c r="C64" s="454"/>
      <c r="D64" s="76"/>
      <c r="E64" s="76"/>
      <c r="F64" s="471"/>
      <c r="G64" s="76"/>
      <c r="H64" s="463"/>
      <c r="I64" s="239"/>
      <c r="J64" s="487"/>
      <c r="K64" s="76"/>
      <c r="L64" s="562"/>
      <c r="M64" s="562"/>
      <c r="N64" s="563"/>
      <c r="O64" s="76"/>
      <c r="P64" s="454"/>
      <c r="Q64" s="75"/>
      <c r="R64" s="75"/>
      <c r="S64" s="75"/>
      <c r="T64" s="580"/>
    </row>
    <row r="65" spans="1:20" ht="18.75" thickBot="1" x14ac:dyDescent="0.3">
      <c r="A65" s="443" t="s">
        <v>524</v>
      </c>
      <c r="B65" s="470"/>
      <c r="D65" s="76"/>
      <c r="E65" s="76"/>
      <c r="F65" s="471"/>
      <c r="G65" s="76"/>
      <c r="H65" s="463"/>
      <c r="I65" s="239"/>
      <c r="J65" s="487"/>
      <c r="K65" s="76"/>
      <c r="L65" s="562"/>
      <c r="M65" s="562"/>
      <c r="N65" s="563"/>
      <c r="O65" s="76"/>
      <c r="P65" s="454"/>
      <c r="Q65" s="75"/>
      <c r="R65" s="75"/>
      <c r="S65" s="75"/>
      <c r="T65" s="580"/>
    </row>
    <row r="66" spans="1:20" x14ac:dyDescent="0.2">
      <c r="A66" s="426"/>
      <c r="B66" s="427"/>
      <c r="C66" s="455"/>
      <c r="D66" s="447"/>
      <c r="E66" s="447"/>
      <c r="F66" s="472"/>
      <c r="G66" s="447"/>
      <c r="H66" s="464"/>
      <c r="I66" s="448"/>
      <c r="J66" s="488"/>
      <c r="K66" s="447"/>
      <c r="L66" s="570"/>
      <c r="M66" s="570"/>
      <c r="N66" s="571"/>
      <c r="O66" s="447"/>
      <c r="P66" s="455"/>
      <c r="Q66" s="446"/>
      <c r="R66" s="446"/>
      <c r="S66" s="446"/>
      <c r="T66" s="582"/>
    </row>
    <row r="67" spans="1:20" x14ac:dyDescent="0.2">
      <c r="A67" s="430" t="s">
        <v>0</v>
      </c>
      <c r="B67" s="58" t="str">
        <f t="shared" ref="B67:B75" si="43">+B40</f>
        <v>Személyi juttatások</v>
      </c>
      <c r="C67" s="454">
        <f>+'5. Csicsergő'!C13</f>
        <v>133266100</v>
      </c>
      <c r="D67" s="75">
        <f>+'5. Csicsergő'!D13</f>
        <v>133266100</v>
      </c>
      <c r="E67" s="75">
        <f>+'5. Csicsergő'!E13</f>
        <v>0</v>
      </c>
      <c r="F67" s="465">
        <f>+'5. Csicsergő'!F13</f>
        <v>0</v>
      </c>
      <c r="G67" s="75"/>
      <c r="H67" s="454">
        <f>+'5. Csicsergő'!H13</f>
        <v>64161938</v>
      </c>
      <c r="I67" s="75">
        <f>+'5. Csicsergő'!I13</f>
        <v>0</v>
      </c>
      <c r="J67" s="489">
        <f>+'5. Csicsergő'!J13</f>
        <v>0</v>
      </c>
      <c r="K67" s="75"/>
      <c r="L67" s="562">
        <f t="shared" si="7"/>
        <v>0.48145730984849111</v>
      </c>
      <c r="M67" s="562" t="e">
        <f t="shared" si="8"/>
        <v>#DIV/0!</v>
      </c>
      <c r="N67" s="563" t="e">
        <f t="shared" si="9"/>
        <v>#DIV/0!</v>
      </c>
      <c r="O67" s="75"/>
      <c r="P67" s="454">
        <f>+'5. Csicsergő'!P13</f>
        <v>0</v>
      </c>
      <c r="Q67" s="75">
        <f>+'5. Csicsergő'!Q13</f>
        <v>-133266100</v>
      </c>
      <c r="R67" s="75">
        <f>+'5. Csicsergő'!R13</f>
        <v>0</v>
      </c>
      <c r="S67" s="75">
        <f>+'5. Csicsergő'!S13</f>
        <v>-133266100</v>
      </c>
      <c r="T67" s="578">
        <f>IF(S67=0,0,S67/C67)</f>
        <v>-1</v>
      </c>
    </row>
    <row r="68" spans="1:20" x14ac:dyDescent="0.2">
      <c r="A68" s="430" t="s">
        <v>26</v>
      </c>
      <c r="B68" s="58" t="str">
        <f t="shared" si="43"/>
        <v>Munkaadót terhelő járulékok és szociális hozzájárulás</v>
      </c>
      <c r="C68" s="454">
        <f>+'5. Csicsergő'!C30</f>
        <v>28627000</v>
      </c>
      <c r="D68" s="75">
        <f>+'5. Csicsergő'!D30</f>
        <v>28627000</v>
      </c>
      <c r="E68" s="75">
        <f>+'5. Csicsergő'!E30</f>
        <v>0</v>
      </c>
      <c r="F68" s="465">
        <f>+'5. Csicsergő'!F30</f>
        <v>0</v>
      </c>
      <c r="G68" s="75"/>
      <c r="H68" s="454">
        <f>+'5. Csicsergő'!H30</f>
        <v>15717456</v>
      </c>
      <c r="I68" s="75">
        <f>+'5. Csicsergő'!I30</f>
        <v>0</v>
      </c>
      <c r="J68" s="489">
        <f>+'5. Csicsergő'!J30</f>
        <v>0</v>
      </c>
      <c r="K68" s="75"/>
      <c r="L68" s="562">
        <f t="shared" si="7"/>
        <v>0.54904307122646456</v>
      </c>
      <c r="M68" s="562" t="e">
        <f t="shared" si="8"/>
        <v>#DIV/0!</v>
      </c>
      <c r="N68" s="563" t="e">
        <f t="shared" si="9"/>
        <v>#DIV/0!</v>
      </c>
      <c r="O68" s="75"/>
      <c r="P68" s="454">
        <f>+'5. Csicsergő'!P30</f>
        <v>0</v>
      </c>
      <c r="Q68" s="75">
        <f>+'5. Csicsergő'!Q30</f>
        <v>-28627000</v>
      </c>
      <c r="R68" s="75">
        <f>+'5. Csicsergő'!R30</f>
        <v>0</v>
      </c>
      <c r="S68" s="75">
        <f>+'5. Csicsergő'!S30</f>
        <v>-28627000</v>
      </c>
      <c r="T68" s="578">
        <f t="shared" ref="T68:T87" si="44">IF(S68=0,0,S68/C68)</f>
        <v>-1</v>
      </c>
    </row>
    <row r="69" spans="1:20" x14ac:dyDescent="0.2">
      <c r="A69" s="430" t="s">
        <v>29</v>
      </c>
      <c r="B69" s="58" t="str">
        <f t="shared" si="43"/>
        <v>Dologi kiadások</v>
      </c>
      <c r="C69" s="454">
        <f>+'5. Csicsergő'!C33</f>
        <v>8913000</v>
      </c>
      <c r="D69" s="75">
        <f>+'5. Csicsergő'!D33</f>
        <v>10814000</v>
      </c>
      <c r="E69" s="75">
        <f>+'5. Csicsergő'!E33</f>
        <v>0</v>
      </c>
      <c r="F69" s="465">
        <f>+'5. Csicsergő'!F33</f>
        <v>0</v>
      </c>
      <c r="G69" s="75"/>
      <c r="H69" s="454">
        <f>+'5. Csicsergő'!H33</f>
        <v>7922608</v>
      </c>
      <c r="I69" s="75">
        <f>+'5. Csicsergő'!I33</f>
        <v>0</v>
      </c>
      <c r="J69" s="489">
        <f>+'5. Csicsergő'!J33</f>
        <v>0</v>
      </c>
      <c r="K69" s="75"/>
      <c r="L69" s="562">
        <f t="shared" si="7"/>
        <v>0.73262511559090071</v>
      </c>
      <c r="M69" s="562" t="e">
        <f t="shared" si="8"/>
        <v>#DIV/0!</v>
      </c>
      <c r="N69" s="563" t="e">
        <f t="shared" si="9"/>
        <v>#DIV/0!</v>
      </c>
      <c r="O69" s="75"/>
      <c r="P69" s="454">
        <f>+'5. Csicsergő'!P33</f>
        <v>1901000</v>
      </c>
      <c r="Q69" s="75">
        <f>+'5. Csicsergő'!Q33</f>
        <v>-10814000</v>
      </c>
      <c r="R69" s="75">
        <f>+'5. Csicsergő'!R33</f>
        <v>0</v>
      </c>
      <c r="S69" s="75">
        <f>+'5. Csicsergő'!S33</f>
        <v>-8913000</v>
      </c>
      <c r="T69" s="578">
        <f t="shared" si="44"/>
        <v>-1</v>
      </c>
    </row>
    <row r="70" spans="1:20" x14ac:dyDescent="0.2">
      <c r="A70" s="430" t="s">
        <v>111</v>
      </c>
      <c r="B70" s="58" t="str">
        <f t="shared" si="43"/>
        <v>Elláttotak pénzpeli juttatásai</v>
      </c>
      <c r="C70" s="454"/>
      <c r="D70" s="75"/>
      <c r="E70" s="75"/>
      <c r="F70" s="465"/>
      <c r="G70" s="75"/>
      <c r="H70" s="454"/>
      <c r="I70" s="75"/>
      <c r="J70" s="489"/>
      <c r="K70" s="75"/>
      <c r="L70" s="562" t="e">
        <f t="shared" si="7"/>
        <v>#DIV/0!</v>
      </c>
      <c r="M70" s="562" t="e">
        <f t="shared" si="8"/>
        <v>#DIV/0!</v>
      </c>
      <c r="N70" s="563" t="e">
        <f t="shared" si="9"/>
        <v>#DIV/0!</v>
      </c>
      <c r="O70" s="75"/>
      <c r="P70" s="454"/>
      <c r="Q70" s="75"/>
      <c r="R70" s="75"/>
      <c r="S70" s="75"/>
      <c r="T70" s="578">
        <f t="shared" si="44"/>
        <v>0</v>
      </c>
    </row>
    <row r="71" spans="1:20" x14ac:dyDescent="0.2">
      <c r="A71" s="431" t="s">
        <v>376</v>
      </c>
      <c r="B71" s="58" t="str">
        <f t="shared" si="43"/>
        <v>Egyéb működési célú kiadások</v>
      </c>
      <c r="C71" s="454"/>
      <c r="D71" s="75"/>
      <c r="E71" s="75"/>
      <c r="F71" s="465"/>
      <c r="G71" s="75"/>
      <c r="H71" s="454"/>
      <c r="I71" s="75"/>
      <c r="J71" s="489"/>
      <c r="K71" s="75"/>
      <c r="L71" s="562" t="e">
        <f t="shared" si="7"/>
        <v>#DIV/0!</v>
      </c>
      <c r="M71" s="562" t="e">
        <f t="shared" si="8"/>
        <v>#DIV/0!</v>
      </c>
      <c r="N71" s="563" t="e">
        <f t="shared" si="9"/>
        <v>#DIV/0!</v>
      </c>
      <c r="O71" s="75"/>
      <c r="P71" s="454"/>
      <c r="Q71" s="75"/>
      <c r="R71" s="75"/>
      <c r="S71" s="75"/>
      <c r="T71" s="578">
        <f t="shared" si="44"/>
        <v>0</v>
      </c>
    </row>
    <row r="72" spans="1:20" x14ac:dyDescent="0.2">
      <c r="A72" s="430" t="s">
        <v>158</v>
      </c>
      <c r="B72" s="58" t="str">
        <f t="shared" si="43"/>
        <v>Beruházások</v>
      </c>
      <c r="C72" s="454">
        <f>+'5. Csicsergő'!C84</f>
        <v>1070000</v>
      </c>
      <c r="D72" s="75">
        <f>+'5. Csicsergő'!D84</f>
        <v>619000</v>
      </c>
      <c r="E72" s="75">
        <f>+'5. Csicsergő'!E84</f>
        <v>0</v>
      </c>
      <c r="F72" s="465">
        <f>+'5. Csicsergő'!F84</f>
        <v>0</v>
      </c>
      <c r="G72" s="75"/>
      <c r="H72" s="454">
        <f>+'5. Csicsergő'!H84</f>
        <v>31989</v>
      </c>
      <c r="I72" s="75">
        <f>+'5. Csicsergő'!I84</f>
        <v>0</v>
      </c>
      <c r="J72" s="489">
        <f>+'5. Csicsergő'!J84</f>
        <v>0</v>
      </c>
      <c r="K72" s="75"/>
      <c r="L72" s="562">
        <f t="shared" si="7"/>
        <v>5.1678513731825526E-2</v>
      </c>
      <c r="M72" s="562" t="e">
        <f t="shared" si="8"/>
        <v>#DIV/0!</v>
      </c>
      <c r="N72" s="563" t="e">
        <f t="shared" si="9"/>
        <v>#DIV/0!</v>
      </c>
      <c r="O72" s="75"/>
      <c r="P72" s="454">
        <f>+'5. Csicsergő'!P84</f>
        <v>-451000</v>
      </c>
      <c r="Q72" s="75">
        <f>+'5. Csicsergő'!Q84</f>
        <v>-619000</v>
      </c>
      <c r="R72" s="75">
        <f>+'5. Csicsergő'!R84</f>
        <v>0</v>
      </c>
      <c r="S72" s="75">
        <f>+'5. Csicsergő'!S84</f>
        <v>-1070000</v>
      </c>
      <c r="T72" s="578">
        <f t="shared" si="44"/>
        <v>-1</v>
      </c>
    </row>
    <row r="73" spans="1:20" x14ac:dyDescent="0.2">
      <c r="A73" s="430" t="s">
        <v>173</v>
      </c>
      <c r="B73" s="58" t="str">
        <f t="shared" si="43"/>
        <v>Felújítások</v>
      </c>
      <c r="C73" s="454">
        <f>+'5. Csicsergő'!C87</f>
        <v>0</v>
      </c>
      <c r="D73" s="75">
        <f>+'5. Csicsergő'!D87</f>
        <v>0</v>
      </c>
      <c r="E73" s="75">
        <f>+'5. Csicsergő'!E87</f>
        <v>0</v>
      </c>
      <c r="F73" s="465">
        <f>+'5. Csicsergő'!F87</f>
        <v>0</v>
      </c>
      <c r="G73" s="75"/>
      <c r="H73" s="454">
        <f>+'5. Csicsergő'!H87</f>
        <v>0</v>
      </c>
      <c r="I73" s="75">
        <f>+'5. Csicsergő'!I87</f>
        <v>0</v>
      </c>
      <c r="J73" s="489">
        <f>+'5. Csicsergő'!J87</f>
        <v>0</v>
      </c>
      <c r="K73" s="75"/>
      <c r="L73" s="562" t="e">
        <f t="shared" si="7"/>
        <v>#DIV/0!</v>
      </c>
      <c r="M73" s="562" t="e">
        <f t="shared" si="8"/>
        <v>#DIV/0!</v>
      </c>
      <c r="N73" s="563" t="e">
        <f t="shared" si="9"/>
        <v>#DIV/0!</v>
      </c>
      <c r="O73" s="75"/>
      <c r="P73" s="454">
        <f>+'5. Csicsergő'!P87</f>
        <v>0</v>
      </c>
      <c r="Q73" s="75">
        <f>+'5. Csicsergő'!Q87</f>
        <v>0</v>
      </c>
      <c r="R73" s="75">
        <f>+'5. Csicsergő'!R87</f>
        <v>0</v>
      </c>
      <c r="S73" s="75">
        <f>+'5. Csicsergő'!S87</f>
        <v>0</v>
      </c>
      <c r="T73" s="578">
        <f t="shared" si="44"/>
        <v>0</v>
      </c>
    </row>
    <row r="74" spans="1:20" x14ac:dyDescent="0.2">
      <c r="A74" s="430" t="s">
        <v>183</v>
      </c>
      <c r="B74" s="58" t="str">
        <f t="shared" si="43"/>
        <v>Szolgáltatások kiadásai</v>
      </c>
      <c r="C74" s="454"/>
      <c r="D74" s="75"/>
      <c r="E74" s="75"/>
      <c r="F74" s="465"/>
      <c r="G74" s="75"/>
      <c r="H74" s="454"/>
      <c r="I74" s="75"/>
      <c r="J74" s="489"/>
      <c r="K74" s="75"/>
      <c r="L74" s="562" t="e">
        <f t="shared" si="7"/>
        <v>#DIV/0!</v>
      </c>
      <c r="M74" s="562" t="e">
        <f t="shared" si="8"/>
        <v>#DIV/0!</v>
      </c>
      <c r="N74" s="563" t="e">
        <f t="shared" si="9"/>
        <v>#DIV/0!</v>
      </c>
      <c r="O74" s="75"/>
      <c r="P74" s="454"/>
      <c r="Q74" s="75"/>
      <c r="R74" s="75"/>
      <c r="S74" s="75"/>
      <c r="T74" s="578">
        <f t="shared" si="44"/>
        <v>0</v>
      </c>
    </row>
    <row r="75" spans="1:20" x14ac:dyDescent="0.2">
      <c r="A75" s="430" t="s">
        <v>201</v>
      </c>
      <c r="B75" s="58" t="str">
        <f t="shared" si="43"/>
        <v>Finanszírozási kiadások</v>
      </c>
      <c r="C75" s="433"/>
      <c r="F75" s="476"/>
      <c r="H75" s="433"/>
      <c r="J75" s="487"/>
      <c r="L75" s="562" t="e">
        <f t="shared" si="7"/>
        <v>#DIV/0!</v>
      </c>
      <c r="M75" s="562" t="e">
        <f t="shared" si="8"/>
        <v>#DIV/0!</v>
      </c>
      <c r="N75" s="563" t="e">
        <f t="shared" si="9"/>
        <v>#DIV/0!</v>
      </c>
      <c r="P75" s="433"/>
      <c r="T75" s="578">
        <f t="shared" si="44"/>
        <v>0</v>
      </c>
    </row>
    <row r="76" spans="1:20" x14ac:dyDescent="0.2">
      <c r="A76" s="432"/>
      <c r="B76" s="416" t="s">
        <v>378</v>
      </c>
      <c r="C76" s="456">
        <f>SUM(C67:C75)</f>
        <v>171876100</v>
      </c>
      <c r="D76" s="417">
        <f t="shared" ref="D76" si="45">SUM(D67:D75)</f>
        <v>173326100</v>
      </c>
      <c r="E76" s="417">
        <f t="shared" ref="E76" si="46">SUM(E67:E75)</f>
        <v>0</v>
      </c>
      <c r="F76" s="473">
        <f t="shared" ref="F76" si="47">SUM(F67:F75)</f>
        <v>0</v>
      </c>
      <c r="G76" s="417"/>
      <c r="H76" s="456">
        <f t="shared" ref="H76" si="48">SUM(H67:H75)</f>
        <v>87833991</v>
      </c>
      <c r="I76" s="417">
        <f t="shared" ref="I76" si="49">SUM(I67:I75)</f>
        <v>0</v>
      </c>
      <c r="J76" s="418">
        <f t="shared" ref="J76" si="50">SUM(J67:J75)</f>
        <v>0</v>
      </c>
      <c r="K76" s="217"/>
      <c r="L76" s="564">
        <f t="shared" si="7"/>
        <v>0.50675571076716086</v>
      </c>
      <c r="M76" s="564" t="e">
        <f t="shared" si="8"/>
        <v>#DIV/0!</v>
      </c>
      <c r="N76" s="565" t="e">
        <f t="shared" si="9"/>
        <v>#DIV/0!</v>
      </c>
      <c r="O76" s="217"/>
      <c r="P76" s="456">
        <f t="shared" ref="P76" si="51">SUM(P67:P75)</f>
        <v>1450000</v>
      </c>
      <c r="Q76" s="417">
        <f t="shared" ref="Q76" si="52">SUM(Q67:Q75)</f>
        <v>-173326100</v>
      </c>
      <c r="R76" s="417">
        <f t="shared" ref="R76" si="53">SUM(R67:R75)</f>
        <v>0</v>
      </c>
      <c r="S76" s="418">
        <f t="shared" ref="S76" si="54">SUM(S67:S75)</f>
        <v>-171876100</v>
      </c>
      <c r="T76" s="579">
        <f t="shared" si="44"/>
        <v>-1</v>
      </c>
    </row>
    <row r="77" spans="1:20" x14ac:dyDescent="0.2">
      <c r="A77" s="433"/>
      <c r="C77" s="433"/>
      <c r="F77" s="476"/>
      <c r="H77" s="433"/>
      <c r="J77" s="487"/>
      <c r="L77" s="562"/>
      <c r="M77" s="562"/>
      <c r="N77" s="563"/>
      <c r="P77" s="433"/>
      <c r="T77" s="578"/>
    </row>
    <row r="78" spans="1:20" x14ac:dyDescent="0.2">
      <c r="A78" s="430" t="str">
        <f t="shared" ref="A78:B84" si="55">+A51</f>
        <v>B1</v>
      </c>
      <c r="B78" s="58" t="str">
        <f t="shared" si="55"/>
        <v>Működési célú tám-ok államháztartáson belülről</v>
      </c>
      <c r="C78" s="454">
        <f>+'5. Csicsergő'!C93</f>
        <v>0</v>
      </c>
      <c r="D78" s="75">
        <f>+'5. Csicsergő'!D93</f>
        <v>0</v>
      </c>
      <c r="E78" s="75">
        <f>+'5. Csicsergő'!E93</f>
        <v>0</v>
      </c>
      <c r="F78" s="465">
        <f>+'5. Csicsergő'!F93</f>
        <v>0</v>
      </c>
      <c r="G78" s="75"/>
      <c r="H78" s="454">
        <f>+'5. Csicsergő'!H93</f>
        <v>0</v>
      </c>
      <c r="I78" s="75">
        <f>+'5. Csicsergő'!I93</f>
        <v>0</v>
      </c>
      <c r="J78" s="489">
        <f>+'5. Csicsergő'!J93</f>
        <v>0</v>
      </c>
      <c r="K78" s="75"/>
      <c r="L78" s="562" t="e">
        <f t="shared" si="7"/>
        <v>#DIV/0!</v>
      </c>
      <c r="M78" s="562" t="e">
        <f t="shared" si="8"/>
        <v>#DIV/0!</v>
      </c>
      <c r="N78" s="563" t="e">
        <f t="shared" si="9"/>
        <v>#DIV/0!</v>
      </c>
      <c r="O78" s="75"/>
      <c r="P78" s="454">
        <f>+'5. Csicsergő'!P93</f>
        <v>0</v>
      </c>
      <c r="Q78" s="75">
        <f>+'5. Csicsergő'!Q93</f>
        <v>0</v>
      </c>
      <c r="R78" s="75">
        <f>+'5. Csicsergő'!R93</f>
        <v>0</v>
      </c>
      <c r="S78" s="75">
        <f>+'5. Csicsergő'!S93</f>
        <v>0</v>
      </c>
      <c r="T78" s="578">
        <f t="shared" si="44"/>
        <v>0</v>
      </c>
    </row>
    <row r="79" spans="1:20" x14ac:dyDescent="0.2">
      <c r="A79" s="430" t="str">
        <f t="shared" si="55"/>
        <v>B2</v>
      </c>
      <c r="B79" s="58" t="str">
        <f t="shared" si="55"/>
        <v>Felhalmozási célú tám-ok államházt-on belülről</v>
      </c>
      <c r="C79" s="454"/>
      <c r="D79" s="75"/>
      <c r="E79" s="75"/>
      <c r="F79" s="465"/>
      <c r="G79" s="75"/>
      <c r="H79" s="454"/>
      <c r="I79" s="75"/>
      <c r="J79" s="489"/>
      <c r="K79" s="75"/>
      <c r="L79" s="562" t="e">
        <f t="shared" si="7"/>
        <v>#DIV/0!</v>
      </c>
      <c r="M79" s="562" t="e">
        <f t="shared" si="8"/>
        <v>#DIV/0!</v>
      </c>
      <c r="N79" s="563" t="e">
        <f t="shared" si="9"/>
        <v>#DIV/0!</v>
      </c>
      <c r="O79" s="75"/>
      <c r="P79" s="454"/>
      <c r="Q79" s="75"/>
      <c r="R79" s="75"/>
      <c r="S79" s="75"/>
      <c r="T79" s="578">
        <f t="shared" si="44"/>
        <v>0</v>
      </c>
    </row>
    <row r="80" spans="1:20" x14ac:dyDescent="0.2">
      <c r="A80" s="430" t="str">
        <f t="shared" si="55"/>
        <v>B3</v>
      </c>
      <c r="B80" s="58" t="str">
        <f t="shared" si="55"/>
        <v>Közhatalmi bevételek</v>
      </c>
      <c r="C80" s="454"/>
      <c r="D80" s="75"/>
      <c r="E80" s="75"/>
      <c r="F80" s="465"/>
      <c r="G80" s="75"/>
      <c r="H80" s="454"/>
      <c r="I80" s="75"/>
      <c r="J80" s="489"/>
      <c r="K80" s="75"/>
      <c r="L80" s="562" t="e">
        <f t="shared" si="7"/>
        <v>#DIV/0!</v>
      </c>
      <c r="M80" s="562" t="e">
        <f t="shared" si="8"/>
        <v>#DIV/0!</v>
      </c>
      <c r="N80" s="563" t="e">
        <f t="shared" si="9"/>
        <v>#DIV/0!</v>
      </c>
      <c r="O80" s="75"/>
      <c r="P80" s="454"/>
      <c r="Q80" s="75"/>
      <c r="R80" s="75"/>
      <c r="S80" s="75"/>
      <c r="T80" s="578">
        <f t="shared" si="44"/>
        <v>0</v>
      </c>
    </row>
    <row r="81" spans="1:20" x14ac:dyDescent="0.2">
      <c r="A81" s="430" t="str">
        <f t="shared" si="55"/>
        <v>B4</v>
      </c>
      <c r="B81" s="58" t="str">
        <f t="shared" si="55"/>
        <v>Működési bevételek</v>
      </c>
      <c r="C81" s="454">
        <f>+'5. Csicsergő'!C95</f>
        <v>0</v>
      </c>
      <c r="D81" s="75">
        <f>+'5. Csicsergő'!D95</f>
        <v>6000</v>
      </c>
      <c r="E81" s="75">
        <f>+'5. Csicsergő'!E95</f>
        <v>0</v>
      </c>
      <c r="F81" s="465">
        <f>+'5. Csicsergő'!F95</f>
        <v>0</v>
      </c>
      <c r="G81" s="75"/>
      <c r="H81" s="454">
        <f>+'5. Csicsergő'!H95</f>
        <v>2952</v>
      </c>
      <c r="I81" s="75">
        <f>+'5. Csicsergő'!I95</f>
        <v>0</v>
      </c>
      <c r="J81" s="489">
        <f>+'5. Csicsergő'!J95</f>
        <v>0</v>
      </c>
      <c r="K81" s="75"/>
      <c r="L81" s="562">
        <f t="shared" si="7"/>
        <v>0.49199999999999999</v>
      </c>
      <c r="M81" s="562" t="e">
        <f t="shared" si="8"/>
        <v>#DIV/0!</v>
      </c>
      <c r="N81" s="563" t="e">
        <f t="shared" si="9"/>
        <v>#DIV/0!</v>
      </c>
      <c r="O81" s="75"/>
      <c r="P81" s="454">
        <f>+'5. Csicsergő'!P95</f>
        <v>6000</v>
      </c>
      <c r="Q81" s="75">
        <f>+'5. Csicsergő'!Q95</f>
        <v>-6000</v>
      </c>
      <c r="R81" s="75">
        <f>+'5. Csicsergő'!R95</f>
        <v>0</v>
      </c>
      <c r="S81" s="75">
        <f>+'5. Csicsergő'!S95</f>
        <v>0</v>
      </c>
      <c r="T81" s="578">
        <f t="shared" si="44"/>
        <v>0</v>
      </c>
    </row>
    <row r="82" spans="1:20" x14ac:dyDescent="0.2">
      <c r="A82" s="430" t="str">
        <f t="shared" si="55"/>
        <v>B5</v>
      </c>
      <c r="B82" s="58" t="str">
        <f t="shared" si="55"/>
        <v>Felhalmozási bevételek</v>
      </c>
      <c r="C82" s="454"/>
      <c r="D82" s="75"/>
      <c r="E82" s="75"/>
      <c r="F82" s="465"/>
      <c r="G82" s="75"/>
      <c r="H82" s="454"/>
      <c r="I82" s="75"/>
      <c r="J82" s="489"/>
      <c r="K82" s="75"/>
      <c r="L82" s="562" t="e">
        <f t="shared" si="7"/>
        <v>#DIV/0!</v>
      </c>
      <c r="M82" s="562" t="e">
        <f t="shared" si="8"/>
        <v>#DIV/0!</v>
      </c>
      <c r="N82" s="563" t="e">
        <f t="shared" si="9"/>
        <v>#DIV/0!</v>
      </c>
      <c r="O82" s="75"/>
      <c r="P82" s="454"/>
      <c r="Q82" s="75"/>
      <c r="R82" s="75"/>
      <c r="S82" s="75"/>
      <c r="T82" s="578">
        <f t="shared" si="44"/>
        <v>0</v>
      </c>
    </row>
    <row r="83" spans="1:20" x14ac:dyDescent="0.2">
      <c r="A83" s="430" t="str">
        <f t="shared" si="55"/>
        <v>B6</v>
      </c>
      <c r="B83" s="58" t="str">
        <f t="shared" si="55"/>
        <v>Működési célú átvett pénzeszközök</v>
      </c>
      <c r="C83" s="454"/>
      <c r="D83" s="75"/>
      <c r="E83" s="75"/>
      <c r="F83" s="465"/>
      <c r="G83" s="75"/>
      <c r="H83" s="454"/>
      <c r="I83" s="75"/>
      <c r="J83" s="489"/>
      <c r="K83" s="75"/>
      <c r="L83" s="562" t="e">
        <f t="shared" si="7"/>
        <v>#DIV/0!</v>
      </c>
      <c r="M83" s="562" t="e">
        <f t="shared" si="8"/>
        <v>#DIV/0!</v>
      </c>
      <c r="N83" s="563" t="e">
        <f t="shared" si="9"/>
        <v>#DIV/0!</v>
      </c>
      <c r="O83" s="75"/>
      <c r="P83" s="454"/>
      <c r="Q83" s="75"/>
      <c r="R83" s="75"/>
      <c r="S83" s="75"/>
      <c r="T83" s="578">
        <f t="shared" si="44"/>
        <v>0</v>
      </c>
    </row>
    <row r="84" spans="1:20" x14ac:dyDescent="0.2">
      <c r="A84" s="430" t="str">
        <f t="shared" si="55"/>
        <v>B7</v>
      </c>
      <c r="B84" s="58" t="str">
        <f t="shared" si="55"/>
        <v>Felhalmozási célú átvett pénzeszközök</v>
      </c>
      <c r="C84" s="454"/>
      <c r="D84" s="75"/>
      <c r="E84" s="75"/>
      <c r="F84" s="465"/>
      <c r="G84" s="75"/>
      <c r="H84" s="454"/>
      <c r="I84" s="75"/>
      <c r="J84" s="489"/>
      <c r="K84" s="75"/>
      <c r="L84" s="562" t="e">
        <f t="shared" si="7"/>
        <v>#DIV/0!</v>
      </c>
      <c r="M84" s="562" t="e">
        <f t="shared" si="8"/>
        <v>#DIV/0!</v>
      </c>
      <c r="N84" s="563" t="e">
        <f t="shared" si="9"/>
        <v>#DIV/0!</v>
      </c>
      <c r="O84" s="75"/>
      <c r="P84" s="454"/>
      <c r="Q84" s="75"/>
      <c r="R84" s="75"/>
      <c r="S84" s="75"/>
      <c r="T84" s="578">
        <f t="shared" si="44"/>
        <v>0</v>
      </c>
    </row>
    <row r="85" spans="1:20" x14ac:dyDescent="0.2">
      <c r="A85" s="430" t="str">
        <f>+A58</f>
        <v>B8-ból maradványértéken túli finanszírozási bevételek</v>
      </c>
      <c r="B85" s="58"/>
      <c r="C85" s="454">
        <f>+'5. Csicsergő'!C99-C86</f>
        <v>171295092</v>
      </c>
      <c r="D85" s="75">
        <f>+'5. Csicsergő'!D99-D86</f>
        <v>172739092</v>
      </c>
      <c r="E85" s="75">
        <f>+'5. Csicsergő'!E99-E86</f>
        <v>0</v>
      </c>
      <c r="F85" s="465">
        <f>+'5. Csicsergő'!F99-F86</f>
        <v>0</v>
      </c>
      <c r="G85" s="75"/>
      <c r="H85" s="454">
        <f>+'5. Csicsergő'!H99-H86</f>
        <v>91148272</v>
      </c>
      <c r="I85" s="75">
        <f>+'5. Csicsergő'!I99-I86</f>
        <v>0</v>
      </c>
      <c r="J85" s="489">
        <f>+'5. Csicsergő'!J99-J86</f>
        <v>0</v>
      </c>
      <c r="K85" s="75"/>
      <c r="L85" s="562">
        <f t="shared" si="7"/>
        <v>0.52766441541790665</v>
      </c>
      <c r="M85" s="562" t="e">
        <f t="shared" si="8"/>
        <v>#DIV/0!</v>
      </c>
      <c r="N85" s="563" t="e">
        <f t="shared" si="9"/>
        <v>#DIV/0!</v>
      </c>
      <c r="O85" s="75"/>
      <c r="P85" s="454">
        <f>+'5. Csicsergő'!P99-P86</f>
        <v>1444000</v>
      </c>
      <c r="Q85" s="75">
        <f>+'5. Csicsergő'!Q99-Q86</f>
        <v>-172739092</v>
      </c>
      <c r="R85" s="75">
        <f>+'5. Csicsergő'!R99-R86</f>
        <v>0</v>
      </c>
      <c r="S85" s="75">
        <f>+'5. Csicsergő'!S99-S86</f>
        <v>-171295092</v>
      </c>
      <c r="T85" s="578">
        <f t="shared" si="44"/>
        <v>-1</v>
      </c>
    </row>
    <row r="86" spans="1:20" x14ac:dyDescent="0.2">
      <c r="A86" s="430" t="str">
        <f>+A59</f>
        <v>B8-ból előző évi mardvány igénybevétele</v>
      </c>
      <c r="B86" s="58"/>
      <c r="C86" s="454">
        <f>+'5. Csicsergő'!C101</f>
        <v>581008</v>
      </c>
      <c r="D86" s="75">
        <f>+'5. Csicsergő'!D101</f>
        <v>581008</v>
      </c>
      <c r="E86" s="75">
        <f>+'5. Csicsergő'!E101</f>
        <v>0</v>
      </c>
      <c r="F86" s="465">
        <f>+'5. Csicsergő'!F101</f>
        <v>0</v>
      </c>
      <c r="G86" s="75"/>
      <c r="H86" s="454">
        <f>+'5. Csicsergő'!H101</f>
        <v>581008</v>
      </c>
      <c r="I86" s="75">
        <f>+'5. Csicsergő'!I101</f>
        <v>0</v>
      </c>
      <c r="J86" s="489">
        <f>+'5. Csicsergő'!J101</f>
        <v>0</v>
      </c>
      <c r="K86" s="75"/>
      <c r="L86" s="562">
        <f t="shared" si="7"/>
        <v>1</v>
      </c>
      <c r="M86" s="562" t="e">
        <f t="shared" si="8"/>
        <v>#DIV/0!</v>
      </c>
      <c r="N86" s="563" t="e">
        <f t="shared" si="9"/>
        <v>#DIV/0!</v>
      </c>
      <c r="O86" s="75"/>
      <c r="P86" s="454">
        <f>+'5. Csicsergő'!P101</f>
        <v>0</v>
      </c>
      <c r="Q86" s="75">
        <f>+'5. Csicsergő'!Q101</f>
        <v>-581008</v>
      </c>
      <c r="R86" s="75">
        <f>+'5. Csicsergő'!R101</f>
        <v>0</v>
      </c>
      <c r="S86" s="75">
        <f>+'5. Csicsergő'!S101</f>
        <v>-581008</v>
      </c>
      <c r="T86" s="578">
        <f t="shared" si="44"/>
        <v>-1</v>
      </c>
    </row>
    <row r="87" spans="1:20" x14ac:dyDescent="0.2">
      <c r="A87" s="434"/>
      <c r="B87" s="416" t="s">
        <v>377</v>
      </c>
      <c r="C87" s="456">
        <f>SUM(C78:C86)</f>
        <v>171876100</v>
      </c>
      <c r="D87" s="417">
        <f t="shared" ref="D87" si="56">SUM(D78:D86)</f>
        <v>173326100</v>
      </c>
      <c r="E87" s="417">
        <f t="shared" ref="E87" si="57">SUM(E78:E86)</f>
        <v>0</v>
      </c>
      <c r="F87" s="473">
        <f t="shared" ref="F87" si="58">SUM(F78:F86)</f>
        <v>0</v>
      </c>
      <c r="G87" s="417"/>
      <c r="H87" s="456">
        <f t="shared" ref="H87" si="59">SUM(H78:H86)</f>
        <v>91732232</v>
      </c>
      <c r="I87" s="417">
        <f t="shared" ref="I87" si="60">SUM(I78:I86)</f>
        <v>0</v>
      </c>
      <c r="J87" s="418">
        <f t="shared" ref="J87" si="61">SUM(J78:J86)</f>
        <v>0</v>
      </c>
      <c r="K87" s="419"/>
      <c r="L87" s="566">
        <f t="shared" si="7"/>
        <v>0.52924650124822514</v>
      </c>
      <c r="M87" s="566" t="e">
        <f t="shared" si="8"/>
        <v>#DIV/0!</v>
      </c>
      <c r="N87" s="567" t="e">
        <f t="shared" si="9"/>
        <v>#DIV/0!</v>
      </c>
      <c r="O87" s="419"/>
      <c r="P87" s="456">
        <f t="shared" ref="P87" si="62">SUM(P78:P86)</f>
        <v>1450000</v>
      </c>
      <c r="Q87" s="417">
        <f t="shared" ref="Q87" si="63">SUM(Q78:Q86)</f>
        <v>-173326100</v>
      </c>
      <c r="R87" s="417">
        <f t="shared" ref="R87" si="64">SUM(R78:R86)</f>
        <v>0</v>
      </c>
      <c r="S87" s="418">
        <f t="shared" ref="S87" si="65">SUM(S78:S86)</f>
        <v>-171876100</v>
      </c>
      <c r="T87" s="579">
        <f t="shared" si="44"/>
        <v>-1</v>
      </c>
    </row>
    <row r="88" spans="1:20" x14ac:dyDescent="0.2">
      <c r="A88" s="433"/>
      <c r="B88" s="75"/>
      <c r="C88" s="454"/>
      <c r="D88" s="75"/>
      <c r="E88" s="75"/>
      <c r="F88" s="465"/>
      <c r="G88" s="75"/>
      <c r="H88" s="454"/>
      <c r="I88" s="75"/>
      <c r="J88" s="489"/>
      <c r="K88" s="75"/>
      <c r="L88" s="562"/>
      <c r="M88" s="562"/>
      <c r="N88" s="563"/>
      <c r="O88" s="75"/>
      <c r="P88" s="454"/>
      <c r="Q88" s="75"/>
      <c r="R88" s="75"/>
      <c r="S88" s="75"/>
      <c r="T88" s="580"/>
    </row>
    <row r="89" spans="1:20" ht="13.5" thickBot="1" x14ac:dyDescent="0.25">
      <c r="A89" s="436"/>
      <c r="B89" s="437" t="s">
        <v>467</v>
      </c>
      <c r="C89" s="458">
        <f>+C87-C76</f>
        <v>0</v>
      </c>
      <c r="D89" s="438">
        <f>+D87-D76</f>
        <v>0</v>
      </c>
      <c r="E89" s="438">
        <f>+E87-E76</f>
        <v>0</v>
      </c>
      <c r="F89" s="475">
        <f>+F87-F76</f>
        <v>0</v>
      </c>
      <c r="G89" s="438"/>
      <c r="H89" s="458">
        <f>+H87-H76</f>
        <v>3898241</v>
      </c>
      <c r="I89" s="438">
        <f>+I87-I76</f>
        <v>0</v>
      </c>
      <c r="J89" s="440">
        <f>+J87-J76</f>
        <v>0</v>
      </c>
      <c r="K89" s="439"/>
      <c r="L89" s="568" t="e">
        <f t="shared" ref="L89:L151" si="66">H89/D89</f>
        <v>#DIV/0!</v>
      </c>
      <c r="M89" s="568" t="e">
        <f t="shared" ref="M89:M151" si="67">I89/E89</f>
        <v>#DIV/0!</v>
      </c>
      <c r="N89" s="569" t="e">
        <f t="shared" ref="N89:N151" si="68">J89/F89</f>
        <v>#DIV/0!</v>
      </c>
      <c r="O89" s="439"/>
      <c r="P89" s="458">
        <f>+P87-P76</f>
        <v>0</v>
      </c>
      <c r="Q89" s="438">
        <f>+Q87-Q76</f>
        <v>0</v>
      </c>
      <c r="R89" s="438">
        <f>+R87-R76</f>
        <v>0</v>
      </c>
      <c r="S89" s="440">
        <f>+S87-S76</f>
        <v>0</v>
      </c>
      <c r="T89" s="581"/>
    </row>
    <row r="90" spans="1:20" x14ac:dyDescent="0.2">
      <c r="A90" s="58"/>
      <c r="B90" s="58"/>
      <c r="C90" s="454"/>
      <c r="D90" s="75"/>
      <c r="E90" s="75"/>
      <c r="F90" s="465"/>
      <c r="G90" s="75"/>
      <c r="H90" s="454"/>
      <c r="I90" s="75"/>
      <c r="J90" s="489"/>
      <c r="K90" s="75"/>
      <c r="L90" s="562"/>
      <c r="M90" s="562"/>
      <c r="N90" s="563"/>
      <c r="O90" s="75"/>
      <c r="P90" s="454"/>
      <c r="Q90" s="75"/>
      <c r="R90" s="75"/>
      <c r="S90" s="75"/>
      <c r="T90" s="580"/>
    </row>
    <row r="91" spans="1:20" ht="13.5" thickBot="1" x14ac:dyDescent="0.25">
      <c r="A91" s="58"/>
      <c r="B91" s="58"/>
      <c r="C91" s="454"/>
      <c r="D91" s="75"/>
      <c r="E91" s="75"/>
      <c r="F91" s="465"/>
      <c r="G91" s="75"/>
      <c r="H91" s="454"/>
      <c r="I91" s="75"/>
      <c r="J91" s="489"/>
      <c r="K91" s="75"/>
      <c r="L91" s="562"/>
      <c r="M91" s="562"/>
      <c r="N91" s="563"/>
      <c r="O91" s="75"/>
      <c r="P91" s="454"/>
      <c r="Q91" s="75"/>
      <c r="R91" s="75"/>
      <c r="S91" s="75"/>
      <c r="T91" s="580"/>
    </row>
    <row r="92" spans="1:20" ht="18.75" thickBot="1" x14ac:dyDescent="0.3">
      <c r="A92" s="443" t="s">
        <v>465</v>
      </c>
      <c r="B92" s="470"/>
      <c r="D92" s="75"/>
      <c r="E92" s="75"/>
      <c r="F92" s="465"/>
      <c r="G92" s="75"/>
      <c r="H92" s="454"/>
      <c r="I92" s="75"/>
      <c r="J92" s="489"/>
      <c r="K92" s="75"/>
      <c r="L92" s="562"/>
      <c r="M92" s="562"/>
      <c r="N92" s="563"/>
      <c r="O92" s="75"/>
      <c r="P92" s="454"/>
      <c r="Q92" s="75"/>
      <c r="R92" s="75"/>
      <c r="S92" s="75"/>
      <c r="T92" s="580"/>
    </row>
    <row r="93" spans="1:20" x14ac:dyDescent="0.2">
      <c r="A93" s="426"/>
      <c r="B93" s="444"/>
      <c r="C93" s="455"/>
      <c r="D93" s="446"/>
      <c r="E93" s="446"/>
      <c r="F93" s="445"/>
      <c r="G93" s="446"/>
      <c r="H93" s="455"/>
      <c r="I93" s="446"/>
      <c r="J93" s="491"/>
      <c r="K93" s="446"/>
      <c r="L93" s="570"/>
      <c r="M93" s="570"/>
      <c r="N93" s="571"/>
      <c r="O93" s="446"/>
      <c r="P93" s="455"/>
      <c r="Q93" s="446"/>
      <c r="R93" s="446"/>
      <c r="S93" s="446"/>
      <c r="T93" s="582"/>
    </row>
    <row r="94" spans="1:20" x14ac:dyDescent="0.2">
      <c r="A94" s="430" t="s">
        <v>0</v>
      </c>
      <c r="B94" s="58" t="str">
        <f t="shared" ref="B94:B102" si="69">+B67</f>
        <v>Személyi juttatások</v>
      </c>
      <c r="C94" s="454">
        <f>+'6. Gólyahír'!C13</f>
        <v>36545000</v>
      </c>
      <c r="D94" s="75">
        <f>+'6. Gólyahír'!D13</f>
        <v>36593000</v>
      </c>
      <c r="E94" s="75">
        <f>+'6. Gólyahír'!E13</f>
        <v>0</v>
      </c>
      <c r="F94" s="465">
        <f>+'6. Gólyahír'!F13</f>
        <v>0</v>
      </c>
      <c r="G94" s="75"/>
      <c r="H94" s="454">
        <f>+'6. Gólyahír'!H13</f>
        <v>17008819</v>
      </c>
      <c r="I94" s="75">
        <f>+'6. Gólyahír'!I13</f>
        <v>0</v>
      </c>
      <c r="J94" s="489">
        <f>+'6. Gólyahír'!J13</f>
        <v>0</v>
      </c>
      <c r="K94" s="75"/>
      <c r="L94" s="562">
        <f t="shared" si="66"/>
        <v>0.46481072882791791</v>
      </c>
      <c r="M94" s="562" t="e">
        <f t="shared" si="67"/>
        <v>#DIV/0!</v>
      </c>
      <c r="N94" s="563" t="e">
        <f t="shared" si="68"/>
        <v>#DIV/0!</v>
      </c>
      <c r="O94" s="75"/>
      <c r="P94" s="454">
        <f>+'6. Gólyahír'!P13</f>
        <v>48000</v>
      </c>
      <c r="Q94" s="75">
        <f>+'6. Gólyahír'!Q13</f>
        <v>-36593000</v>
      </c>
      <c r="R94" s="75">
        <f>+'6. Gólyahír'!R13</f>
        <v>0</v>
      </c>
      <c r="S94" s="75">
        <f>+'6. Gólyahír'!S13</f>
        <v>-36545000</v>
      </c>
      <c r="T94" s="578">
        <f>IF(S94=0,0,S94/C94)</f>
        <v>-1</v>
      </c>
    </row>
    <row r="95" spans="1:20" x14ac:dyDescent="0.2">
      <c r="A95" s="430" t="s">
        <v>26</v>
      </c>
      <c r="B95" s="58" t="str">
        <f t="shared" si="69"/>
        <v>Munkaadót terhelő járulékok és szociális hozzájárulás</v>
      </c>
      <c r="C95" s="454">
        <f>+'6. Gólyahír'!C29</f>
        <v>8079000</v>
      </c>
      <c r="D95" s="75">
        <f>+'6. Gólyahír'!D29</f>
        <v>8079000</v>
      </c>
      <c r="E95" s="75">
        <f>+'6. Gólyahír'!E29</f>
        <v>0</v>
      </c>
      <c r="F95" s="465">
        <f>+'6. Gólyahír'!F29</f>
        <v>0</v>
      </c>
      <c r="G95" s="75"/>
      <c r="H95" s="454">
        <f>+'6. Gólyahír'!H29</f>
        <v>4326412</v>
      </c>
      <c r="I95" s="75">
        <f>+'6. Gólyahír'!I29</f>
        <v>0</v>
      </c>
      <c r="J95" s="489">
        <f>+'6. Gólyahír'!J29</f>
        <v>0</v>
      </c>
      <c r="K95" s="75"/>
      <c r="L95" s="562">
        <f t="shared" si="66"/>
        <v>0.53551330610224035</v>
      </c>
      <c r="M95" s="562" t="e">
        <f t="shared" si="67"/>
        <v>#DIV/0!</v>
      </c>
      <c r="N95" s="563" t="e">
        <f t="shared" si="68"/>
        <v>#DIV/0!</v>
      </c>
      <c r="O95" s="75"/>
      <c r="P95" s="454">
        <f>+'6. Gólyahír'!P29</f>
        <v>0</v>
      </c>
      <c r="Q95" s="75">
        <f>+'6. Gólyahír'!Q29</f>
        <v>-8079000</v>
      </c>
      <c r="R95" s="75">
        <f>+'6. Gólyahír'!R29</f>
        <v>0</v>
      </c>
      <c r="S95" s="75">
        <f>+'6. Gólyahír'!S29</f>
        <v>-8079000</v>
      </c>
      <c r="T95" s="578">
        <f t="shared" ref="T95:T114" si="70">IF(S95=0,0,S95/C95)</f>
        <v>-1</v>
      </c>
    </row>
    <row r="96" spans="1:20" x14ac:dyDescent="0.2">
      <c r="A96" s="430" t="s">
        <v>29</v>
      </c>
      <c r="B96" s="58" t="str">
        <f t="shared" si="69"/>
        <v>Dologi kiadások</v>
      </c>
      <c r="C96" s="454">
        <f>+'6. Gólyahír'!C32</f>
        <v>10325000</v>
      </c>
      <c r="D96" s="75">
        <f>+'6. Gólyahír'!D32</f>
        <v>10277000</v>
      </c>
      <c r="E96" s="75">
        <f>+'6. Gólyahír'!E32</f>
        <v>0</v>
      </c>
      <c r="F96" s="465">
        <f>+'6. Gólyahír'!F32</f>
        <v>0</v>
      </c>
      <c r="G96" s="75"/>
      <c r="H96" s="454">
        <f>+'6. Gólyahír'!H32</f>
        <v>4020708</v>
      </c>
      <c r="I96" s="75">
        <f>+'6. Gólyahír'!I32</f>
        <v>0</v>
      </c>
      <c r="J96" s="489">
        <f>+'6. Gólyahír'!J32</f>
        <v>0</v>
      </c>
      <c r="K96" s="75"/>
      <c r="L96" s="562">
        <f t="shared" si="66"/>
        <v>0.39123362849080473</v>
      </c>
      <c r="M96" s="562" t="e">
        <f t="shared" si="67"/>
        <v>#DIV/0!</v>
      </c>
      <c r="N96" s="563" t="e">
        <f t="shared" si="68"/>
        <v>#DIV/0!</v>
      </c>
      <c r="O96" s="75"/>
      <c r="P96" s="454">
        <f>+'6. Gólyahír'!P32</f>
        <v>-48000</v>
      </c>
      <c r="Q96" s="75">
        <f>+'6. Gólyahír'!Q32</f>
        <v>-10277000</v>
      </c>
      <c r="R96" s="75">
        <f>+'6. Gólyahír'!R32</f>
        <v>0</v>
      </c>
      <c r="S96" s="75">
        <f>+'6. Gólyahír'!S32</f>
        <v>-10325000</v>
      </c>
      <c r="T96" s="578">
        <f t="shared" si="70"/>
        <v>-1</v>
      </c>
    </row>
    <row r="97" spans="1:20" x14ac:dyDescent="0.2">
      <c r="A97" s="430" t="s">
        <v>111</v>
      </c>
      <c r="B97" s="58" t="str">
        <f t="shared" si="69"/>
        <v>Elláttotak pénzpeli juttatásai</v>
      </c>
      <c r="C97" s="454"/>
      <c r="D97" s="75"/>
      <c r="E97" s="75"/>
      <c r="F97" s="465"/>
      <c r="G97" s="75"/>
      <c r="H97" s="454"/>
      <c r="I97" s="75"/>
      <c r="J97" s="489"/>
      <c r="K97" s="75"/>
      <c r="L97" s="562" t="e">
        <f t="shared" si="66"/>
        <v>#DIV/0!</v>
      </c>
      <c r="M97" s="562" t="e">
        <f t="shared" si="67"/>
        <v>#DIV/0!</v>
      </c>
      <c r="N97" s="563" t="e">
        <f t="shared" si="68"/>
        <v>#DIV/0!</v>
      </c>
      <c r="O97" s="75"/>
      <c r="P97" s="454"/>
      <c r="Q97" s="75"/>
      <c r="R97" s="75"/>
      <c r="S97" s="75"/>
      <c r="T97" s="578">
        <f t="shared" si="70"/>
        <v>0</v>
      </c>
    </row>
    <row r="98" spans="1:20" x14ac:dyDescent="0.2">
      <c r="A98" s="431" t="s">
        <v>376</v>
      </c>
      <c r="B98" s="58" t="str">
        <f t="shared" si="69"/>
        <v>Egyéb működési célú kiadások</v>
      </c>
      <c r="C98" s="454"/>
      <c r="D98" s="75"/>
      <c r="E98" s="75"/>
      <c r="F98" s="465"/>
      <c r="G98" s="75"/>
      <c r="H98" s="454"/>
      <c r="I98" s="75"/>
      <c r="J98" s="489"/>
      <c r="K98" s="75"/>
      <c r="L98" s="562" t="e">
        <f t="shared" si="66"/>
        <v>#DIV/0!</v>
      </c>
      <c r="M98" s="562" t="e">
        <f t="shared" si="67"/>
        <v>#DIV/0!</v>
      </c>
      <c r="N98" s="563" t="e">
        <f t="shared" si="68"/>
        <v>#DIV/0!</v>
      </c>
      <c r="O98" s="75"/>
      <c r="P98" s="454"/>
      <c r="Q98" s="75"/>
      <c r="R98" s="75"/>
      <c r="S98" s="75"/>
      <c r="T98" s="578">
        <f t="shared" si="70"/>
        <v>0</v>
      </c>
    </row>
    <row r="99" spans="1:20" x14ac:dyDescent="0.2">
      <c r="A99" s="430" t="s">
        <v>158</v>
      </c>
      <c r="B99" s="58" t="str">
        <f t="shared" si="69"/>
        <v>Beruházások</v>
      </c>
      <c r="C99" s="454">
        <f>+'6. Gólyahír'!C83</f>
        <v>14000</v>
      </c>
      <c r="D99" s="75">
        <f>+'6. Gólyahír'!D83</f>
        <v>14000</v>
      </c>
      <c r="E99" s="75">
        <f>+'6. Gólyahír'!E83</f>
        <v>0</v>
      </c>
      <c r="F99" s="465">
        <f>+'6. Gólyahír'!F83</f>
        <v>0</v>
      </c>
      <c r="G99" s="75"/>
      <c r="H99" s="454">
        <f>+'6. Gólyahír'!H83</f>
        <v>0</v>
      </c>
      <c r="I99" s="75">
        <f>+'6. Gólyahír'!I83</f>
        <v>0</v>
      </c>
      <c r="J99" s="489">
        <f>+'6. Gólyahír'!J83</f>
        <v>0</v>
      </c>
      <c r="K99" s="75"/>
      <c r="L99" s="562">
        <f t="shared" si="66"/>
        <v>0</v>
      </c>
      <c r="M99" s="562" t="e">
        <f t="shared" si="67"/>
        <v>#DIV/0!</v>
      </c>
      <c r="N99" s="563" t="e">
        <f t="shared" si="68"/>
        <v>#DIV/0!</v>
      </c>
      <c r="O99" s="75"/>
      <c r="P99" s="454">
        <f>+'6. Gólyahír'!P83</f>
        <v>0</v>
      </c>
      <c r="Q99" s="75">
        <f>+'6. Gólyahír'!Q83</f>
        <v>-14000</v>
      </c>
      <c r="R99" s="75">
        <f>+'6. Gólyahír'!R83</f>
        <v>0</v>
      </c>
      <c r="S99" s="75">
        <f>+'6. Gólyahír'!S83</f>
        <v>-14000</v>
      </c>
      <c r="T99" s="578">
        <f t="shared" si="70"/>
        <v>-1</v>
      </c>
    </row>
    <row r="100" spans="1:20" x14ac:dyDescent="0.2">
      <c r="A100" s="430" t="s">
        <v>173</v>
      </c>
      <c r="B100" s="58" t="str">
        <f t="shared" si="69"/>
        <v>Felújítások</v>
      </c>
      <c r="C100" s="454">
        <f>+'6. Gólyahír'!C86</f>
        <v>0</v>
      </c>
      <c r="D100" s="75">
        <f>+'6. Gólyahír'!D86</f>
        <v>0</v>
      </c>
      <c r="E100" s="75">
        <f>+'6. Gólyahír'!E86</f>
        <v>0</v>
      </c>
      <c r="F100" s="465">
        <f>+'6. Gólyahír'!F86</f>
        <v>0</v>
      </c>
      <c r="G100" s="75"/>
      <c r="H100" s="454">
        <f>+'6. Gólyahír'!H86</f>
        <v>0</v>
      </c>
      <c r="I100" s="75">
        <f>+'6. Gólyahír'!I86</f>
        <v>0</v>
      </c>
      <c r="J100" s="489">
        <f>+'6. Gólyahír'!J86</f>
        <v>0</v>
      </c>
      <c r="K100" s="75"/>
      <c r="L100" s="562" t="e">
        <f t="shared" si="66"/>
        <v>#DIV/0!</v>
      </c>
      <c r="M100" s="562" t="e">
        <f t="shared" si="67"/>
        <v>#DIV/0!</v>
      </c>
      <c r="N100" s="563" t="e">
        <f t="shared" si="68"/>
        <v>#DIV/0!</v>
      </c>
      <c r="O100" s="75"/>
      <c r="P100" s="454">
        <f>+'6. Gólyahír'!P86</f>
        <v>0</v>
      </c>
      <c r="Q100" s="75">
        <f>+'6. Gólyahír'!Q86</f>
        <v>0</v>
      </c>
      <c r="R100" s="75">
        <f>+'6. Gólyahír'!R86</f>
        <v>0</v>
      </c>
      <c r="S100" s="75">
        <f>+'6. Gólyahír'!S86</f>
        <v>0</v>
      </c>
      <c r="T100" s="578">
        <f t="shared" si="70"/>
        <v>0</v>
      </c>
    </row>
    <row r="101" spans="1:20" x14ac:dyDescent="0.2">
      <c r="A101" s="430" t="s">
        <v>183</v>
      </c>
      <c r="B101" s="58" t="str">
        <f t="shared" si="69"/>
        <v>Szolgáltatások kiadásai</v>
      </c>
      <c r="C101" s="454"/>
      <c r="D101" s="75"/>
      <c r="E101" s="75"/>
      <c r="F101" s="465"/>
      <c r="G101" s="75"/>
      <c r="H101" s="454"/>
      <c r="I101" s="75"/>
      <c r="J101" s="489"/>
      <c r="K101" s="75"/>
      <c r="L101" s="562" t="e">
        <f t="shared" si="66"/>
        <v>#DIV/0!</v>
      </c>
      <c r="M101" s="562" t="e">
        <f t="shared" si="67"/>
        <v>#DIV/0!</v>
      </c>
      <c r="N101" s="563" t="e">
        <f t="shared" si="68"/>
        <v>#DIV/0!</v>
      </c>
      <c r="O101" s="75"/>
      <c r="P101" s="454"/>
      <c r="Q101" s="75"/>
      <c r="R101" s="75"/>
      <c r="S101" s="75"/>
      <c r="T101" s="578">
        <f t="shared" si="70"/>
        <v>0</v>
      </c>
    </row>
    <row r="102" spans="1:20" x14ac:dyDescent="0.2">
      <c r="A102" s="430" t="s">
        <v>201</v>
      </c>
      <c r="B102" s="58" t="str">
        <f t="shared" si="69"/>
        <v>Finanszírozási kiadások</v>
      </c>
      <c r="C102" s="433"/>
      <c r="F102" s="476"/>
      <c r="H102" s="433"/>
      <c r="J102" s="487"/>
      <c r="L102" s="562" t="e">
        <f t="shared" si="66"/>
        <v>#DIV/0!</v>
      </c>
      <c r="M102" s="562" t="e">
        <f t="shared" si="67"/>
        <v>#DIV/0!</v>
      </c>
      <c r="N102" s="563" t="e">
        <f t="shared" si="68"/>
        <v>#DIV/0!</v>
      </c>
      <c r="P102" s="433"/>
      <c r="T102" s="578">
        <f t="shared" si="70"/>
        <v>0</v>
      </c>
    </row>
    <row r="103" spans="1:20" x14ac:dyDescent="0.2">
      <c r="A103" s="432"/>
      <c r="B103" s="416" t="s">
        <v>378</v>
      </c>
      <c r="C103" s="456">
        <f>SUM(C94:C102)</f>
        <v>54963000</v>
      </c>
      <c r="D103" s="417">
        <f t="shared" ref="D103" si="71">SUM(D94:D102)</f>
        <v>54963000</v>
      </c>
      <c r="E103" s="417">
        <f t="shared" ref="E103" si="72">SUM(E94:E102)</f>
        <v>0</v>
      </c>
      <c r="F103" s="473">
        <f t="shared" ref="F103" si="73">SUM(F94:F102)</f>
        <v>0</v>
      </c>
      <c r="G103" s="417"/>
      <c r="H103" s="456">
        <f t="shared" ref="H103" si="74">SUM(H94:H102)</f>
        <v>25355939</v>
      </c>
      <c r="I103" s="417">
        <f t="shared" ref="I103" si="75">SUM(I94:I102)</f>
        <v>0</v>
      </c>
      <c r="J103" s="418">
        <f t="shared" ref="J103" si="76">SUM(J94:J102)</f>
        <v>0</v>
      </c>
      <c r="K103" s="217"/>
      <c r="L103" s="564">
        <f t="shared" si="66"/>
        <v>0.4613274202645416</v>
      </c>
      <c r="M103" s="564" t="e">
        <f t="shared" si="67"/>
        <v>#DIV/0!</v>
      </c>
      <c r="N103" s="565" t="e">
        <f t="shared" si="68"/>
        <v>#DIV/0!</v>
      </c>
      <c r="O103" s="217"/>
      <c r="P103" s="456">
        <f t="shared" ref="P103" si="77">SUM(P94:P102)</f>
        <v>0</v>
      </c>
      <c r="Q103" s="417">
        <f t="shared" ref="Q103" si="78">SUM(Q94:Q102)</f>
        <v>-54963000</v>
      </c>
      <c r="R103" s="417">
        <f t="shared" ref="R103" si="79">SUM(R94:R102)</f>
        <v>0</v>
      </c>
      <c r="S103" s="418">
        <f t="shared" ref="S103" si="80">SUM(S94:S102)</f>
        <v>-54963000</v>
      </c>
      <c r="T103" s="579">
        <f t="shared" si="70"/>
        <v>-1</v>
      </c>
    </row>
    <row r="104" spans="1:20" x14ac:dyDescent="0.2">
      <c r="A104" s="430"/>
      <c r="B104" s="58"/>
      <c r="C104" s="454"/>
      <c r="D104" s="75"/>
      <c r="E104" s="75"/>
      <c r="F104" s="465"/>
      <c r="G104" s="75"/>
      <c r="H104" s="454"/>
      <c r="I104" s="75"/>
      <c r="J104" s="489"/>
      <c r="K104" s="75"/>
      <c r="L104" s="562"/>
      <c r="M104" s="562"/>
      <c r="N104" s="563"/>
      <c r="O104" s="75"/>
      <c r="P104" s="454"/>
      <c r="Q104" s="75"/>
      <c r="R104" s="75"/>
      <c r="S104" s="75"/>
      <c r="T104" s="578"/>
    </row>
    <row r="105" spans="1:20" x14ac:dyDescent="0.2">
      <c r="A105" s="430" t="str">
        <f>+A78</f>
        <v>B1</v>
      </c>
      <c r="B105" s="22" t="str">
        <f>+B78</f>
        <v>Működési célú tám-ok államháztartáson belülről</v>
      </c>
      <c r="C105" s="454">
        <f>+'6. Gólyahír'!C93</f>
        <v>0</v>
      </c>
      <c r="D105" s="75">
        <f>+'6. Gólyahír'!D93</f>
        <v>0</v>
      </c>
      <c r="E105" s="75">
        <f>+'6. Gólyahír'!E93</f>
        <v>0</v>
      </c>
      <c r="F105" s="465">
        <f>+'6. Gólyahír'!F93</f>
        <v>0</v>
      </c>
      <c r="G105" s="75"/>
      <c r="H105" s="454">
        <f>+'6. Gólyahír'!H93</f>
        <v>0</v>
      </c>
      <c r="I105" s="75">
        <f>+'6. Gólyahír'!I93</f>
        <v>0</v>
      </c>
      <c r="J105" s="489">
        <f>+'6. Gólyahír'!J93</f>
        <v>0</v>
      </c>
      <c r="K105" s="75"/>
      <c r="L105" s="562" t="e">
        <f t="shared" si="66"/>
        <v>#DIV/0!</v>
      </c>
      <c r="M105" s="562" t="e">
        <f t="shared" si="67"/>
        <v>#DIV/0!</v>
      </c>
      <c r="N105" s="563" t="e">
        <f t="shared" si="68"/>
        <v>#DIV/0!</v>
      </c>
      <c r="O105" s="75"/>
      <c r="P105" s="454">
        <f>+'6. Gólyahír'!P93</f>
        <v>0</v>
      </c>
      <c r="Q105" s="75">
        <f>+'6. Gólyahír'!Q93</f>
        <v>0</v>
      </c>
      <c r="R105" s="75">
        <f>+'6. Gólyahír'!R93</f>
        <v>0</v>
      </c>
      <c r="S105" s="75">
        <f>+'6. Gólyahír'!S93</f>
        <v>0</v>
      </c>
      <c r="T105" s="578">
        <f t="shared" si="70"/>
        <v>0</v>
      </c>
    </row>
    <row r="106" spans="1:20" x14ac:dyDescent="0.2">
      <c r="A106" s="430" t="str">
        <f t="shared" ref="A106:B106" si="81">+A79</f>
        <v>B2</v>
      </c>
      <c r="B106" s="22" t="str">
        <f t="shared" si="81"/>
        <v>Felhalmozási célú tám-ok államházt-on belülről</v>
      </c>
      <c r="C106" s="454"/>
      <c r="D106" s="75"/>
      <c r="E106" s="75"/>
      <c r="F106" s="465"/>
      <c r="G106" s="75"/>
      <c r="H106" s="454"/>
      <c r="I106" s="75"/>
      <c r="J106" s="489"/>
      <c r="K106" s="75"/>
      <c r="L106" s="562" t="e">
        <f t="shared" si="66"/>
        <v>#DIV/0!</v>
      </c>
      <c r="M106" s="562" t="e">
        <f t="shared" si="67"/>
        <v>#DIV/0!</v>
      </c>
      <c r="N106" s="563" t="e">
        <f t="shared" si="68"/>
        <v>#DIV/0!</v>
      </c>
      <c r="O106" s="75"/>
      <c r="P106" s="454"/>
      <c r="Q106" s="75"/>
      <c r="R106" s="75"/>
      <c r="S106" s="75"/>
      <c r="T106" s="578">
        <f t="shared" si="70"/>
        <v>0</v>
      </c>
    </row>
    <row r="107" spans="1:20" x14ac:dyDescent="0.2">
      <c r="A107" s="430" t="str">
        <f t="shared" ref="A107:B107" si="82">+A80</f>
        <v>B3</v>
      </c>
      <c r="B107" s="22" t="str">
        <f t="shared" si="82"/>
        <v>Közhatalmi bevételek</v>
      </c>
      <c r="C107" s="454"/>
      <c r="D107" s="75"/>
      <c r="E107" s="75"/>
      <c r="F107" s="465"/>
      <c r="G107" s="75"/>
      <c r="H107" s="454"/>
      <c r="I107" s="75"/>
      <c r="J107" s="489"/>
      <c r="K107" s="75"/>
      <c r="L107" s="562" t="e">
        <f t="shared" si="66"/>
        <v>#DIV/0!</v>
      </c>
      <c r="M107" s="562" t="e">
        <f t="shared" si="67"/>
        <v>#DIV/0!</v>
      </c>
      <c r="N107" s="563" t="e">
        <f t="shared" si="68"/>
        <v>#DIV/0!</v>
      </c>
      <c r="O107" s="75"/>
      <c r="P107" s="454"/>
      <c r="Q107" s="75"/>
      <c r="R107" s="75"/>
      <c r="S107" s="75"/>
      <c r="T107" s="578">
        <f t="shared" si="70"/>
        <v>0</v>
      </c>
    </row>
    <row r="108" spans="1:20" x14ac:dyDescent="0.2">
      <c r="A108" s="430" t="str">
        <f t="shared" ref="A108:B108" si="83">+A81</f>
        <v>B4</v>
      </c>
      <c r="B108" s="22" t="str">
        <f t="shared" si="83"/>
        <v>Működési bevételek</v>
      </c>
      <c r="C108" s="454">
        <f>+'6. Gólyahír'!C95</f>
        <v>3733000</v>
      </c>
      <c r="D108" s="75">
        <f>+'6. Gólyahír'!D95</f>
        <v>3733000</v>
      </c>
      <c r="E108" s="75">
        <f>+'6. Gólyahír'!E95</f>
        <v>0</v>
      </c>
      <c r="F108" s="465">
        <f>+'6. Gólyahír'!F95</f>
        <v>0</v>
      </c>
      <c r="G108" s="75"/>
      <c r="H108" s="454">
        <f>+'6. Gólyahír'!H95</f>
        <v>2041073</v>
      </c>
      <c r="I108" s="75">
        <f>+'6. Gólyahír'!I95</f>
        <v>0</v>
      </c>
      <c r="J108" s="489">
        <f>+'6. Gólyahír'!J95</f>
        <v>0</v>
      </c>
      <c r="K108" s="75"/>
      <c r="L108" s="562">
        <f t="shared" si="66"/>
        <v>0.54676480042860964</v>
      </c>
      <c r="M108" s="562" t="e">
        <f t="shared" si="67"/>
        <v>#DIV/0!</v>
      </c>
      <c r="N108" s="563" t="e">
        <f t="shared" si="68"/>
        <v>#DIV/0!</v>
      </c>
      <c r="O108" s="75"/>
      <c r="P108" s="454">
        <f>+'6. Gólyahír'!P95</f>
        <v>0</v>
      </c>
      <c r="Q108" s="75">
        <f>+'6. Gólyahír'!Q95</f>
        <v>-3733000</v>
      </c>
      <c r="R108" s="75">
        <f>+'6. Gólyahír'!R95</f>
        <v>0</v>
      </c>
      <c r="S108" s="75">
        <f>+'6. Gólyahír'!S95</f>
        <v>-3733000</v>
      </c>
      <c r="T108" s="578">
        <f t="shared" si="70"/>
        <v>-1</v>
      </c>
    </row>
    <row r="109" spans="1:20" x14ac:dyDescent="0.2">
      <c r="A109" s="430" t="str">
        <f t="shared" ref="A109:B109" si="84">+A82</f>
        <v>B5</v>
      </c>
      <c r="B109" s="22" t="str">
        <f t="shared" si="84"/>
        <v>Felhalmozási bevételek</v>
      </c>
      <c r="C109" s="454"/>
      <c r="D109" s="75"/>
      <c r="E109" s="75"/>
      <c r="F109" s="465"/>
      <c r="G109" s="75"/>
      <c r="H109" s="454"/>
      <c r="I109" s="75"/>
      <c r="J109" s="489"/>
      <c r="K109" s="75"/>
      <c r="L109" s="562" t="e">
        <f t="shared" si="66"/>
        <v>#DIV/0!</v>
      </c>
      <c r="M109" s="562" t="e">
        <f t="shared" si="67"/>
        <v>#DIV/0!</v>
      </c>
      <c r="N109" s="563" t="e">
        <f t="shared" si="68"/>
        <v>#DIV/0!</v>
      </c>
      <c r="O109" s="75"/>
      <c r="P109" s="454"/>
      <c r="Q109" s="75"/>
      <c r="R109" s="75"/>
      <c r="S109" s="75"/>
      <c r="T109" s="578">
        <f t="shared" si="70"/>
        <v>0</v>
      </c>
    </row>
    <row r="110" spans="1:20" x14ac:dyDescent="0.2">
      <c r="A110" s="430" t="str">
        <f t="shared" ref="A110:B110" si="85">+A83</f>
        <v>B6</v>
      </c>
      <c r="B110" s="22" t="str">
        <f t="shared" si="85"/>
        <v>Működési célú átvett pénzeszközök</v>
      </c>
      <c r="C110" s="454"/>
      <c r="D110" s="75"/>
      <c r="E110" s="75"/>
      <c r="F110" s="465"/>
      <c r="G110" s="75"/>
      <c r="H110" s="454"/>
      <c r="I110" s="75"/>
      <c r="J110" s="489"/>
      <c r="K110" s="75"/>
      <c r="L110" s="562" t="e">
        <f t="shared" si="66"/>
        <v>#DIV/0!</v>
      </c>
      <c r="M110" s="562" t="e">
        <f t="shared" si="67"/>
        <v>#DIV/0!</v>
      </c>
      <c r="N110" s="563" t="e">
        <f t="shared" si="68"/>
        <v>#DIV/0!</v>
      </c>
      <c r="O110" s="75"/>
      <c r="P110" s="454"/>
      <c r="Q110" s="75"/>
      <c r="R110" s="75"/>
      <c r="S110" s="75"/>
      <c r="T110" s="578">
        <f t="shared" si="70"/>
        <v>0</v>
      </c>
    </row>
    <row r="111" spans="1:20" x14ac:dyDescent="0.2">
      <c r="A111" s="430" t="str">
        <f t="shared" ref="A111:B111" si="86">+A84</f>
        <v>B7</v>
      </c>
      <c r="B111" s="22" t="str">
        <f t="shared" si="86"/>
        <v>Felhalmozási célú átvett pénzeszközök</v>
      </c>
      <c r="C111" s="454"/>
      <c r="D111" s="75"/>
      <c r="E111" s="75"/>
      <c r="F111" s="465"/>
      <c r="G111" s="75"/>
      <c r="H111" s="454"/>
      <c r="I111" s="75"/>
      <c r="J111" s="489"/>
      <c r="K111" s="75"/>
      <c r="L111" s="562" t="e">
        <f t="shared" si="66"/>
        <v>#DIV/0!</v>
      </c>
      <c r="M111" s="562" t="e">
        <f t="shared" si="67"/>
        <v>#DIV/0!</v>
      </c>
      <c r="N111" s="563" t="e">
        <f t="shared" si="68"/>
        <v>#DIV/0!</v>
      </c>
      <c r="O111" s="75"/>
      <c r="P111" s="454"/>
      <c r="Q111" s="75"/>
      <c r="R111" s="75"/>
      <c r="S111" s="75"/>
      <c r="T111" s="578">
        <f t="shared" si="70"/>
        <v>0</v>
      </c>
    </row>
    <row r="112" spans="1:20" x14ac:dyDescent="0.2">
      <c r="A112" s="430" t="str">
        <f t="shared" ref="A112" si="87">+A85</f>
        <v>B8-ból maradványértéken túli finanszírozási bevételek</v>
      </c>
      <c r="C112" s="454">
        <f>+'6. Gólyahír'!C99-C113</f>
        <v>48881766</v>
      </c>
      <c r="D112" s="75">
        <f>+'6. Gólyahír'!D99-D113</f>
        <v>48881766</v>
      </c>
      <c r="E112" s="75">
        <f>+'6. Gólyahír'!E99-E113</f>
        <v>0</v>
      </c>
      <c r="F112" s="465">
        <f>+'6. Gólyahír'!F99-F113</f>
        <v>0</v>
      </c>
      <c r="G112" s="75"/>
      <c r="H112" s="454">
        <f>+'6. Gólyahír'!H99-H113</f>
        <v>25458650</v>
      </c>
      <c r="I112" s="75">
        <f>+'6. Gólyahír'!I99-I113</f>
        <v>0</v>
      </c>
      <c r="J112" s="489">
        <f>+'6. Gólyahír'!J99-J113</f>
        <v>0</v>
      </c>
      <c r="K112" s="75"/>
      <c r="L112" s="562">
        <f t="shared" si="66"/>
        <v>0.52082099488795064</v>
      </c>
      <c r="M112" s="562" t="e">
        <f t="shared" si="67"/>
        <v>#DIV/0!</v>
      </c>
      <c r="N112" s="563" t="e">
        <f t="shared" si="68"/>
        <v>#DIV/0!</v>
      </c>
      <c r="O112" s="75"/>
      <c r="P112" s="454">
        <f>+'6. Gólyahír'!P99-P113</f>
        <v>0</v>
      </c>
      <c r="Q112" s="75">
        <f>+'6. Gólyahír'!Q99-Q113</f>
        <v>-48881766</v>
      </c>
      <c r="R112" s="75">
        <f>+'6. Gólyahír'!R99-R113</f>
        <v>0</v>
      </c>
      <c r="S112" s="75">
        <f>+'6. Gólyahír'!S99-S113</f>
        <v>-48881766</v>
      </c>
      <c r="T112" s="578">
        <f t="shared" si="70"/>
        <v>-1</v>
      </c>
    </row>
    <row r="113" spans="1:20" x14ac:dyDescent="0.2">
      <c r="A113" s="430" t="str">
        <f t="shared" ref="A113" si="88">+A86</f>
        <v>B8-ból előző évi mardvány igénybevétele</v>
      </c>
      <c r="C113" s="454">
        <f>+'6. Gólyahír'!C101</f>
        <v>2348234</v>
      </c>
      <c r="D113" s="75">
        <f>+'6. Gólyahír'!D101</f>
        <v>2348234</v>
      </c>
      <c r="E113" s="75">
        <f>+'6. Gólyahír'!E101</f>
        <v>0</v>
      </c>
      <c r="F113" s="465">
        <f>+'6. Gólyahír'!F101</f>
        <v>0</v>
      </c>
      <c r="G113" s="75"/>
      <c r="H113" s="454">
        <f>+'6. Gólyahír'!H101</f>
        <v>2348234</v>
      </c>
      <c r="I113" s="75">
        <f>+'6. Gólyahír'!I101</f>
        <v>0</v>
      </c>
      <c r="J113" s="489">
        <f>+'6. Gólyahír'!J101</f>
        <v>0</v>
      </c>
      <c r="K113" s="75"/>
      <c r="L113" s="562">
        <f t="shared" si="66"/>
        <v>1</v>
      </c>
      <c r="M113" s="562" t="e">
        <f t="shared" si="67"/>
        <v>#DIV/0!</v>
      </c>
      <c r="N113" s="563" t="e">
        <f t="shared" si="68"/>
        <v>#DIV/0!</v>
      </c>
      <c r="O113" s="75"/>
      <c r="P113" s="454">
        <f>+'6. Gólyahír'!P101</f>
        <v>0</v>
      </c>
      <c r="Q113" s="75">
        <f>+'6. Gólyahír'!Q101</f>
        <v>-2348234</v>
      </c>
      <c r="R113" s="75">
        <f>+'6. Gólyahír'!R101</f>
        <v>0</v>
      </c>
      <c r="S113" s="75">
        <f>+'6. Gólyahír'!S101</f>
        <v>-2348234</v>
      </c>
      <c r="T113" s="578">
        <f t="shared" si="70"/>
        <v>-1</v>
      </c>
    </row>
    <row r="114" spans="1:20" x14ac:dyDescent="0.2">
      <c r="A114" s="434"/>
      <c r="B114" s="416" t="s">
        <v>377</v>
      </c>
      <c r="C114" s="456">
        <f>SUM(C105:C113)</f>
        <v>54963000</v>
      </c>
      <c r="D114" s="417">
        <f t="shared" ref="D114" si="89">SUM(D105:D113)</f>
        <v>54963000</v>
      </c>
      <c r="E114" s="417">
        <f t="shared" ref="E114" si="90">SUM(E105:E113)</f>
        <v>0</v>
      </c>
      <c r="F114" s="473">
        <f t="shared" ref="F114" si="91">SUM(F105:F113)</f>
        <v>0</v>
      </c>
      <c r="G114" s="417"/>
      <c r="H114" s="456">
        <f t="shared" ref="H114" si="92">SUM(H105:H113)</f>
        <v>29847957</v>
      </c>
      <c r="I114" s="417">
        <f t="shared" ref="I114" si="93">SUM(I105:I113)</f>
        <v>0</v>
      </c>
      <c r="J114" s="418">
        <f t="shared" ref="J114" si="94">SUM(J105:J113)</f>
        <v>0</v>
      </c>
      <c r="K114" s="419"/>
      <c r="L114" s="566">
        <f t="shared" si="66"/>
        <v>0.54305545548823753</v>
      </c>
      <c r="M114" s="566" t="e">
        <f t="shared" si="67"/>
        <v>#DIV/0!</v>
      </c>
      <c r="N114" s="567" t="e">
        <f t="shared" si="68"/>
        <v>#DIV/0!</v>
      </c>
      <c r="O114" s="419"/>
      <c r="P114" s="456">
        <f t="shared" ref="P114" si="95">SUM(P105:P113)</f>
        <v>0</v>
      </c>
      <c r="Q114" s="417">
        <f t="shared" ref="Q114" si="96">SUM(Q105:Q113)</f>
        <v>-54963000</v>
      </c>
      <c r="R114" s="417">
        <f t="shared" ref="R114" si="97">SUM(R105:R113)</f>
        <v>0</v>
      </c>
      <c r="S114" s="418">
        <f t="shared" ref="S114" si="98">SUM(S105:S113)</f>
        <v>-54963000</v>
      </c>
      <c r="T114" s="579">
        <f t="shared" si="70"/>
        <v>-1</v>
      </c>
    </row>
    <row r="115" spans="1:20" x14ac:dyDescent="0.2">
      <c r="A115" s="433"/>
      <c r="B115" s="75"/>
      <c r="C115" s="454"/>
      <c r="D115" s="75"/>
      <c r="E115" s="75"/>
      <c r="F115" s="465"/>
      <c r="G115" s="75"/>
      <c r="H115" s="454"/>
      <c r="I115" s="75"/>
      <c r="J115" s="489"/>
      <c r="K115" s="75"/>
      <c r="L115" s="562"/>
      <c r="M115" s="562"/>
      <c r="N115" s="563"/>
      <c r="O115" s="75"/>
      <c r="P115" s="454"/>
      <c r="Q115" s="75"/>
      <c r="R115" s="75"/>
      <c r="S115" s="75"/>
      <c r="T115" s="580"/>
    </row>
    <row r="116" spans="1:20" ht="13.5" thickBot="1" x14ac:dyDescent="0.25">
      <c r="A116" s="436"/>
      <c r="B116" s="437" t="s">
        <v>467</v>
      </c>
      <c r="C116" s="458">
        <f>+C114-C103</f>
        <v>0</v>
      </c>
      <c r="D116" s="438">
        <f>+D114-D103</f>
        <v>0</v>
      </c>
      <c r="E116" s="438">
        <f>+E114-E103</f>
        <v>0</v>
      </c>
      <c r="F116" s="475">
        <f>+F114-F103</f>
        <v>0</v>
      </c>
      <c r="G116" s="438"/>
      <c r="H116" s="458">
        <f>+H114-H103</f>
        <v>4492018</v>
      </c>
      <c r="I116" s="438">
        <f>+I114-I103</f>
        <v>0</v>
      </c>
      <c r="J116" s="440">
        <f>+J114-J103</f>
        <v>0</v>
      </c>
      <c r="K116" s="439"/>
      <c r="L116" s="568" t="e">
        <f t="shared" si="66"/>
        <v>#DIV/0!</v>
      </c>
      <c r="M116" s="568" t="e">
        <f t="shared" si="67"/>
        <v>#DIV/0!</v>
      </c>
      <c r="N116" s="569" t="e">
        <f t="shared" si="68"/>
        <v>#DIV/0!</v>
      </c>
      <c r="O116" s="439"/>
      <c r="P116" s="458">
        <f>+P114-P103</f>
        <v>0</v>
      </c>
      <c r="Q116" s="438">
        <f>+Q114-Q103</f>
        <v>0</v>
      </c>
      <c r="R116" s="438">
        <f>+R114-R103</f>
        <v>0</v>
      </c>
      <c r="S116" s="440">
        <f>+S114-S103</f>
        <v>0</v>
      </c>
      <c r="T116" s="581"/>
    </row>
    <row r="117" spans="1:20" x14ac:dyDescent="0.2">
      <c r="C117" s="433"/>
      <c r="F117" s="476"/>
      <c r="H117" s="433"/>
      <c r="J117" s="487"/>
      <c r="L117" s="562"/>
      <c r="M117" s="562"/>
      <c r="N117" s="563"/>
      <c r="P117" s="433"/>
      <c r="T117" s="580"/>
    </row>
    <row r="118" spans="1:20" ht="13.5" thickBot="1" x14ac:dyDescent="0.25">
      <c r="C118" s="433"/>
      <c r="F118" s="476"/>
      <c r="H118" s="433"/>
      <c r="J118" s="487"/>
      <c r="L118" s="562"/>
      <c r="M118" s="562"/>
      <c r="N118" s="563"/>
      <c r="P118" s="433"/>
      <c r="T118" s="580"/>
    </row>
    <row r="119" spans="1:20" ht="18.75" thickBot="1" x14ac:dyDescent="0.3">
      <c r="A119" s="441" t="s">
        <v>464</v>
      </c>
      <c r="B119" s="559"/>
      <c r="C119" s="433"/>
      <c r="F119" s="476"/>
      <c r="H119" s="433"/>
      <c r="J119" s="487"/>
      <c r="L119" s="562"/>
      <c r="M119" s="562"/>
      <c r="N119" s="563"/>
      <c r="P119" s="433"/>
      <c r="T119" s="580"/>
    </row>
    <row r="120" spans="1:20" x14ac:dyDescent="0.2">
      <c r="A120" s="426"/>
      <c r="B120" s="427"/>
      <c r="C120" s="426"/>
      <c r="D120" s="428"/>
      <c r="E120" s="428"/>
      <c r="F120" s="477"/>
      <c r="G120" s="428"/>
      <c r="H120" s="426"/>
      <c r="I120" s="428"/>
      <c r="J120" s="488"/>
      <c r="K120" s="428"/>
      <c r="L120" s="570"/>
      <c r="M120" s="570"/>
      <c r="N120" s="571"/>
      <c r="O120" s="428"/>
      <c r="P120" s="426"/>
      <c r="Q120" s="427"/>
      <c r="R120" s="427"/>
      <c r="S120" s="427"/>
      <c r="T120" s="582"/>
    </row>
    <row r="121" spans="1:20" x14ac:dyDescent="0.2">
      <c r="A121" s="430" t="s">
        <v>0</v>
      </c>
      <c r="B121" s="58" t="str">
        <f t="shared" ref="B121:B129" si="99">+B94</f>
        <v>Személyi juttatások</v>
      </c>
      <c r="C121" s="454">
        <f>+'7. Polg.Hiv.'!C13</f>
        <v>82838000</v>
      </c>
      <c r="D121" s="75">
        <f>+'7. Polg.Hiv.'!D13</f>
        <v>82838000</v>
      </c>
      <c r="E121" s="75">
        <f>+'7. Polg.Hiv.'!E13</f>
        <v>0</v>
      </c>
      <c r="F121" s="465">
        <f>+'7. Polg.Hiv.'!F13</f>
        <v>0</v>
      </c>
      <c r="G121" s="75"/>
      <c r="H121" s="454">
        <f>+'7. Polg.Hiv.'!H13</f>
        <v>36864685</v>
      </c>
      <c r="I121" s="75">
        <f>+'7. Polg.Hiv.'!I13</f>
        <v>0</v>
      </c>
      <c r="J121" s="489">
        <f>+'7. Polg.Hiv.'!J13</f>
        <v>0</v>
      </c>
      <c r="K121" s="75"/>
      <c r="L121" s="562">
        <f t="shared" si="66"/>
        <v>0.4450214273642531</v>
      </c>
      <c r="M121" s="562" t="e">
        <f t="shared" si="67"/>
        <v>#DIV/0!</v>
      </c>
      <c r="N121" s="563" t="e">
        <f t="shared" si="68"/>
        <v>#DIV/0!</v>
      </c>
      <c r="O121" s="75"/>
      <c r="P121" s="454">
        <f>+'7. Polg.Hiv.'!P13</f>
        <v>0</v>
      </c>
      <c r="Q121" s="75">
        <f>+'7. Polg.Hiv.'!Q13</f>
        <v>-82838000</v>
      </c>
      <c r="R121" s="75">
        <f>+'7. Polg.Hiv.'!R13</f>
        <v>0</v>
      </c>
      <c r="S121" s="75">
        <f>+'7. Polg.Hiv.'!S13</f>
        <v>-82838000</v>
      </c>
      <c r="T121" s="578">
        <f>IF(S121=0,0,S121/C121)</f>
        <v>-1</v>
      </c>
    </row>
    <row r="122" spans="1:20" x14ac:dyDescent="0.2">
      <c r="A122" s="430" t="s">
        <v>26</v>
      </c>
      <c r="B122" s="58" t="str">
        <f t="shared" si="99"/>
        <v>Munkaadót terhelő járulékok és szociális hozzájárulás</v>
      </c>
      <c r="C122" s="454">
        <f>+'7. Polg.Hiv.'!C29</f>
        <v>18770000</v>
      </c>
      <c r="D122" s="75">
        <f>+'7. Polg.Hiv.'!D29</f>
        <v>18770000</v>
      </c>
      <c r="E122" s="75">
        <f>+'7. Polg.Hiv.'!E29</f>
        <v>0</v>
      </c>
      <c r="F122" s="465">
        <f>+'7. Polg.Hiv.'!F29</f>
        <v>0</v>
      </c>
      <c r="G122" s="75"/>
      <c r="H122" s="454">
        <f>+'7. Polg.Hiv.'!H29</f>
        <v>9993764</v>
      </c>
      <c r="I122" s="75">
        <f>+'7. Polg.Hiv.'!I29</f>
        <v>0</v>
      </c>
      <c r="J122" s="489">
        <f>+'7. Polg.Hiv.'!J29</f>
        <v>0</v>
      </c>
      <c r="K122" s="75"/>
      <c r="L122" s="562">
        <f t="shared" si="66"/>
        <v>0.53243281832711775</v>
      </c>
      <c r="M122" s="562" t="e">
        <f t="shared" si="67"/>
        <v>#DIV/0!</v>
      </c>
      <c r="N122" s="563" t="e">
        <f t="shared" si="68"/>
        <v>#DIV/0!</v>
      </c>
      <c r="O122" s="75"/>
      <c r="P122" s="454">
        <f>+'7. Polg.Hiv.'!P29</f>
        <v>0</v>
      </c>
      <c r="Q122" s="75">
        <f>+'7. Polg.Hiv.'!Q29</f>
        <v>-18770000</v>
      </c>
      <c r="R122" s="75">
        <f>+'7. Polg.Hiv.'!R29</f>
        <v>0</v>
      </c>
      <c r="S122" s="75">
        <f>+'7. Polg.Hiv.'!S29</f>
        <v>-18770000</v>
      </c>
      <c r="T122" s="578">
        <f t="shared" ref="T122:T141" si="100">IF(S122=0,0,S122/C122)</f>
        <v>-1</v>
      </c>
    </row>
    <row r="123" spans="1:20" x14ac:dyDescent="0.2">
      <c r="A123" s="430" t="s">
        <v>29</v>
      </c>
      <c r="B123" s="58" t="str">
        <f t="shared" si="99"/>
        <v>Dologi kiadások</v>
      </c>
      <c r="C123" s="454">
        <f>+'7. Polg.Hiv.'!C32</f>
        <v>10409999</v>
      </c>
      <c r="D123" s="75">
        <f>+'7. Polg.Hiv.'!D32</f>
        <v>10409999</v>
      </c>
      <c r="E123" s="75">
        <f>+'7. Polg.Hiv.'!E32</f>
        <v>0</v>
      </c>
      <c r="F123" s="465">
        <f>+'7. Polg.Hiv.'!F32</f>
        <v>0</v>
      </c>
      <c r="G123" s="75"/>
      <c r="H123" s="454">
        <f>+'7. Polg.Hiv.'!H32</f>
        <v>5569152</v>
      </c>
      <c r="I123" s="75">
        <f>+'7. Polg.Hiv.'!I32</f>
        <v>0</v>
      </c>
      <c r="J123" s="489">
        <f>+'7. Polg.Hiv.'!J32</f>
        <v>0</v>
      </c>
      <c r="K123" s="75"/>
      <c r="L123" s="562">
        <f t="shared" si="66"/>
        <v>0.53498103121815865</v>
      </c>
      <c r="M123" s="562" t="e">
        <f t="shared" si="67"/>
        <v>#DIV/0!</v>
      </c>
      <c r="N123" s="563" t="e">
        <f t="shared" si="68"/>
        <v>#DIV/0!</v>
      </c>
      <c r="O123" s="75"/>
      <c r="P123" s="454">
        <f>+'7. Polg.Hiv.'!P32</f>
        <v>0</v>
      </c>
      <c r="Q123" s="75">
        <f>+'7. Polg.Hiv.'!Q32</f>
        <v>-10409999</v>
      </c>
      <c r="R123" s="75">
        <f>+'7. Polg.Hiv.'!R32</f>
        <v>0</v>
      </c>
      <c r="S123" s="75">
        <f>+'7. Polg.Hiv.'!S32</f>
        <v>-10409999</v>
      </c>
      <c r="T123" s="578">
        <f t="shared" si="100"/>
        <v>-1</v>
      </c>
    </row>
    <row r="124" spans="1:20" x14ac:dyDescent="0.2">
      <c r="A124" s="430" t="s">
        <v>111</v>
      </c>
      <c r="B124" s="58" t="str">
        <f t="shared" si="99"/>
        <v>Elláttotak pénzpeli juttatásai</v>
      </c>
      <c r="C124" s="454"/>
      <c r="D124" s="75"/>
      <c r="E124" s="75"/>
      <c r="F124" s="465"/>
      <c r="G124" s="75"/>
      <c r="H124" s="454"/>
      <c r="I124" s="75"/>
      <c r="J124" s="489"/>
      <c r="K124" s="75"/>
      <c r="L124" s="562" t="e">
        <f t="shared" si="66"/>
        <v>#DIV/0!</v>
      </c>
      <c r="M124" s="562" t="e">
        <f t="shared" si="67"/>
        <v>#DIV/0!</v>
      </c>
      <c r="N124" s="563" t="e">
        <f t="shared" si="68"/>
        <v>#DIV/0!</v>
      </c>
      <c r="O124" s="75"/>
      <c r="P124" s="454"/>
      <c r="Q124" s="75"/>
      <c r="R124" s="75"/>
      <c r="S124" s="75"/>
      <c r="T124" s="578">
        <f t="shared" si="100"/>
        <v>0</v>
      </c>
    </row>
    <row r="125" spans="1:20" x14ac:dyDescent="0.2">
      <c r="A125" s="431" t="s">
        <v>376</v>
      </c>
      <c r="B125" s="58" t="str">
        <f t="shared" si="99"/>
        <v>Egyéb működési célú kiadások</v>
      </c>
      <c r="C125" s="454"/>
      <c r="D125" s="75"/>
      <c r="E125" s="75"/>
      <c r="F125" s="465"/>
      <c r="G125" s="75"/>
      <c r="H125" s="454"/>
      <c r="I125" s="75"/>
      <c r="J125" s="489"/>
      <c r="K125" s="75"/>
      <c r="L125" s="562" t="e">
        <f t="shared" si="66"/>
        <v>#DIV/0!</v>
      </c>
      <c r="M125" s="562" t="e">
        <f t="shared" si="67"/>
        <v>#DIV/0!</v>
      </c>
      <c r="N125" s="563" t="e">
        <f t="shared" si="68"/>
        <v>#DIV/0!</v>
      </c>
      <c r="O125" s="75"/>
      <c r="P125" s="454"/>
      <c r="Q125" s="75"/>
      <c r="R125" s="75"/>
      <c r="S125" s="75"/>
      <c r="T125" s="578">
        <f t="shared" si="100"/>
        <v>0</v>
      </c>
    </row>
    <row r="126" spans="1:20" x14ac:dyDescent="0.2">
      <c r="A126" s="430" t="s">
        <v>158</v>
      </c>
      <c r="B126" s="352" t="str">
        <f t="shared" si="99"/>
        <v>Beruházások</v>
      </c>
      <c r="C126" s="454">
        <f>+'7. Polg.Hiv.'!C83</f>
        <v>1324900</v>
      </c>
      <c r="D126" s="75">
        <f>+'7. Polg.Hiv.'!D83</f>
        <v>1324900</v>
      </c>
      <c r="E126" s="75">
        <f>+'7. Polg.Hiv.'!E83</f>
        <v>0</v>
      </c>
      <c r="F126" s="465">
        <f>+'7. Polg.Hiv.'!F83</f>
        <v>0</v>
      </c>
      <c r="G126" s="75"/>
      <c r="H126" s="454">
        <f>+'7. Polg.Hiv.'!H83</f>
        <v>700659</v>
      </c>
      <c r="I126" s="75">
        <f>+'7. Polg.Hiv.'!I83</f>
        <v>0</v>
      </c>
      <c r="J126" s="489">
        <f>+'7. Polg.Hiv.'!J83</f>
        <v>0</v>
      </c>
      <c r="K126" s="75"/>
      <c r="L126" s="562">
        <f t="shared" si="66"/>
        <v>0.52883915767227718</v>
      </c>
      <c r="M126" s="562" t="e">
        <f t="shared" si="67"/>
        <v>#DIV/0!</v>
      </c>
      <c r="N126" s="563" t="e">
        <f t="shared" si="68"/>
        <v>#DIV/0!</v>
      </c>
      <c r="O126" s="75"/>
      <c r="P126" s="454">
        <f>+'7. Polg.Hiv.'!P83</f>
        <v>0</v>
      </c>
      <c r="Q126" s="75">
        <f>+'7. Polg.Hiv.'!Q83</f>
        <v>-1324900</v>
      </c>
      <c r="R126" s="75">
        <f>+'7. Polg.Hiv.'!R83</f>
        <v>0</v>
      </c>
      <c r="S126" s="75">
        <f>+'7. Polg.Hiv.'!S83</f>
        <v>-1324900</v>
      </c>
      <c r="T126" s="578">
        <f t="shared" si="100"/>
        <v>-1</v>
      </c>
    </row>
    <row r="127" spans="1:20" x14ac:dyDescent="0.2">
      <c r="A127" s="430" t="s">
        <v>173</v>
      </c>
      <c r="B127" s="58" t="str">
        <f t="shared" si="99"/>
        <v>Felújítások</v>
      </c>
      <c r="C127" s="454">
        <f>+'7. Polg.Hiv.'!C86</f>
        <v>0</v>
      </c>
      <c r="D127" s="75">
        <f>+'7. Polg.Hiv.'!D86</f>
        <v>0</v>
      </c>
      <c r="E127" s="75">
        <f>+'7. Polg.Hiv.'!E86</f>
        <v>0</v>
      </c>
      <c r="F127" s="465">
        <f>+'7. Polg.Hiv.'!F86</f>
        <v>0</v>
      </c>
      <c r="G127" s="75"/>
      <c r="H127" s="454">
        <f>+'7. Polg.Hiv.'!H86</f>
        <v>0</v>
      </c>
      <c r="I127" s="75">
        <f>+'7. Polg.Hiv.'!I86</f>
        <v>0</v>
      </c>
      <c r="J127" s="489">
        <f>+'7. Polg.Hiv.'!J86</f>
        <v>0</v>
      </c>
      <c r="K127" s="75"/>
      <c r="L127" s="562" t="e">
        <f t="shared" si="66"/>
        <v>#DIV/0!</v>
      </c>
      <c r="M127" s="562" t="e">
        <f t="shared" si="67"/>
        <v>#DIV/0!</v>
      </c>
      <c r="N127" s="563" t="e">
        <f t="shared" si="68"/>
        <v>#DIV/0!</v>
      </c>
      <c r="O127" s="75"/>
      <c r="P127" s="454">
        <f>+'7. Polg.Hiv.'!P86</f>
        <v>0</v>
      </c>
      <c r="Q127" s="75">
        <f>+'7. Polg.Hiv.'!Q86</f>
        <v>0</v>
      </c>
      <c r="R127" s="75">
        <f>+'7. Polg.Hiv.'!R86</f>
        <v>0</v>
      </c>
      <c r="S127" s="75">
        <f>+'7. Polg.Hiv.'!S86</f>
        <v>0</v>
      </c>
      <c r="T127" s="578">
        <f t="shared" si="100"/>
        <v>0</v>
      </c>
    </row>
    <row r="128" spans="1:20" x14ac:dyDescent="0.2">
      <c r="A128" s="430" t="s">
        <v>183</v>
      </c>
      <c r="B128" s="58" t="str">
        <f t="shared" si="99"/>
        <v>Szolgáltatások kiadásai</v>
      </c>
      <c r="C128" s="454"/>
      <c r="D128" s="75"/>
      <c r="E128" s="75"/>
      <c r="F128" s="465"/>
      <c r="G128" s="75"/>
      <c r="H128" s="454"/>
      <c r="I128" s="75"/>
      <c r="J128" s="489"/>
      <c r="K128" s="75"/>
      <c r="L128" s="562" t="e">
        <f t="shared" si="66"/>
        <v>#DIV/0!</v>
      </c>
      <c r="M128" s="562" t="e">
        <f t="shared" si="67"/>
        <v>#DIV/0!</v>
      </c>
      <c r="N128" s="563" t="e">
        <f t="shared" si="68"/>
        <v>#DIV/0!</v>
      </c>
      <c r="O128" s="75"/>
      <c r="P128" s="454"/>
      <c r="Q128" s="75"/>
      <c r="R128" s="75"/>
      <c r="S128" s="75"/>
      <c r="T128" s="578">
        <f t="shared" si="100"/>
        <v>0</v>
      </c>
    </row>
    <row r="129" spans="1:20" x14ac:dyDescent="0.2">
      <c r="A129" s="430" t="s">
        <v>201</v>
      </c>
      <c r="B129" s="58" t="str">
        <f t="shared" si="99"/>
        <v>Finanszírozási kiadások</v>
      </c>
      <c r="C129" s="433"/>
      <c r="F129" s="476"/>
      <c r="H129" s="433"/>
      <c r="J129" s="487"/>
      <c r="L129" s="562" t="e">
        <f t="shared" si="66"/>
        <v>#DIV/0!</v>
      </c>
      <c r="M129" s="562" t="e">
        <f t="shared" si="67"/>
        <v>#DIV/0!</v>
      </c>
      <c r="N129" s="563" t="e">
        <f t="shared" si="68"/>
        <v>#DIV/0!</v>
      </c>
      <c r="P129" s="433"/>
      <c r="T129" s="578">
        <f t="shared" si="100"/>
        <v>0</v>
      </c>
    </row>
    <row r="130" spans="1:20" x14ac:dyDescent="0.2">
      <c r="A130" s="432"/>
      <c r="B130" s="416" t="s">
        <v>378</v>
      </c>
      <c r="C130" s="456">
        <f>SUM(C121:C129)</f>
        <v>113342899</v>
      </c>
      <c r="D130" s="417">
        <f t="shared" ref="D130" si="101">SUM(D121:D129)</f>
        <v>113342899</v>
      </c>
      <c r="E130" s="417">
        <f t="shared" ref="E130" si="102">SUM(E121:E129)</f>
        <v>0</v>
      </c>
      <c r="F130" s="473">
        <f t="shared" ref="F130" si="103">SUM(F121:F129)</f>
        <v>0</v>
      </c>
      <c r="G130" s="417"/>
      <c r="H130" s="456">
        <f t="shared" ref="H130" si="104">SUM(H121:H129)</f>
        <v>53128260</v>
      </c>
      <c r="I130" s="417">
        <f t="shared" ref="I130" si="105">SUM(I121:I129)</f>
        <v>0</v>
      </c>
      <c r="J130" s="418">
        <f t="shared" ref="J130" si="106">SUM(J121:J129)</f>
        <v>0</v>
      </c>
      <c r="K130" s="217"/>
      <c r="L130" s="564">
        <f t="shared" si="66"/>
        <v>0.46873920173861089</v>
      </c>
      <c r="M130" s="564" t="e">
        <f t="shared" si="67"/>
        <v>#DIV/0!</v>
      </c>
      <c r="N130" s="565" t="e">
        <f t="shared" si="68"/>
        <v>#DIV/0!</v>
      </c>
      <c r="O130" s="217"/>
      <c r="P130" s="456">
        <f t="shared" ref="P130" si="107">SUM(P121:P129)</f>
        <v>0</v>
      </c>
      <c r="Q130" s="417">
        <f t="shared" ref="Q130" si="108">SUM(Q121:Q129)</f>
        <v>-113342899</v>
      </c>
      <c r="R130" s="417">
        <f t="shared" ref="R130" si="109">SUM(R121:R129)</f>
        <v>0</v>
      </c>
      <c r="S130" s="418">
        <f t="shared" ref="S130" si="110">SUM(S121:S129)</f>
        <v>-113342899</v>
      </c>
      <c r="T130" s="579">
        <f t="shared" si="100"/>
        <v>-1</v>
      </c>
    </row>
    <row r="131" spans="1:20" x14ac:dyDescent="0.2">
      <c r="A131" s="433"/>
      <c r="C131" s="433"/>
      <c r="F131" s="476"/>
      <c r="H131" s="433"/>
      <c r="J131" s="487"/>
      <c r="L131" s="562"/>
      <c r="M131" s="562"/>
      <c r="N131" s="563"/>
      <c r="P131" s="433"/>
      <c r="T131" s="578"/>
    </row>
    <row r="132" spans="1:20" x14ac:dyDescent="0.2">
      <c r="A132" s="430" t="str">
        <f t="shared" ref="A132:B138" si="111">+A105</f>
        <v>B1</v>
      </c>
      <c r="B132" s="58" t="str">
        <f t="shared" si="111"/>
        <v>Működési célú tám-ok államháztartáson belülről</v>
      </c>
      <c r="C132" s="454">
        <f>+'7. Polg.Hiv.'!C93</f>
        <v>0</v>
      </c>
      <c r="D132" s="75">
        <f>+'7. Polg.Hiv.'!D93</f>
        <v>0</v>
      </c>
      <c r="E132" s="75">
        <f>+'7. Polg.Hiv.'!E93</f>
        <v>0</v>
      </c>
      <c r="F132" s="465">
        <f>+'7. Polg.Hiv.'!F93</f>
        <v>0</v>
      </c>
      <c r="G132" s="75"/>
      <c r="H132" s="454">
        <f>+'7. Polg.Hiv.'!H93</f>
        <v>0</v>
      </c>
      <c r="I132" s="75">
        <f>+'7. Polg.Hiv.'!I93</f>
        <v>0</v>
      </c>
      <c r="J132" s="489">
        <f>+'7. Polg.Hiv.'!J93</f>
        <v>0</v>
      </c>
      <c r="K132" s="75"/>
      <c r="L132" s="562" t="e">
        <f t="shared" si="66"/>
        <v>#DIV/0!</v>
      </c>
      <c r="M132" s="562" t="e">
        <f t="shared" si="67"/>
        <v>#DIV/0!</v>
      </c>
      <c r="N132" s="563" t="e">
        <f t="shared" si="68"/>
        <v>#DIV/0!</v>
      </c>
      <c r="O132" s="75"/>
      <c r="P132" s="454">
        <f>+'7. Polg.Hiv.'!P93</f>
        <v>0</v>
      </c>
      <c r="Q132" s="75">
        <f>+'7. Polg.Hiv.'!Q93</f>
        <v>0</v>
      </c>
      <c r="R132" s="75">
        <f>+'7. Polg.Hiv.'!R93</f>
        <v>0</v>
      </c>
      <c r="S132" s="75">
        <f>+'7. Polg.Hiv.'!S93</f>
        <v>0</v>
      </c>
      <c r="T132" s="578">
        <f t="shared" si="100"/>
        <v>0</v>
      </c>
    </row>
    <row r="133" spans="1:20" x14ac:dyDescent="0.2">
      <c r="A133" s="430" t="str">
        <f t="shared" si="111"/>
        <v>B2</v>
      </c>
      <c r="B133" s="58" t="str">
        <f t="shared" si="111"/>
        <v>Felhalmozási célú tám-ok államházt-on belülről</v>
      </c>
      <c r="C133" s="454"/>
      <c r="D133" s="75"/>
      <c r="E133" s="75"/>
      <c r="F133" s="465"/>
      <c r="G133" s="75"/>
      <c r="H133" s="454"/>
      <c r="I133" s="75"/>
      <c r="J133" s="489"/>
      <c r="K133" s="75"/>
      <c r="L133" s="562" t="e">
        <f t="shared" si="66"/>
        <v>#DIV/0!</v>
      </c>
      <c r="M133" s="562" t="e">
        <f t="shared" si="67"/>
        <v>#DIV/0!</v>
      </c>
      <c r="N133" s="563" t="e">
        <f t="shared" si="68"/>
        <v>#DIV/0!</v>
      </c>
      <c r="O133" s="75"/>
      <c r="P133" s="454"/>
      <c r="Q133" s="75"/>
      <c r="R133" s="75"/>
      <c r="S133" s="75"/>
      <c r="T133" s="578">
        <f t="shared" si="100"/>
        <v>0</v>
      </c>
    </row>
    <row r="134" spans="1:20" x14ac:dyDescent="0.2">
      <c r="A134" s="430" t="str">
        <f t="shared" si="111"/>
        <v>B3</v>
      </c>
      <c r="B134" s="58" t="str">
        <f t="shared" si="111"/>
        <v>Közhatalmi bevételek</v>
      </c>
      <c r="C134" s="454"/>
      <c r="D134" s="75"/>
      <c r="E134" s="75"/>
      <c r="F134" s="465"/>
      <c r="G134" s="75"/>
      <c r="H134" s="454"/>
      <c r="I134" s="75"/>
      <c r="J134" s="489"/>
      <c r="K134" s="75"/>
      <c r="L134" s="562" t="e">
        <f t="shared" si="66"/>
        <v>#DIV/0!</v>
      </c>
      <c r="M134" s="562" t="e">
        <f t="shared" si="67"/>
        <v>#DIV/0!</v>
      </c>
      <c r="N134" s="563" t="e">
        <f t="shared" si="68"/>
        <v>#DIV/0!</v>
      </c>
      <c r="O134" s="75"/>
      <c r="P134" s="454"/>
      <c r="Q134" s="75"/>
      <c r="R134" s="75"/>
      <c r="S134" s="75"/>
      <c r="T134" s="578">
        <f t="shared" si="100"/>
        <v>0</v>
      </c>
    </row>
    <row r="135" spans="1:20" x14ac:dyDescent="0.2">
      <c r="A135" s="430" t="str">
        <f t="shared" si="111"/>
        <v>B4</v>
      </c>
      <c r="B135" s="58" t="str">
        <f t="shared" si="111"/>
        <v>Működési bevételek</v>
      </c>
      <c r="C135" s="454">
        <f>+'7. Polg.Hiv.'!C95</f>
        <v>0</v>
      </c>
      <c r="D135" s="75">
        <f>+'7. Polg.Hiv.'!D95</f>
        <v>0</v>
      </c>
      <c r="E135" s="75">
        <f>+'7. Polg.Hiv.'!E95</f>
        <v>0</v>
      </c>
      <c r="F135" s="465">
        <f>+'7. Polg.Hiv.'!F95</f>
        <v>0</v>
      </c>
      <c r="G135" s="75"/>
      <c r="H135" s="454">
        <f>+'7. Polg.Hiv.'!H95</f>
        <v>3822</v>
      </c>
      <c r="I135" s="75">
        <f>+'7. Polg.Hiv.'!I95</f>
        <v>0</v>
      </c>
      <c r="J135" s="489">
        <f>+'7. Polg.Hiv.'!J95</f>
        <v>0</v>
      </c>
      <c r="K135" s="75"/>
      <c r="L135" s="562" t="e">
        <f t="shared" si="66"/>
        <v>#DIV/0!</v>
      </c>
      <c r="M135" s="562" t="e">
        <f t="shared" si="67"/>
        <v>#DIV/0!</v>
      </c>
      <c r="N135" s="563" t="e">
        <f t="shared" si="68"/>
        <v>#DIV/0!</v>
      </c>
      <c r="O135" s="75"/>
      <c r="P135" s="454">
        <f>+'7. Polg.Hiv.'!P95</f>
        <v>0</v>
      </c>
      <c r="Q135" s="75">
        <f>+'7. Polg.Hiv.'!Q95</f>
        <v>0</v>
      </c>
      <c r="R135" s="75">
        <f>+'7. Polg.Hiv.'!R95</f>
        <v>0</v>
      </c>
      <c r="S135" s="75">
        <f>+'7. Polg.Hiv.'!S95</f>
        <v>0</v>
      </c>
      <c r="T135" s="578">
        <f t="shared" si="100"/>
        <v>0</v>
      </c>
    </row>
    <row r="136" spans="1:20" x14ac:dyDescent="0.2">
      <c r="A136" s="430" t="str">
        <f t="shared" si="111"/>
        <v>B5</v>
      </c>
      <c r="B136" s="58" t="str">
        <f t="shared" si="111"/>
        <v>Felhalmozási bevételek</v>
      </c>
      <c r="C136" s="454"/>
      <c r="D136" s="75"/>
      <c r="E136" s="75"/>
      <c r="F136" s="465"/>
      <c r="G136" s="75"/>
      <c r="H136" s="454"/>
      <c r="I136" s="75"/>
      <c r="J136" s="489"/>
      <c r="K136" s="75"/>
      <c r="L136" s="562" t="e">
        <f t="shared" si="66"/>
        <v>#DIV/0!</v>
      </c>
      <c r="M136" s="562" t="e">
        <f t="shared" si="67"/>
        <v>#DIV/0!</v>
      </c>
      <c r="N136" s="563" t="e">
        <f t="shared" si="68"/>
        <v>#DIV/0!</v>
      </c>
      <c r="O136" s="75"/>
      <c r="P136" s="454"/>
      <c r="Q136" s="75"/>
      <c r="R136" s="75"/>
      <c r="S136" s="75"/>
      <c r="T136" s="578">
        <f t="shared" si="100"/>
        <v>0</v>
      </c>
    </row>
    <row r="137" spans="1:20" x14ac:dyDescent="0.2">
      <c r="A137" s="430" t="str">
        <f t="shared" si="111"/>
        <v>B6</v>
      </c>
      <c r="B137" s="58" t="str">
        <f t="shared" si="111"/>
        <v>Működési célú átvett pénzeszközök</v>
      </c>
      <c r="C137" s="454"/>
      <c r="D137" s="75"/>
      <c r="E137" s="75"/>
      <c r="F137" s="465"/>
      <c r="G137" s="75"/>
      <c r="H137" s="454"/>
      <c r="I137" s="75"/>
      <c r="J137" s="489"/>
      <c r="K137" s="75"/>
      <c r="L137" s="562" t="e">
        <f t="shared" si="66"/>
        <v>#DIV/0!</v>
      </c>
      <c r="M137" s="562" t="e">
        <f t="shared" si="67"/>
        <v>#DIV/0!</v>
      </c>
      <c r="N137" s="563" t="e">
        <f t="shared" si="68"/>
        <v>#DIV/0!</v>
      </c>
      <c r="O137" s="75"/>
      <c r="P137" s="454"/>
      <c r="Q137" s="75"/>
      <c r="R137" s="75"/>
      <c r="S137" s="75"/>
      <c r="T137" s="578">
        <f t="shared" si="100"/>
        <v>0</v>
      </c>
    </row>
    <row r="138" spans="1:20" x14ac:dyDescent="0.2">
      <c r="A138" s="430" t="str">
        <f t="shared" si="111"/>
        <v>B7</v>
      </c>
      <c r="B138" s="58" t="str">
        <f t="shared" si="111"/>
        <v>Felhalmozási célú átvett pénzeszközök</v>
      </c>
      <c r="C138" s="454"/>
      <c r="D138" s="75"/>
      <c r="E138" s="75"/>
      <c r="F138" s="465"/>
      <c r="G138" s="75"/>
      <c r="H138" s="454"/>
      <c r="I138" s="75"/>
      <c r="J138" s="489"/>
      <c r="K138" s="75"/>
      <c r="L138" s="562" t="e">
        <f t="shared" si="66"/>
        <v>#DIV/0!</v>
      </c>
      <c r="M138" s="562" t="e">
        <f t="shared" si="67"/>
        <v>#DIV/0!</v>
      </c>
      <c r="N138" s="563" t="e">
        <f t="shared" si="68"/>
        <v>#DIV/0!</v>
      </c>
      <c r="O138" s="75"/>
      <c r="P138" s="454"/>
      <c r="Q138" s="75"/>
      <c r="R138" s="75"/>
      <c r="S138" s="75"/>
      <c r="T138" s="578">
        <f t="shared" si="100"/>
        <v>0</v>
      </c>
    </row>
    <row r="139" spans="1:20" x14ac:dyDescent="0.2">
      <c r="A139" s="430" t="str">
        <f>+A112</f>
        <v>B8-ból maradványértéken túli finanszírozási bevételek</v>
      </c>
      <c r="B139" s="58"/>
      <c r="C139" s="454">
        <f>+'7. Polg.Hiv.'!C99-C140</f>
        <v>111124591</v>
      </c>
      <c r="D139" s="75">
        <f>+'7. Polg.Hiv.'!D99-D140</f>
        <v>111124591</v>
      </c>
      <c r="E139" s="75">
        <f>+'7. Polg.Hiv.'!E99-E140</f>
        <v>0</v>
      </c>
      <c r="F139" s="465">
        <f>+'7. Polg.Hiv.'!F99-F140</f>
        <v>0</v>
      </c>
      <c r="G139" s="75"/>
      <c r="H139" s="454">
        <f>+'7. Polg.Hiv.'!H99-H140</f>
        <v>55828164</v>
      </c>
      <c r="I139" s="75">
        <f>+'7. Polg.Hiv.'!I99-I140</f>
        <v>0</v>
      </c>
      <c r="J139" s="489">
        <f>+'7. Polg.Hiv.'!J99-J140</f>
        <v>0</v>
      </c>
      <c r="K139" s="75"/>
      <c r="L139" s="562">
        <f t="shared" si="66"/>
        <v>0.50239252624110897</v>
      </c>
      <c r="M139" s="562" t="e">
        <f t="shared" si="67"/>
        <v>#DIV/0!</v>
      </c>
      <c r="N139" s="563" t="e">
        <f t="shared" si="68"/>
        <v>#DIV/0!</v>
      </c>
      <c r="O139" s="75"/>
      <c r="P139" s="454">
        <f>+'7. Polg.Hiv.'!P99-P140</f>
        <v>0</v>
      </c>
      <c r="Q139" s="75">
        <f>+'7. Polg.Hiv.'!Q99-Q140</f>
        <v>-111124591</v>
      </c>
      <c r="R139" s="75">
        <f>+'7. Polg.Hiv.'!R99-R140</f>
        <v>0</v>
      </c>
      <c r="S139" s="75">
        <f>+'7. Polg.Hiv.'!S99-S140</f>
        <v>-111124591</v>
      </c>
      <c r="T139" s="578">
        <f t="shared" si="100"/>
        <v>-1</v>
      </c>
    </row>
    <row r="140" spans="1:20" x14ac:dyDescent="0.2">
      <c r="A140" s="430" t="str">
        <f>+A113</f>
        <v>B8-ból előző évi mardvány igénybevétele</v>
      </c>
      <c r="B140" s="58"/>
      <c r="C140" s="454">
        <f>+'7. Polg.Hiv.'!C101</f>
        <v>2218308</v>
      </c>
      <c r="D140" s="75">
        <f>+'7. Polg.Hiv.'!D101</f>
        <v>2218308</v>
      </c>
      <c r="E140" s="75">
        <f>+'7. Polg.Hiv.'!E101</f>
        <v>0</v>
      </c>
      <c r="F140" s="465">
        <f>+'7. Polg.Hiv.'!F101</f>
        <v>0</v>
      </c>
      <c r="G140" s="75"/>
      <c r="H140" s="454">
        <f>+'7. Polg.Hiv.'!H101</f>
        <v>2218308</v>
      </c>
      <c r="I140" s="75">
        <f>+'7. Polg.Hiv.'!I101</f>
        <v>0</v>
      </c>
      <c r="J140" s="489">
        <f>+'7. Polg.Hiv.'!J101</f>
        <v>0</v>
      </c>
      <c r="K140" s="75"/>
      <c r="L140" s="562">
        <f t="shared" si="66"/>
        <v>1</v>
      </c>
      <c r="M140" s="562" t="e">
        <f t="shared" si="67"/>
        <v>#DIV/0!</v>
      </c>
      <c r="N140" s="563" t="e">
        <f t="shared" si="68"/>
        <v>#DIV/0!</v>
      </c>
      <c r="O140" s="75"/>
      <c r="P140" s="454">
        <f>+'7. Polg.Hiv.'!P101</f>
        <v>0</v>
      </c>
      <c r="Q140" s="75">
        <f>+'7. Polg.Hiv.'!Q101</f>
        <v>-2218308</v>
      </c>
      <c r="R140" s="75">
        <f>+'7. Polg.Hiv.'!R101</f>
        <v>0</v>
      </c>
      <c r="S140" s="75">
        <f>+'7. Polg.Hiv.'!S101</f>
        <v>-2218308</v>
      </c>
      <c r="T140" s="578">
        <f t="shared" si="100"/>
        <v>-1</v>
      </c>
    </row>
    <row r="141" spans="1:20" x14ac:dyDescent="0.2">
      <c r="A141" s="434"/>
      <c r="B141" s="416" t="s">
        <v>377</v>
      </c>
      <c r="C141" s="456">
        <f>SUM(C132:C140)</f>
        <v>113342899</v>
      </c>
      <c r="D141" s="417">
        <f t="shared" ref="D141" si="112">SUM(D132:D140)</f>
        <v>113342899</v>
      </c>
      <c r="E141" s="417">
        <f t="shared" ref="E141" si="113">SUM(E132:E140)</f>
        <v>0</v>
      </c>
      <c r="F141" s="473">
        <f t="shared" ref="F141" si="114">SUM(F132:F140)</f>
        <v>0</v>
      </c>
      <c r="G141" s="417"/>
      <c r="H141" s="456">
        <f t="shared" ref="H141" si="115">SUM(H132:H140)</f>
        <v>58050294</v>
      </c>
      <c r="I141" s="417">
        <f t="shared" ref="I141" si="116">SUM(I132:I140)</f>
        <v>0</v>
      </c>
      <c r="J141" s="418">
        <f t="shared" ref="J141" si="117">SUM(J132:J140)</f>
        <v>0</v>
      </c>
      <c r="K141" s="419"/>
      <c r="L141" s="566">
        <f t="shared" si="66"/>
        <v>0.51216524821727027</v>
      </c>
      <c r="M141" s="566" t="e">
        <f t="shared" si="67"/>
        <v>#DIV/0!</v>
      </c>
      <c r="N141" s="567" t="e">
        <f t="shared" si="68"/>
        <v>#DIV/0!</v>
      </c>
      <c r="O141" s="419"/>
      <c r="P141" s="456">
        <f t="shared" ref="P141" si="118">SUM(P132:P140)</f>
        <v>0</v>
      </c>
      <c r="Q141" s="417">
        <f t="shared" ref="Q141" si="119">SUM(Q132:Q140)</f>
        <v>-113342899</v>
      </c>
      <c r="R141" s="417">
        <f t="shared" ref="R141" si="120">SUM(R132:R140)</f>
        <v>0</v>
      </c>
      <c r="S141" s="418">
        <f t="shared" ref="S141" si="121">SUM(S132:S140)</f>
        <v>-113342899</v>
      </c>
      <c r="T141" s="579">
        <f t="shared" si="100"/>
        <v>-1</v>
      </c>
    </row>
    <row r="142" spans="1:20" x14ac:dyDescent="0.2">
      <c r="A142" s="433"/>
      <c r="B142" s="75"/>
      <c r="C142" s="454"/>
      <c r="D142" s="75"/>
      <c r="E142" s="75"/>
      <c r="F142" s="465"/>
      <c r="G142" s="75"/>
      <c r="H142" s="454"/>
      <c r="I142" s="75"/>
      <c r="J142" s="489"/>
      <c r="K142" s="75"/>
      <c r="L142" s="562"/>
      <c r="M142" s="562"/>
      <c r="N142" s="563"/>
      <c r="O142" s="75"/>
      <c r="P142" s="454"/>
      <c r="Q142" s="75"/>
      <c r="R142" s="75"/>
      <c r="S142" s="75"/>
      <c r="T142" s="580"/>
    </row>
    <row r="143" spans="1:20" ht="13.5" thickBot="1" x14ac:dyDescent="0.25">
      <c r="A143" s="436"/>
      <c r="B143" s="437" t="s">
        <v>467</v>
      </c>
      <c r="C143" s="458">
        <f>+C141-C130</f>
        <v>0</v>
      </c>
      <c r="D143" s="438">
        <f>+D141-D130</f>
        <v>0</v>
      </c>
      <c r="E143" s="438">
        <f>+E141-E130</f>
        <v>0</v>
      </c>
      <c r="F143" s="475">
        <f>+F141-F130</f>
        <v>0</v>
      </c>
      <c r="G143" s="438"/>
      <c r="H143" s="458">
        <f>+H141-H130</f>
        <v>4922034</v>
      </c>
      <c r="I143" s="438">
        <f>+I141-I130</f>
        <v>0</v>
      </c>
      <c r="J143" s="440">
        <f>+J141-J130</f>
        <v>0</v>
      </c>
      <c r="K143" s="439"/>
      <c r="L143" s="568" t="e">
        <f t="shared" si="66"/>
        <v>#DIV/0!</v>
      </c>
      <c r="M143" s="568" t="e">
        <f t="shared" si="67"/>
        <v>#DIV/0!</v>
      </c>
      <c r="N143" s="569" t="e">
        <f t="shared" si="68"/>
        <v>#DIV/0!</v>
      </c>
      <c r="O143" s="439"/>
      <c r="P143" s="458">
        <f>+P141-P130</f>
        <v>0</v>
      </c>
      <c r="Q143" s="438">
        <f>+Q141-Q130</f>
        <v>0</v>
      </c>
      <c r="R143" s="438">
        <f>+R141-R130</f>
        <v>0</v>
      </c>
      <c r="S143" s="440">
        <f>+S141-S130</f>
        <v>0</v>
      </c>
      <c r="T143" s="581"/>
    </row>
    <row r="144" spans="1:20" x14ac:dyDescent="0.2">
      <c r="A144" s="58"/>
      <c r="B144" s="58"/>
      <c r="C144" s="454"/>
      <c r="D144" s="75"/>
      <c r="E144" s="75"/>
      <c r="F144" s="465"/>
      <c r="G144" s="75"/>
      <c r="H144" s="454"/>
      <c r="I144" s="75"/>
      <c r="J144" s="489"/>
      <c r="K144" s="75"/>
      <c r="L144" s="562"/>
      <c r="M144" s="562"/>
      <c r="N144" s="563"/>
      <c r="O144" s="75"/>
      <c r="P144" s="454"/>
      <c r="Q144" s="75"/>
      <c r="R144" s="75"/>
      <c r="S144" s="75"/>
      <c r="T144" s="580"/>
    </row>
    <row r="145" spans="1:20" ht="13.5" thickBot="1" x14ac:dyDescent="0.25">
      <c r="A145" s="58"/>
      <c r="B145" s="58"/>
      <c r="C145" s="454"/>
      <c r="D145" s="75"/>
      <c r="E145" s="75"/>
      <c r="F145" s="465"/>
      <c r="G145" s="75"/>
      <c r="H145" s="454"/>
      <c r="I145" s="75"/>
      <c r="J145" s="489"/>
      <c r="K145" s="75"/>
      <c r="L145" s="562"/>
      <c r="M145" s="562"/>
      <c r="N145" s="563"/>
      <c r="O145" s="75"/>
      <c r="P145" s="454"/>
      <c r="Q145" s="75"/>
      <c r="R145" s="75"/>
      <c r="S145" s="75"/>
      <c r="T145" s="580"/>
    </row>
    <row r="146" spans="1:20" ht="18.75" thickBot="1" x14ac:dyDescent="0.3">
      <c r="A146" s="443" t="s">
        <v>463</v>
      </c>
      <c r="B146" s="480"/>
      <c r="C146" s="454"/>
      <c r="D146" s="75"/>
      <c r="E146" s="75"/>
      <c r="F146" s="465"/>
      <c r="G146" s="75"/>
      <c r="H146" s="454"/>
      <c r="I146" s="75"/>
      <c r="J146" s="489"/>
      <c r="K146" s="75"/>
      <c r="L146" s="562"/>
      <c r="M146" s="562"/>
      <c r="N146" s="563"/>
      <c r="O146" s="75"/>
      <c r="P146" s="454"/>
      <c r="Q146" s="75"/>
      <c r="R146" s="75"/>
      <c r="S146" s="75"/>
      <c r="T146" s="580"/>
    </row>
    <row r="147" spans="1:20" x14ac:dyDescent="0.2">
      <c r="A147" s="481"/>
      <c r="B147" s="444"/>
      <c r="C147" s="455"/>
      <c r="D147" s="446"/>
      <c r="E147" s="446"/>
      <c r="F147" s="445"/>
      <c r="G147" s="446"/>
      <c r="H147" s="455"/>
      <c r="I147" s="446"/>
      <c r="J147" s="491"/>
      <c r="K147" s="446"/>
      <c r="L147" s="570"/>
      <c r="M147" s="570"/>
      <c r="N147" s="571"/>
      <c r="O147" s="446"/>
      <c r="P147" s="455"/>
      <c r="Q147" s="446"/>
      <c r="R147" s="446"/>
      <c r="S147" s="446"/>
      <c r="T147" s="582"/>
    </row>
    <row r="148" spans="1:20" x14ac:dyDescent="0.2">
      <c r="A148" s="482" t="s">
        <v>0</v>
      </c>
      <c r="B148" s="58" t="str">
        <f t="shared" ref="B148:B156" si="122">+B121</f>
        <v>Személyi juttatások</v>
      </c>
      <c r="C148" s="454">
        <f>+'8. WAMKK'!C13</f>
        <v>14060000</v>
      </c>
      <c r="D148" s="75">
        <f>+'8. WAMKK'!D13</f>
        <v>14060000</v>
      </c>
      <c r="E148" s="75">
        <f>+'8. WAMKK'!E13</f>
        <v>0</v>
      </c>
      <c r="F148" s="465">
        <f>+'8. WAMKK'!F13</f>
        <v>0</v>
      </c>
      <c r="G148" s="75"/>
      <c r="H148" s="454">
        <f>+'8. WAMKK'!H13</f>
        <v>6508406</v>
      </c>
      <c r="I148" s="75">
        <f>+'8. WAMKK'!I13</f>
        <v>0</v>
      </c>
      <c r="J148" s="489">
        <f>+'8. WAMKK'!J13</f>
        <v>0</v>
      </c>
      <c r="K148" s="75"/>
      <c r="L148" s="562">
        <f t="shared" si="66"/>
        <v>0.46290227596017069</v>
      </c>
      <c r="M148" s="562" t="e">
        <f t="shared" si="67"/>
        <v>#DIV/0!</v>
      </c>
      <c r="N148" s="563" t="e">
        <f t="shared" si="68"/>
        <v>#DIV/0!</v>
      </c>
      <c r="O148" s="75"/>
      <c r="P148" s="454">
        <f>+'8. WAMKK'!P13</f>
        <v>0</v>
      </c>
      <c r="Q148" s="75">
        <f>+'8. WAMKK'!Q13</f>
        <v>-14060000</v>
      </c>
      <c r="R148" s="75">
        <f>+'8. WAMKK'!R13</f>
        <v>0</v>
      </c>
      <c r="S148" s="75">
        <f>+'8. WAMKK'!S13</f>
        <v>-14060000</v>
      </c>
      <c r="T148" s="578">
        <f>IF(S148=0,0,S148/C148)</f>
        <v>-1</v>
      </c>
    </row>
    <row r="149" spans="1:20" x14ac:dyDescent="0.2">
      <c r="A149" s="482" t="s">
        <v>26</v>
      </c>
      <c r="B149" s="58" t="str">
        <f t="shared" si="122"/>
        <v>Munkaadót terhelő járulékok és szociális hozzájárulás</v>
      </c>
      <c r="C149" s="454">
        <f>+'8. WAMKK'!C29</f>
        <v>3122000</v>
      </c>
      <c r="D149" s="75">
        <f>+'8. WAMKK'!D29</f>
        <v>3122000</v>
      </c>
      <c r="E149" s="75">
        <f>+'8. WAMKK'!E29</f>
        <v>0</v>
      </c>
      <c r="F149" s="465">
        <f>+'8. WAMKK'!F29</f>
        <v>0</v>
      </c>
      <c r="G149" s="75"/>
      <c r="H149" s="454">
        <f>+'8. WAMKK'!H29</f>
        <v>1584849</v>
      </c>
      <c r="I149" s="75">
        <f>+'8. WAMKK'!I29</f>
        <v>0</v>
      </c>
      <c r="J149" s="489">
        <f>+'8. WAMKK'!J29</f>
        <v>0</v>
      </c>
      <c r="K149" s="75"/>
      <c r="L149" s="562">
        <f t="shared" si="66"/>
        <v>0.50763901345291484</v>
      </c>
      <c r="M149" s="562" t="e">
        <f t="shared" si="67"/>
        <v>#DIV/0!</v>
      </c>
      <c r="N149" s="563" t="e">
        <f t="shared" si="68"/>
        <v>#DIV/0!</v>
      </c>
      <c r="O149" s="75"/>
      <c r="P149" s="454">
        <f>+'8. WAMKK'!P29</f>
        <v>0</v>
      </c>
      <c r="Q149" s="75">
        <f>+'8. WAMKK'!Q29</f>
        <v>-3122000</v>
      </c>
      <c r="R149" s="75">
        <f>+'8. WAMKK'!R29</f>
        <v>0</v>
      </c>
      <c r="S149" s="75">
        <f>+'8. WAMKK'!S29</f>
        <v>-3122000</v>
      </c>
      <c r="T149" s="578">
        <f t="shared" ref="T149:T168" si="123">IF(S149=0,0,S149/C149)</f>
        <v>-1</v>
      </c>
    </row>
    <row r="150" spans="1:20" x14ac:dyDescent="0.2">
      <c r="A150" s="482" t="s">
        <v>29</v>
      </c>
      <c r="B150" s="58" t="str">
        <f t="shared" si="122"/>
        <v>Dologi kiadások</v>
      </c>
      <c r="C150" s="454">
        <f>+'8. WAMKK'!C32</f>
        <v>13613000</v>
      </c>
      <c r="D150" s="75">
        <f>+'8. WAMKK'!D32</f>
        <v>15199000</v>
      </c>
      <c r="E150" s="75">
        <f>+'8. WAMKK'!E32</f>
        <v>0</v>
      </c>
      <c r="F150" s="465">
        <f>+'8. WAMKK'!F32</f>
        <v>0</v>
      </c>
      <c r="G150" s="75"/>
      <c r="H150" s="454">
        <f>+'8. WAMKK'!H32</f>
        <v>6129626</v>
      </c>
      <c r="I150" s="75">
        <f>+'8. WAMKK'!I32</f>
        <v>0</v>
      </c>
      <c r="J150" s="489">
        <f>+'8. WAMKK'!J32</f>
        <v>0</v>
      </c>
      <c r="K150" s="75"/>
      <c r="L150" s="562">
        <f t="shared" si="66"/>
        <v>0.40329140075004932</v>
      </c>
      <c r="M150" s="562" t="e">
        <f t="shared" si="67"/>
        <v>#DIV/0!</v>
      </c>
      <c r="N150" s="563" t="e">
        <f t="shared" si="68"/>
        <v>#DIV/0!</v>
      </c>
      <c r="O150" s="75"/>
      <c r="P150" s="454">
        <f>+'8. WAMKK'!P32</f>
        <v>1586000</v>
      </c>
      <c r="Q150" s="75">
        <f>+'8. WAMKK'!Q32</f>
        <v>-15199000</v>
      </c>
      <c r="R150" s="75">
        <f>+'8. WAMKK'!R32</f>
        <v>0</v>
      </c>
      <c r="S150" s="75">
        <f>+'8. WAMKK'!S32</f>
        <v>-13613000</v>
      </c>
      <c r="T150" s="578">
        <f t="shared" si="123"/>
        <v>-1</v>
      </c>
    </row>
    <row r="151" spans="1:20" x14ac:dyDescent="0.2">
      <c r="A151" s="482" t="s">
        <v>111</v>
      </c>
      <c r="B151" s="58" t="str">
        <f t="shared" si="122"/>
        <v>Elláttotak pénzpeli juttatásai</v>
      </c>
      <c r="C151" s="454"/>
      <c r="D151" s="75"/>
      <c r="E151" s="75"/>
      <c r="F151" s="465"/>
      <c r="G151" s="75"/>
      <c r="H151" s="454"/>
      <c r="I151" s="75"/>
      <c r="J151" s="489"/>
      <c r="K151" s="75"/>
      <c r="L151" s="562" t="e">
        <f t="shared" si="66"/>
        <v>#DIV/0!</v>
      </c>
      <c r="M151" s="562" t="e">
        <f t="shared" si="67"/>
        <v>#DIV/0!</v>
      </c>
      <c r="N151" s="563" t="e">
        <f t="shared" si="68"/>
        <v>#DIV/0!</v>
      </c>
      <c r="O151" s="75"/>
      <c r="P151" s="454"/>
      <c r="Q151" s="75"/>
      <c r="R151" s="75"/>
      <c r="S151" s="75"/>
      <c r="T151" s="578">
        <f t="shared" si="123"/>
        <v>0</v>
      </c>
    </row>
    <row r="152" spans="1:20" x14ac:dyDescent="0.2">
      <c r="A152" s="483" t="s">
        <v>376</v>
      </c>
      <c r="B152" s="58" t="str">
        <f t="shared" si="122"/>
        <v>Egyéb működési célú kiadások</v>
      </c>
      <c r="C152" s="454"/>
      <c r="D152" s="75"/>
      <c r="E152" s="75"/>
      <c r="F152" s="465"/>
      <c r="G152" s="75"/>
      <c r="H152" s="454"/>
      <c r="I152" s="75"/>
      <c r="J152" s="489"/>
      <c r="K152" s="75"/>
      <c r="L152" s="562" t="e">
        <f t="shared" ref="L152:L197" si="124">H152/D152</f>
        <v>#DIV/0!</v>
      </c>
      <c r="M152" s="562" t="e">
        <f t="shared" ref="M152:M197" si="125">I152/E152</f>
        <v>#DIV/0!</v>
      </c>
      <c r="N152" s="563" t="e">
        <f t="shared" ref="N152:N197" si="126">J152/F152</f>
        <v>#DIV/0!</v>
      </c>
      <c r="O152" s="75"/>
      <c r="P152" s="454"/>
      <c r="Q152" s="75"/>
      <c r="R152" s="75"/>
      <c r="S152" s="75"/>
      <c r="T152" s="578">
        <f t="shared" si="123"/>
        <v>0</v>
      </c>
    </row>
    <row r="153" spans="1:20" x14ac:dyDescent="0.2">
      <c r="A153" s="482" t="s">
        <v>158</v>
      </c>
      <c r="B153" s="58" t="str">
        <f t="shared" si="122"/>
        <v>Beruházások</v>
      </c>
      <c r="C153" s="454">
        <f>+'8. WAMKK'!C83</f>
        <v>350000</v>
      </c>
      <c r="D153" s="75">
        <f>+'8. WAMKK'!D83</f>
        <v>364000</v>
      </c>
      <c r="E153" s="75">
        <f>+'8. WAMKK'!E83</f>
        <v>0</v>
      </c>
      <c r="F153" s="465">
        <f>+'8. WAMKK'!F83</f>
        <v>0</v>
      </c>
      <c r="G153" s="75"/>
      <c r="H153" s="454">
        <f>+'8. WAMKK'!H83</f>
        <v>362960</v>
      </c>
      <c r="I153" s="75">
        <f>+'8. WAMKK'!I83</f>
        <v>0</v>
      </c>
      <c r="J153" s="489">
        <f>+'8. WAMKK'!J83</f>
        <v>0</v>
      </c>
      <c r="K153" s="75"/>
      <c r="L153" s="562">
        <f t="shared" si="124"/>
        <v>0.99714285714285711</v>
      </c>
      <c r="M153" s="562" t="e">
        <f t="shared" si="125"/>
        <v>#DIV/0!</v>
      </c>
      <c r="N153" s="563" t="e">
        <f t="shared" si="126"/>
        <v>#DIV/0!</v>
      </c>
      <c r="O153" s="75"/>
      <c r="P153" s="454">
        <f>+'8. WAMKK'!P83</f>
        <v>14000</v>
      </c>
      <c r="Q153" s="75">
        <f>+'8. WAMKK'!Q83</f>
        <v>-364000</v>
      </c>
      <c r="R153" s="75">
        <f>+'8. WAMKK'!R83</f>
        <v>0</v>
      </c>
      <c r="S153" s="75">
        <f>+'8. WAMKK'!S83</f>
        <v>-350000</v>
      </c>
      <c r="T153" s="578">
        <f t="shared" si="123"/>
        <v>-1</v>
      </c>
    </row>
    <row r="154" spans="1:20" x14ac:dyDescent="0.2">
      <c r="A154" s="482" t="s">
        <v>173</v>
      </c>
      <c r="B154" s="58" t="str">
        <f t="shared" si="122"/>
        <v>Felújítások</v>
      </c>
      <c r="C154" s="454">
        <f>+'8. WAMKK'!C86</f>
        <v>0</v>
      </c>
      <c r="D154" s="75">
        <f>+'8. WAMKK'!D86</f>
        <v>0</v>
      </c>
      <c r="E154" s="75">
        <f>+'8. WAMKK'!E86</f>
        <v>0</v>
      </c>
      <c r="F154" s="465">
        <f>+'8. WAMKK'!F86</f>
        <v>0</v>
      </c>
      <c r="G154" s="75"/>
      <c r="H154" s="454">
        <f>+'8. WAMKK'!H86</f>
        <v>0</v>
      </c>
      <c r="I154" s="75">
        <f>+'8. WAMKK'!I86</f>
        <v>0</v>
      </c>
      <c r="J154" s="489">
        <f>+'8. WAMKK'!J86</f>
        <v>0</v>
      </c>
      <c r="K154" s="75"/>
      <c r="L154" s="562" t="e">
        <f t="shared" si="124"/>
        <v>#DIV/0!</v>
      </c>
      <c r="M154" s="562" t="e">
        <f t="shared" si="125"/>
        <v>#DIV/0!</v>
      </c>
      <c r="N154" s="563" t="e">
        <f t="shared" si="126"/>
        <v>#DIV/0!</v>
      </c>
      <c r="O154" s="75"/>
      <c r="P154" s="454">
        <f>+'8. WAMKK'!P86</f>
        <v>0</v>
      </c>
      <c r="Q154" s="75">
        <f>+'8. WAMKK'!Q86</f>
        <v>0</v>
      </c>
      <c r="R154" s="75">
        <f>+'8. WAMKK'!R86</f>
        <v>0</v>
      </c>
      <c r="S154" s="75">
        <f>+'8. WAMKK'!S86</f>
        <v>0</v>
      </c>
      <c r="T154" s="578">
        <f t="shared" si="123"/>
        <v>0</v>
      </c>
    </row>
    <row r="155" spans="1:20" x14ac:dyDescent="0.2">
      <c r="A155" s="482" t="s">
        <v>183</v>
      </c>
      <c r="B155" s="58" t="str">
        <f t="shared" si="122"/>
        <v>Szolgáltatások kiadásai</v>
      </c>
      <c r="C155" s="454"/>
      <c r="D155" s="75"/>
      <c r="E155" s="75"/>
      <c r="F155" s="465"/>
      <c r="G155" s="75"/>
      <c r="H155" s="454"/>
      <c r="I155" s="75"/>
      <c r="J155" s="489"/>
      <c r="K155" s="75"/>
      <c r="L155" s="562" t="e">
        <f t="shared" si="124"/>
        <v>#DIV/0!</v>
      </c>
      <c r="M155" s="562" t="e">
        <f t="shared" si="125"/>
        <v>#DIV/0!</v>
      </c>
      <c r="N155" s="563" t="e">
        <f t="shared" si="126"/>
        <v>#DIV/0!</v>
      </c>
      <c r="O155" s="75"/>
      <c r="P155" s="454"/>
      <c r="Q155" s="75"/>
      <c r="R155" s="75"/>
      <c r="S155" s="75"/>
      <c r="T155" s="578">
        <f t="shared" si="123"/>
        <v>0</v>
      </c>
    </row>
    <row r="156" spans="1:20" x14ac:dyDescent="0.2">
      <c r="A156" s="482" t="s">
        <v>201</v>
      </c>
      <c r="B156" s="58" t="str">
        <f t="shared" si="122"/>
        <v>Finanszírozási kiadások</v>
      </c>
      <c r="C156" s="454"/>
      <c r="D156" s="75"/>
      <c r="E156" s="75"/>
      <c r="F156" s="465"/>
      <c r="G156" s="75"/>
      <c r="H156" s="454"/>
      <c r="I156" s="75"/>
      <c r="J156" s="489"/>
      <c r="K156" s="75"/>
      <c r="L156" s="562" t="e">
        <f t="shared" si="124"/>
        <v>#DIV/0!</v>
      </c>
      <c r="M156" s="562" t="e">
        <f t="shared" si="125"/>
        <v>#DIV/0!</v>
      </c>
      <c r="N156" s="563" t="e">
        <f t="shared" si="126"/>
        <v>#DIV/0!</v>
      </c>
      <c r="O156" s="75"/>
      <c r="P156" s="454"/>
      <c r="Q156" s="75"/>
      <c r="R156" s="75"/>
      <c r="S156" s="75"/>
      <c r="T156" s="578">
        <f t="shared" si="123"/>
        <v>0</v>
      </c>
    </row>
    <row r="157" spans="1:20" x14ac:dyDescent="0.2">
      <c r="A157" s="484"/>
      <c r="B157" s="420" t="s">
        <v>378</v>
      </c>
      <c r="C157" s="459">
        <f>SUM(C148:C156)</f>
        <v>31145000</v>
      </c>
      <c r="D157" s="421">
        <f t="shared" ref="D157" si="127">SUM(D148:D156)</f>
        <v>32745000</v>
      </c>
      <c r="E157" s="421">
        <f t="shared" ref="E157" si="128">SUM(E148:E156)</f>
        <v>0</v>
      </c>
      <c r="F157" s="478">
        <f t="shared" ref="F157" si="129">SUM(F148:F156)</f>
        <v>0</v>
      </c>
      <c r="G157" s="421"/>
      <c r="H157" s="459">
        <f t="shared" ref="H157" si="130">SUM(H148:H156)</f>
        <v>14585841</v>
      </c>
      <c r="I157" s="421">
        <f t="shared" ref="I157" si="131">SUM(I148:I156)</f>
        <v>0</v>
      </c>
      <c r="J157" s="423">
        <f t="shared" ref="J157" si="132">SUM(J148:J156)</f>
        <v>0</v>
      </c>
      <c r="K157" s="424"/>
      <c r="L157" s="572">
        <f t="shared" si="124"/>
        <v>0.44543719651855246</v>
      </c>
      <c r="M157" s="572" t="e">
        <f t="shared" si="125"/>
        <v>#DIV/0!</v>
      </c>
      <c r="N157" s="573" t="e">
        <f t="shared" si="126"/>
        <v>#DIV/0!</v>
      </c>
      <c r="O157" s="424"/>
      <c r="P157" s="459">
        <f t="shared" ref="P157" si="133">SUM(P148:P156)</f>
        <v>1600000</v>
      </c>
      <c r="Q157" s="421">
        <f t="shared" ref="Q157" si="134">SUM(Q148:Q156)</f>
        <v>-32745000</v>
      </c>
      <c r="R157" s="421">
        <f t="shared" ref="R157" si="135">SUM(R148:R156)</f>
        <v>0</v>
      </c>
      <c r="S157" s="423">
        <f t="shared" ref="S157" si="136">SUM(S148:S156)</f>
        <v>-31145000</v>
      </c>
      <c r="T157" s="579">
        <f t="shared" si="123"/>
        <v>-1</v>
      </c>
    </row>
    <row r="158" spans="1:20" x14ac:dyDescent="0.2">
      <c r="A158" s="433"/>
      <c r="C158" s="433"/>
      <c r="F158" s="476"/>
      <c r="H158" s="433"/>
      <c r="J158" s="487"/>
      <c r="L158" s="562"/>
      <c r="M158" s="562"/>
      <c r="N158" s="563"/>
      <c r="P158" s="433"/>
      <c r="T158" s="578"/>
    </row>
    <row r="159" spans="1:20" x14ac:dyDescent="0.2">
      <c r="A159" s="430" t="str">
        <f t="shared" ref="A159:B165" si="137">+A132</f>
        <v>B1</v>
      </c>
      <c r="B159" s="58" t="str">
        <f t="shared" si="137"/>
        <v>Működési célú tám-ok államháztartáson belülről</v>
      </c>
      <c r="C159" s="454">
        <f>+'8. WAMKK'!C93</f>
        <v>0</v>
      </c>
      <c r="D159" s="75">
        <f>+'8. WAMKK'!D93</f>
        <v>0</v>
      </c>
      <c r="E159" s="75">
        <f>+'8. WAMKK'!E93</f>
        <v>0</v>
      </c>
      <c r="F159" s="465">
        <f>+'8. WAMKK'!F93</f>
        <v>0</v>
      </c>
      <c r="G159" s="75"/>
      <c r="H159" s="454">
        <f>+'8. WAMKK'!H93</f>
        <v>0</v>
      </c>
      <c r="I159" s="75">
        <f>+'8. WAMKK'!I93</f>
        <v>0</v>
      </c>
      <c r="J159" s="489">
        <f>+'8. WAMKK'!J93</f>
        <v>0</v>
      </c>
      <c r="K159" s="75"/>
      <c r="L159" s="562" t="e">
        <f t="shared" si="124"/>
        <v>#DIV/0!</v>
      </c>
      <c r="M159" s="562" t="e">
        <f t="shared" si="125"/>
        <v>#DIV/0!</v>
      </c>
      <c r="N159" s="563" t="e">
        <f t="shared" si="126"/>
        <v>#DIV/0!</v>
      </c>
      <c r="O159" s="75"/>
      <c r="P159" s="454">
        <f>+'8. WAMKK'!P93</f>
        <v>0</v>
      </c>
      <c r="Q159" s="75">
        <f>+'8. WAMKK'!Q93</f>
        <v>0</v>
      </c>
      <c r="R159" s="75">
        <f>+'8. WAMKK'!R93</f>
        <v>0</v>
      </c>
      <c r="S159" s="75">
        <f>+'8. WAMKK'!S93</f>
        <v>0</v>
      </c>
      <c r="T159" s="578">
        <f t="shared" si="123"/>
        <v>0</v>
      </c>
    </row>
    <row r="160" spans="1:20" x14ac:dyDescent="0.2">
      <c r="A160" s="430" t="str">
        <f t="shared" si="137"/>
        <v>B2</v>
      </c>
      <c r="B160" s="58" t="str">
        <f t="shared" si="137"/>
        <v>Felhalmozási célú tám-ok államházt-on belülről</v>
      </c>
      <c r="C160" s="454"/>
      <c r="D160" s="75"/>
      <c r="E160" s="75"/>
      <c r="F160" s="465"/>
      <c r="G160" s="75"/>
      <c r="H160" s="454"/>
      <c r="I160" s="75"/>
      <c r="J160" s="489"/>
      <c r="K160" s="75"/>
      <c r="L160" s="562" t="e">
        <f t="shared" si="124"/>
        <v>#DIV/0!</v>
      </c>
      <c r="M160" s="562" t="e">
        <f t="shared" si="125"/>
        <v>#DIV/0!</v>
      </c>
      <c r="N160" s="563" t="e">
        <f t="shared" si="126"/>
        <v>#DIV/0!</v>
      </c>
      <c r="O160" s="75"/>
      <c r="P160" s="454"/>
      <c r="Q160" s="75"/>
      <c r="R160" s="75"/>
      <c r="S160" s="75"/>
      <c r="T160" s="578">
        <f t="shared" si="123"/>
        <v>0</v>
      </c>
    </row>
    <row r="161" spans="1:20" x14ac:dyDescent="0.2">
      <c r="A161" s="430" t="str">
        <f t="shared" si="137"/>
        <v>B3</v>
      </c>
      <c r="B161" s="58" t="str">
        <f t="shared" si="137"/>
        <v>Közhatalmi bevételek</v>
      </c>
      <c r="C161" s="454"/>
      <c r="D161" s="75"/>
      <c r="E161" s="75"/>
      <c r="F161" s="465"/>
      <c r="G161" s="75"/>
      <c r="H161" s="454"/>
      <c r="I161" s="75"/>
      <c r="J161" s="489"/>
      <c r="K161" s="75"/>
      <c r="L161" s="562" t="e">
        <f t="shared" si="124"/>
        <v>#DIV/0!</v>
      </c>
      <c r="M161" s="562" t="e">
        <f t="shared" si="125"/>
        <v>#DIV/0!</v>
      </c>
      <c r="N161" s="563" t="e">
        <f t="shared" si="126"/>
        <v>#DIV/0!</v>
      </c>
      <c r="O161" s="75"/>
      <c r="P161" s="454"/>
      <c r="Q161" s="75"/>
      <c r="R161" s="75"/>
      <c r="S161" s="75"/>
      <c r="T161" s="578">
        <f t="shared" si="123"/>
        <v>0</v>
      </c>
    </row>
    <row r="162" spans="1:20" x14ac:dyDescent="0.2">
      <c r="A162" s="430" t="str">
        <f t="shared" si="137"/>
        <v>B4</v>
      </c>
      <c r="B162" s="58" t="str">
        <f t="shared" si="137"/>
        <v>Működési bevételek</v>
      </c>
      <c r="C162" s="454">
        <f>+'8. WAMKK'!C95</f>
        <v>1521000</v>
      </c>
      <c r="D162" s="75">
        <f>+'8. WAMKK'!D95</f>
        <v>1521000</v>
      </c>
      <c r="E162" s="75">
        <f>+'8. WAMKK'!E95</f>
        <v>0</v>
      </c>
      <c r="F162" s="465">
        <f>+'8. WAMKK'!F95</f>
        <v>0</v>
      </c>
      <c r="G162" s="75"/>
      <c r="H162" s="454">
        <f>+'8. WAMKK'!H95</f>
        <v>749529</v>
      </c>
      <c r="I162" s="75">
        <f>+'8. WAMKK'!I95</f>
        <v>0</v>
      </c>
      <c r="J162" s="489">
        <f>+'8. WAMKK'!J95</f>
        <v>0</v>
      </c>
      <c r="K162" s="75"/>
      <c r="L162" s="562">
        <f t="shared" si="124"/>
        <v>0.49278698224852069</v>
      </c>
      <c r="M162" s="562" t="e">
        <f t="shared" si="125"/>
        <v>#DIV/0!</v>
      </c>
      <c r="N162" s="563" t="e">
        <f t="shared" si="126"/>
        <v>#DIV/0!</v>
      </c>
      <c r="O162" s="75"/>
      <c r="P162" s="454">
        <f>+'8. WAMKK'!P95</f>
        <v>0</v>
      </c>
      <c r="Q162" s="75">
        <f>+'8. WAMKK'!Q95</f>
        <v>-1521000</v>
      </c>
      <c r="R162" s="75">
        <f>+'8. WAMKK'!R95</f>
        <v>0</v>
      </c>
      <c r="S162" s="75">
        <f>+'8. WAMKK'!S95</f>
        <v>-1521000</v>
      </c>
      <c r="T162" s="578">
        <f t="shared" si="123"/>
        <v>-1</v>
      </c>
    </row>
    <row r="163" spans="1:20" x14ac:dyDescent="0.2">
      <c r="A163" s="430" t="str">
        <f t="shared" si="137"/>
        <v>B5</v>
      </c>
      <c r="B163" s="58" t="str">
        <f t="shared" si="137"/>
        <v>Felhalmozási bevételek</v>
      </c>
      <c r="C163" s="454"/>
      <c r="D163" s="75"/>
      <c r="E163" s="75"/>
      <c r="F163" s="465"/>
      <c r="G163" s="75"/>
      <c r="H163" s="454"/>
      <c r="I163" s="75"/>
      <c r="J163" s="489"/>
      <c r="K163" s="75"/>
      <c r="L163" s="562" t="e">
        <f t="shared" si="124"/>
        <v>#DIV/0!</v>
      </c>
      <c r="M163" s="562" t="e">
        <f t="shared" si="125"/>
        <v>#DIV/0!</v>
      </c>
      <c r="N163" s="563" t="e">
        <f t="shared" si="126"/>
        <v>#DIV/0!</v>
      </c>
      <c r="O163" s="75"/>
      <c r="P163" s="454"/>
      <c r="Q163" s="75"/>
      <c r="R163" s="75"/>
      <c r="S163" s="75"/>
      <c r="T163" s="578">
        <f t="shared" si="123"/>
        <v>0</v>
      </c>
    </row>
    <row r="164" spans="1:20" x14ac:dyDescent="0.2">
      <c r="A164" s="430" t="str">
        <f t="shared" si="137"/>
        <v>B6</v>
      </c>
      <c r="B164" s="58" t="str">
        <f t="shared" si="137"/>
        <v>Működési célú átvett pénzeszközök</v>
      </c>
      <c r="C164" s="454"/>
      <c r="D164" s="75"/>
      <c r="E164" s="75"/>
      <c r="F164" s="465"/>
      <c r="G164" s="75"/>
      <c r="H164" s="454"/>
      <c r="I164" s="75"/>
      <c r="J164" s="489"/>
      <c r="K164" s="75"/>
      <c r="L164" s="562" t="e">
        <f t="shared" si="124"/>
        <v>#DIV/0!</v>
      </c>
      <c r="M164" s="562" t="e">
        <f t="shared" si="125"/>
        <v>#DIV/0!</v>
      </c>
      <c r="N164" s="563" t="e">
        <f t="shared" si="126"/>
        <v>#DIV/0!</v>
      </c>
      <c r="O164" s="75"/>
      <c r="P164" s="454"/>
      <c r="Q164" s="75"/>
      <c r="R164" s="75"/>
      <c r="S164" s="75"/>
      <c r="T164" s="578">
        <f t="shared" si="123"/>
        <v>0</v>
      </c>
    </row>
    <row r="165" spans="1:20" x14ac:dyDescent="0.2">
      <c r="A165" s="430" t="str">
        <f t="shared" si="137"/>
        <v>B7</v>
      </c>
      <c r="B165" s="58" t="str">
        <f t="shared" si="137"/>
        <v>Felhalmozási célú átvett pénzeszközök</v>
      </c>
      <c r="C165" s="454"/>
      <c r="D165" s="75"/>
      <c r="E165" s="75"/>
      <c r="F165" s="465"/>
      <c r="G165" s="75"/>
      <c r="H165" s="454"/>
      <c r="I165" s="75"/>
      <c r="J165" s="489"/>
      <c r="K165" s="75"/>
      <c r="L165" s="562" t="e">
        <f t="shared" si="124"/>
        <v>#DIV/0!</v>
      </c>
      <c r="M165" s="562" t="e">
        <f t="shared" si="125"/>
        <v>#DIV/0!</v>
      </c>
      <c r="N165" s="563" t="e">
        <f t="shared" si="126"/>
        <v>#DIV/0!</v>
      </c>
      <c r="O165" s="75"/>
      <c r="P165" s="454"/>
      <c r="Q165" s="75"/>
      <c r="R165" s="75"/>
      <c r="S165" s="75"/>
      <c r="T165" s="578">
        <f t="shared" si="123"/>
        <v>0</v>
      </c>
    </row>
    <row r="166" spans="1:20" x14ac:dyDescent="0.2">
      <c r="A166" s="430" t="str">
        <f>+A139</f>
        <v>B8-ból maradványértéken túli finanszírozási bevételek</v>
      </c>
      <c r="B166" s="58"/>
      <c r="C166" s="454">
        <f>+'8. WAMKK'!C99-C167</f>
        <v>29366179</v>
      </c>
      <c r="D166" s="75">
        <f>+'8. WAMKK'!D99-D167</f>
        <v>30966179</v>
      </c>
      <c r="E166" s="75">
        <f>+'8. WAMKK'!E99-E167</f>
        <v>0</v>
      </c>
      <c r="F166" s="465">
        <f>+'8. WAMKK'!F99-F167</f>
        <v>0</v>
      </c>
      <c r="G166" s="75"/>
      <c r="H166" s="454">
        <f>+'8. WAMKK'!H99-H167</f>
        <v>16263376</v>
      </c>
      <c r="I166" s="75">
        <f>+'8. WAMKK'!I99-I167</f>
        <v>0</v>
      </c>
      <c r="J166" s="489">
        <f>+'8. WAMKK'!J99-J167</f>
        <v>0</v>
      </c>
      <c r="K166" s="75"/>
      <c r="L166" s="562">
        <f t="shared" si="124"/>
        <v>0.52519802330148646</v>
      </c>
      <c r="M166" s="562" t="e">
        <f t="shared" si="125"/>
        <v>#DIV/0!</v>
      </c>
      <c r="N166" s="563" t="e">
        <f t="shared" si="126"/>
        <v>#DIV/0!</v>
      </c>
      <c r="O166" s="75"/>
      <c r="P166" s="454">
        <f>+'8. WAMKK'!P99-P167</f>
        <v>1600000</v>
      </c>
      <c r="Q166" s="75">
        <f>+'8. WAMKK'!Q99-Q167</f>
        <v>-30966179</v>
      </c>
      <c r="R166" s="75">
        <f>+'8. WAMKK'!R99-R167</f>
        <v>0</v>
      </c>
      <c r="S166" s="75">
        <f>+'8. WAMKK'!S99-S167</f>
        <v>-29366179</v>
      </c>
      <c r="T166" s="578">
        <f t="shared" si="123"/>
        <v>-1</v>
      </c>
    </row>
    <row r="167" spans="1:20" x14ac:dyDescent="0.2">
      <c r="A167" s="430" t="str">
        <f>+A140</f>
        <v>B8-ból előző évi mardvány igénybevétele</v>
      </c>
      <c r="B167" s="58"/>
      <c r="C167" s="454">
        <f>+'8. WAMKK'!C101</f>
        <v>257821</v>
      </c>
      <c r="D167" s="75">
        <f>+'8. WAMKK'!D101</f>
        <v>257821</v>
      </c>
      <c r="E167" s="75">
        <f>+'8. WAMKK'!E101</f>
        <v>0</v>
      </c>
      <c r="F167" s="465">
        <f>+'8. WAMKK'!F101</f>
        <v>0</v>
      </c>
      <c r="G167" s="75"/>
      <c r="H167" s="454">
        <f>+'8. WAMKK'!H101</f>
        <v>257821</v>
      </c>
      <c r="I167" s="75">
        <f>+'8. WAMKK'!I101</f>
        <v>0</v>
      </c>
      <c r="J167" s="489">
        <f>+'8. WAMKK'!J101</f>
        <v>0</v>
      </c>
      <c r="K167" s="75"/>
      <c r="L167" s="562">
        <f t="shared" si="124"/>
        <v>1</v>
      </c>
      <c r="M167" s="562" t="e">
        <f t="shared" si="125"/>
        <v>#DIV/0!</v>
      </c>
      <c r="N167" s="563" t="e">
        <f t="shared" si="126"/>
        <v>#DIV/0!</v>
      </c>
      <c r="O167" s="75"/>
      <c r="P167" s="454">
        <f>+'8. WAMKK'!P101</f>
        <v>0</v>
      </c>
      <c r="Q167" s="75">
        <f>+'8. WAMKK'!Q101</f>
        <v>-257821</v>
      </c>
      <c r="R167" s="75">
        <f>+'8. WAMKK'!R101</f>
        <v>0</v>
      </c>
      <c r="S167" s="75">
        <f>+'8. WAMKK'!S101</f>
        <v>-257821</v>
      </c>
      <c r="T167" s="578">
        <f t="shared" si="123"/>
        <v>-1</v>
      </c>
    </row>
    <row r="168" spans="1:20" x14ac:dyDescent="0.2">
      <c r="A168" s="485"/>
      <c r="B168" s="420" t="s">
        <v>377</v>
      </c>
      <c r="C168" s="459">
        <f>SUM(C159:C167)</f>
        <v>31145000</v>
      </c>
      <c r="D168" s="421">
        <f t="shared" ref="D168" si="138">SUM(D159:D167)</f>
        <v>32745000</v>
      </c>
      <c r="E168" s="421">
        <f t="shared" ref="E168" si="139">SUM(E159:E167)</f>
        <v>0</v>
      </c>
      <c r="F168" s="478">
        <f t="shared" ref="F168" si="140">SUM(F159:F167)</f>
        <v>0</v>
      </c>
      <c r="G168" s="421"/>
      <c r="H168" s="459">
        <f t="shared" ref="H168" si="141">SUM(H159:H167)</f>
        <v>17270726</v>
      </c>
      <c r="I168" s="421">
        <f t="shared" ref="I168" si="142">SUM(I159:I167)</f>
        <v>0</v>
      </c>
      <c r="J168" s="423">
        <f t="shared" ref="J168" si="143">SUM(J159:J167)</f>
        <v>0</v>
      </c>
      <c r="K168" s="422"/>
      <c r="L168" s="574">
        <f t="shared" si="124"/>
        <v>0.52743093602076652</v>
      </c>
      <c r="M168" s="574" t="e">
        <f t="shared" si="125"/>
        <v>#DIV/0!</v>
      </c>
      <c r="N168" s="575" t="e">
        <f t="shared" si="126"/>
        <v>#DIV/0!</v>
      </c>
      <c r="O168" s="422"/>
      <c r="P168" s="459">
        <f t="shared" ref="P168" si="144">SUM(P159:P167)</f>
        <v>1600000</v>
      </c>
      <c r="Q168" s="421">
        <f t="shared" ref="Q168" si="145">SUM(Q159:Q167)</f>
        <v>-32745000</v>
      </c>
      <c r="R168" s="421">
        <f t="shared" ref="R168" si="146">SUM(R159:R167)</f>
        <v>0</v>
      </c>
      <c r="S168" s="423">
        <f t="shared" ref="S168" si="147">SUM(S159:S167)</f>
        <v>-31145000</v>
      </c>
      <c r="T168" s="579">
        <f t="shared" si="123"/>
        <v>-1</v>
      </c>
    </row>
    <row r="169" spans="1:20" x14ac:dyDescent="0.2">
      <c r="A169" s="433"/>
      <c r="B169" s="75"/>
      <c r="C169" s="454"/>
      <c r="D169" s="75"/>
      <c r="E169" s="75"/>
      <c r="F169" s="465"/>
      <c r="G169" s="75"/>
      <c r="H169" s="454"/>
      <c r="I169" s="75"/>
      <c r="J169" s="489"/>
      <c r="K169" s="75"/>
      <c r="L169" s="562"/>
      <c r="M169" s="562"/>
      <c r="N169" s="563"/>
      <c r="O169" s="75"/>
      <c r="P169" s="454"/>
      <c r="Q169" s="75"/>
      <c r="R169" s="75"/>
      <c r="S169" s="75"/>
      <c r="T169" s="580"/>
    </row>
    <row r="170" spans="1:20" ht="13.5" thickBot="1" x14ac:dyDescent="0.25">
      <c r="A170" s="436"/>
      <c r="B170" s="437" t="s">
        <v>467</v>
      </c>
      <c r="C170" s="458">
        <f>+C168-C157</f>
        <v>0</v>
      </c>
      <c r="D170" s="438">
        <f>+D168-D157</f>
        <v>0</v>
      </c>
      <c r="E170" s="438">
        <f>+E168-E157</f>
        <v>0</v>
      </c>
      <c r="F170" s="475">
        <f>+F168-F157</f>
        <v>0</v>
      </c>
      <c r="G170" s="438"/>
      <c r="H170" s="458">
        <f>+H168-H157</f>
        <v>2684885</v>
      </c>
      <c r="I170" s="438">
        <f>+I168-I157</f>
        <v>0</v>
      </c>
      <c r="J170" s="440">
        <f>+J168-J157</f>
        <v>0</v>
      </c>
      <c r="K170" s="439"/>
      <c r="L170" s="568" t="e">
        <f t="shared" si="124"/>
        <v>#DIV/0!</v>
      </c>
      <c r="M170" s="568" t="e">
        <f t="shared" si="125"/>
        <v>#DIV/0!</v>
      </c>
      <c r="N170" s="569" t="e">
        <f t="shared" si="126"/>
        <v>#DIV/0!</v>
      </c>
      <c r="O170" s="439"/>
      <c r="P170" s="458">
        <f>+P168-P157</f>
        <v>0</v>
      </c>
      <c r="Q170" s="438">
        <f>+Q168-Q157</f>
        <v>0</v>
      </c>
      <c r="R170" s="438">
        <f>+R168-R157</f>
        <v>0</v>
      </c>
      <c r="S170" s="440">
        <f>+S168-S157</f>
        <v>0</v>
      </c>
      <c r="T170" s="581"/>
    </row>
    <row r="171" spans="1:20" x14ac:dyDescent="0.2">
      <c r="B171" s="75"/>
      <c r="C171" s="454"/>
      <c r="D171" s="75"/>
      <c r="E171" s="75"/>
      <c r="F171" s="465"/>
      <c r="G171" s="75"/>
      <c r="H171" s="454"/>
      <c r="I171" s="75"/>
      <c r="J171" s="489"/>
      <c r="K171" s="75"/>
      <c r="L171" s="562"/>
      <c r="M171" s="562"/>
      <c r="N171" s="563"/>
      <c r="O171" s="75"/>
      <c r="P171" s="454"/>
      <c r="Q171" s="75"/>
      <c r="R171" s="75"/>
      <c r="S171" s="75"/>
      <c r="T171" s="580"/>
    </row>
    <row r="172" spans="1:20" ht="13.5" thickBot="1" x14ac:dyDescent="0.25">
      <c r="B172" s="75"/>
      <c r="C172" s="454"/>
      <c r="D172" s="75"/>
      <c r="E172" s="75"/>
      <c r="F172" s="465"/>
      <c r="G172" s="75"/>
      <c r="H172" s="454"/>
      <c r="I172" s="75"/>
      <c r="J172" s="489"/>
      <c r="K172" s="75"/>
      <c r="L172" s="562"/>
      <c r="M172" s="562"/>
      <c r="N172" s="563"/>
      <c r="O172" s="75"/>
      <c r="P172" s="454"/>
      <c r="Q172" s="75"/>
      <c r="R172" s="75"/>
      <c r="S172" s="75"/>
      <c r="T172" s="580"/>
    </row>
    <row r="173" spans="1:20" ht="18.75" thickBot="1" x14ac:dyDescent="0.3">
      <c r="A173" s="443" t="s">
        <v>435</v>
      </c>
      <c r="B173" s="445"/>
      <c r="C173" s="454"/>
      <c r="D173" s="75"/>
      <c r="E173" s="75"/>
      <c r="F173" s="465"/>
      <c r="G173" s="75"/>
      <c r="H173" s="454"/>
      <c r="I173" s="75"/>
      <c r="J173" s="489"/>
      <c r="K173" s="75"/>
      <c r="L173" s="562"/>
      <c r="M173" s="562"/>
      <c r="N173" s="563"/>
      <c r="O173" s="75"/>
      <c r="P173" s="454"/>
      <c r="Q173" s="75"/>
      <c r="R173" s="75"/>
      <c r="S173" s="75"/>
      <c r="T173" s="580"/>
    </row>
    <row r="174" spans="1:20" x14ac:dyDescent="0.2">
      <c r="A174" s="455"/>
      <c r="B174" s="446"/>
      <c r="C174" s="455"/>
      <c r="D174" s="446"/>
      <c r="E174" s="446"/>
      <c r="F174" s="445"/>
      <c r="G174" s="446"/>
      <c r="H174" s="455"/>
      <c r="I174" s="446"/>
      <c r="J174" s="491"/>
      <c r="K174" s="446"/>
      <c r="L174" s="570"/>
      <c r="M174" s="570"/>
      <c r="N174" s="571"/>
      <c r="O174" s="446"/>
      <c r="P174" s="455"/>
      <c r="Q174" s="446"/>
      <c r="R174" s="446"/>
      <c r="S174" s="446"/>
      <c r="T174" s="582"/>
    </row>
    <row r="175" spans="1:20" x14ac:dyDescent="0.2">
      <c r="A175" s="430" t="s">
        <v>0</v>
      </c>
      <c r="B175" s="58" t="str">
        <f t="shared" ref="B175:B183" si="148">+B148</f>
        <v>Személyi juttatások</v>
      </c>
      <c r="C175" s="454">
        <f>+'9. Közp. Konyha'!C13</f>
        <v>23625000</v>
      </c>
      <c r="D175" s="75">
        <f>+'9. Közp. Konyha'!D13</f>
        <v>23625000</v>
      </c>
      <c r="E175" s="75">
        <f>+'9. Közp. Konyha'!E13</f>
        <v>0</v>
      </c>
      <c r="F175" s="465">
        <f>+'9. Közp. Konyha'!F13</f>
        <v>0</v>
      </c>
      <c r="G175" s="75"/>
      <c r="H175" s="454">
        <f>+'9. Közp. Konyha'!H13</f>
        <v>11298003</v>
      </c>
      <c r="I175" s="75">
        <f>+'9. Közp. Konyha'!I13</f>
        <v>0</v>
      </c>
      <c r="J175" s="489">
        <f>+'9. Közp. Konyha'!J13</f>
        <v>0</v>
      </c>
      <c r="K175" s="75"/>
      <c r="L175" s="562">
        <f t="shared" si="124"/>
        <v>0.47822234920634921</v>
      </c>
      <c r="M175" s="562" t="e">
        <f t="shared" si="125"/>
        <v>#DIV/0!</v>
      </c>
      <c r="N175" s="563" t="e">
        <f t="shared" si="126"/>
        <v>#DIV/0!</v>
      </c>
      <c r="O175" s="75"/>
      <c r="P175" s="454">
        <f>+'9. Közp. Konyha'!P13</f>
        <v>0</v>
      </c>
      <c r="Q175" s="75">
        <f>+'9. Közp. Konyha'!Q13</f>
        <v>-23625000</v>
      </c>
      <c r="R175" s="75">
        <f>+'9. Közp. Konyha'!R13</f>
        <v>0</v>
      </c>
      <c r="S175" s="75">
        <f>+'9. Közp. Konyha'!S13</f>
        <v>-23625000</v>
      </c>
      <c r="T175" s="578">
        <f>IF(S175=0,0,S175/C175)</f>
        <v>-1</v>
      </c>
    </row>
    <row r="176" spans="1:20" x14ac:dyDescent="0.2">
      <c r="A176" s="430" t="s">
        <v>26</v>
      </c>
      <c r="B176" s="58" t="str">
        <f t="shared" si="148"/>
        <v>Munkaadót terhelő járulékok és szociális hozzájárulás</v>
      </c>
      <c r="C176" s="454">
        <f>+'9. Közp. Konyha'!C29</f>
        <v>5375000</v>
      </c>
      <c r="D176" s="75">
        <f>+'9. Közp. Konyha'!D29</f>
        <v>5375000</v>
      </c>
      <c r="E176" s="75">
        <f>+'9. Közp. Konyha'!E29</f>
        <v>0</v>
      </c>
      <c r="F176" s="465">
        <f>+'9. Közp. Konyha'!F29</f>
        <v>0</v>
      </c>
      <c r="G176" s="75"/>
      <c r="H176" s="454">
        <f>+'9. Közp. Konyha'!H29</f>
        <v>2994544</v>
      </c>
      <c r="I176" s="75">
        <f>+'9. Közp. Konyha'!I29</f>
        <v>0</v>
      </c>
      <c r="J176" s="489">
        <f>+'9. Közp. Konyha'!J29</f>
        <v>0</v>
      </c>
      <c r="K176" s="75"/>
      <c r="L176" s="562">
        <f t="shared" si="124"/>
        <v>0.55712446511627911</v>
      </c>
      <c r="M176" s="562" t="e">
        <f t="shared" si="125"/>
        <v>#DIV/0!</v>
      </c>
      <c r="N176" s="563" t="e">
        <f t="shared" si="126"/>
        <v>#DIV/0!</v>
      </c>
      <c r="O176" s="75"/>
      <c r="P176" s="454">
        <f>+'9. Közp. Konyha'!P29</f>
        <v>0</v>
      </c>
      <c r="Q176" s="75">
        <f>+'9. Közp. Konyha'!Q29</f>
        <v>-5375000</v>
      </c>
      <c r="R176" s="75">
        <f>+'9. Közp. Konyha'!R29</f>
        <v>0</v>
      </c>
      <c r="S176" s="75">
        <f>+'9. Közp. Konyha'!S29</f>
        <v>-5375000</v>
      </c>
      <c r="T176" s="578">
        <f t="shared" ref="T176:T195" si="149">IF(S176=0,0,S176/C176)</f>
        <v>-1</v>
      </c>
    </row>
    <row r="177" spans="1:20" x14ac:dyDescent="0.2">
      <c r="A177" s="430" t="s">
        <v>29</v>
      </c>
      <c r="B177" s="58" t="str">
        <f t="shared" si="148"/>
        <v>Dologi kiadások</v>
      </c>
      <c r="C177" s="454">
        <f>+'9. Közp. Konyha'!C32</f>
        <v>69192000</v>
      </c>
      <c r="D177" s="75">
        <f>+'9. Közp. Konyha'!D32</f>
        <v>69192000</v>
      </c>
      <c r="E177" s="75">
        <f>+'9. Közp. Konyha'!E32</f>
        <v>0</v>
      </c>
      <c r="F177" s="465">
        <f>+'9. Közp. Konyha'!F32</f>
        <v>0</v>
      </c>
      <c r="G177" s="75"/>
      <c r="H177" s="454">
        <f>+'9. Közp. Konyha'!H32</f>
        <v>36293747</v>
      </c>
      <c r="I177" s="75">
        <f>+'9. Közp. Konyha'!I32</f>
        <v>0</v>
      </c>
      <c r="J177" s="489">
        <f>+'9. Közp. Konyha'!J32</f>
        <v>0</v>
      </c>
      <c r="K177" s="75"/>
      <c r="L177" s="562">
        <f t="shared" si="124"/>
        <v>0.52453675280379231</v>
      </c>
      <c r="M177" s="562" t="e">
        <f t="shared" si="125"/>
        <v>#DIV/0!</v>
      </c>
      <c r="N177" s="563" t="e">
        <f t="shared" si="126"/>
        <v>#DIV/0!</v>
      </c>
      <c r="O177" s="75"/>
      <c r="P177" s="454">
        <f>+'9. Közp. Konyha'!P32</f>
        <v>0</v>
      </c>
      <c r="Q177" s="75">
        <f>+'9. Közp. Konyha'!Q32</f>
        <v>-69192000</v>
      </c>
      <c r="R177" s="75">
        <f>+'9. Közp. Konyha'!R32</f>
        <v>0</v>
      </c>
      <c r="S177" s="75">
        <f>+'9. Közp. Konyha'!S32</f>
        <v>-69192000</v>
      </c>
      <c r="T177" s="578">
        <f t="shared" si="149"/>
        <v>-1</v>
      </c>
    </row>
    <row r="178" spans="1:20" x14ac:dyDescent="0.2">
      <c r="A178" s="430" t="s">
        <v>111</v>
      </c>
      <c r="B178" s="58" t="str">
        <f t="shared" si="148"/>
        <v>Elláttotak pénzpeli juttatásai</v>
      </c>
      <c r="C178" s="454"/>
      <c r="D178" s="75"/>
      <c r="E178" s="75"/>
      <c r="F178" s="465"/>
      <c r="G178" s="75"/>
      <c r="H178" s="454"/>
      <c r="I178" s="75"/>
      <c r="J178" s="489"/>
      <c r="K178" s="75"/>
      <c r="L178" s="562" t="e">
        <f t="shared" si="124"/>
        <v>#DIV/0!</v>
      </c>
      <c r="M178" s="562" t="e">
        <f t="shared" si="125"/>
        <v>#DIV/0!</v>
      </c>
      <c r="N178" s="563" t="e">
        <f t="shared" si="126"/>
        <v>#DIV/0!</v>
      </c>
      <c r="O178" s="75"/>
      <c r="P178" s="454"/>
      <c r="Q178" s="75"/>
      <c r="R178" s="75"/>
      <c r="S178" s="75"/>
      <c r="T178" s="578">
        <f t="shared" si="149"/>
        <v>0</v>
      </c>
    </row>
    <row r="179" spans="1:20" x14ac:dyDescent="0.2">
      <c r="A179" s="431" t="s">
        <v>376</v>
      </c>
      <c r="B179" s="58" t="str">
        <f t="shared" si="148"/>
        <v>Egyéb működési célú kiadások</v>
      </c>
      <c r="C179" s="454"/>
      <c r="D179" s="75"/>
      <c r="E179" s="75"/>
      <c r="F179" s="465"/>
      <c r="G179" s="75"/>
      <c r="H179" s="454"/>
      <c r="I179" s="75"/>
      <c r="J179" s="489"/>
      <c r="K179" s="75"/>
      <c r="L179" s="562" t="e">
        <f t="shared" si="124"/>
        <v>#DIV/0!</v>
      </c>
      <c r="M179" s="562" t="e">
        <f t="shared" si="125"/>
        <v>#DIV/0!</v>
      </c>
      <c r="N179" s="563" t="e">
        <f t="shared" si="126"/>
        <v>#DIV/0!</v>
      </c>
      <c r="O179" s="75"/>
      <c r="P179" s="454"/>
      <c r="Q179" s="75"/>
      <c r="R179" s="75"/>
      <c r="S179" s="75"/>
      <c r="T179" s="578">
        <f t="shared" si="149"/>
        <v>0</v>
      </c>
    </row>
    <row r="180" spans="1:20" x14ac:dyDescent="0.2">
      <c r="A180" s="430" t="s">
        <v>158</v>
      </c>
      <c r="B180" s="58" t="str">
        <f t="shared" si="148"/>
        <v>Beruházások</v>
      </c>
      <c r="C180" s="454">
        <f>+'9. Közp. Konyha'!C83</f>
        <v>800000</v>
      </c>
      <c r="D180" s="75">
        <f>+'9. Közp. Konyha'!D83</f>
        <v>800000</v>
      </c>
      <c r="E180" s="75">
        <f>+'9. Közp. Konyha'!E83</f>
        <v>0</v>
      </c>
      <c r="F180" s="465">
        <f>+'9. Közp. Konyha'!F83</f>
        <v>0</v>
      </c>
      <c r="G180" s="75"/>
      <c r="H180" s="454">
        <f>+'9. Közp. Konyha'!H83</f>
        <v>201042</v>
      </c>
      <c r="I180" s="75">
        <f>+'9. Közp. Konyha'!I83</f>
        <v>0</v>
      </c>
      <c r="J180" s="489">
        <f>+'9. Közp. Konyha'!J83</f>
        <v>0</v>
      </c>
      <c r="K180" s="75"/>
      <c r="L180" s="562">
        <f t="shared" si="124"/>
        <v>0.25130249999999998</v>
      </c>
      <c r="M180" s="562" t="e">
        <f t="shared" si="125"/>
        <v>#DIV/0!</v>
      </c>
      <c r="N180" s="563" t="e">
        <f t="shared" si="126"/>
        <v>#DIV/0!</v>
      </c>
      <c r="O180" s="75"/>
      <c r="P180" s="454">
        <f>+'9. Közp. Konyha'!P83</f>
        <v>0</v>
      </c>
      <c r="Q180" s="75">
        <f>+'9. Közp. Konyha'!Q83</f>
        <v>-800000</v>
      </c>
      <c r="R180" s="75">
        <f>+'9. Közp. Konyha'!R83</f>
        <v>0</v>
      </c>
      <c r="S180" s="75">
        <f>+'9. Közp. Konyha'!S83</f>
        <v>-800000</v>
      </c>
      <c r="T180" s="578">
        <f t="shared" si="149"/>
        <v>-1</v>
      </c>
    </row>
    <row r="181" spans="1:20" x14ac:dyDescent="0.2">
      <c r="A181" s="430" t="s">
        <v>173</v>
      </c>
      <c r="B181" s="58" t="str">
        <f t="shared" si="148"/>
        <v>Felújítások</v>
      </c>
      <c r="C181" s="454">
        <f>+'9. Közp. Konyha'!C86</f>
        <v>0</v>
      </c>
      <c r="D181" s="75">
        <f>+'9. Közp. Konyha'!D86</f>
        <v>0</v>
      </c>
      <c r="E181" s="75">
        <f>+'9. Közp. Konyha'!E86</f>
        <v>0</v>
      </c>
      <c r="F181" s="465">
        <f>+'9. Közp. Konyha'!F86</f>
        <v>0</v>
      </c>
      <c r="G181" s="75"/>
      <c r="H181" s="454">
        <f>+'9. Közp. Konyha'!H86</f>
        <v>0</v>
      </c>
      <c r="I181" s="75">
        <f>+'9. Közp. Konyha'!I86</f>
        <v>0</v>
      </c>
      <c r="J181" s="489">
        <f>+'9. Közp. Konyha'!J86</f>
        <v>0</v>
      </c>
      <c r="K181" s="75"/>
      <c r="L181" s="562" t="e">
        <f t="shared" si="124"/>
        <v>#DIV/0!</v>
      </c>
      <c r="M181" s="562" t="e">
        <f t="shared" si="125"/>
        <v>#DIV/0!</v>
      </c>
      <c r="N181" s="563" t="e">
        <f t="shared" si="126"/>
        <v>#DIV/0!</v>
      </c>
      <c r="O181" s="75"/>
      <c r="P181" s="454">
        <f>+'9. Közp. Konyha'!P86</f>
        <v>0</v>
      </c>
      <c r="Q181" s="75">
        <f>+'9. Közp. Konyha'!Q86</f>
        <v>0</v>
      </c>
      <c r="R181" s="75">
        <f>+'9. Közp. Konyha'!R86</f>
        <v>0</v>
      </c>
      <c r="S181" s="75">
        <f>+'9. Közp. Konyha'!S86</f>
        <v>0</v>
      </c>
      <c r="T181" s="578">
        <f t="shared" si="149"/>
        <v>0</v>
      </c>
    </row>
    <row r="182" spans="1:20" x14ac:dyDescent="0.2">
      <c r="A182" s="430" t="s">
        <v>183</v>
      </c>
      <c r="B182" s="58" t="str">
        <f t="shared" si="148"/>
        <v>Szolgáltatások kiadásai</v>
      </c>
      <c r="C182" s="454"/>
      <c r="D182" s="75"/>
      <c r="E182" s="75"/>
      <c r="F182" s="465"/>
      <c r="G182" s="75"/>
      <c r="H182" s="454"/>
      <c r="I182" s="75"/>
      <c r="J182" s="489"/>
      <c r="K182" s="75"/>
      <c r="L182" s="562" t="e">
        <f t="shared" si="124"/>
        <v>#DIV/0!</v>
      </c>
      <c r="M182" s="562" t="e">
        <f t="shared" si="125"/>
        <v>#DIV/0!</v>
      </c>
      <c r="N182" s="563" t="e">
        <f t="shared" si="126"/>
        <v>#DIV/0!</v>
      </c>
      <c r="O182" s="75"/>
      <c r="P182" s="454"/>
      <c r="Q182" s="75"/>
      <c r="R182" s="75"/>
      <c r="S182" s="75"/>
      <c r="T182" s="578">
        <f t="shared" si="149"/>
        <v>0</v>
      </c>
    </row>
    <row r="183" spans="1:20" x14ac:dyDescent="0.2">
      <c r="A183" s="430" t="s">
        <v>201</v>
      </c>
      <c r="B183" s="58" t="str">
        <f t="shared" si="148"/>
        <v>Finanszírozási kiadások</v>
      </c>
      <c r="C183" s="454"/>
      <c r="D183" s="75"/>
      <c r="E183" s="75"/>
      <c r="F183" s="465"/>
      <c r="G183" s="75"/>
      <c r="H183" s="454"/>
      <c r="I183" s="75"/>
      <c r="J183" s="489"/>
      <c r="K183" s="75"/>
      <c r="L183" s="562"/>
      <c r="M183" s="562"/>
      <c r="N183" s="563"/>
      <c r="O183" s="75"/>
      <c r="P183" s="454"/>
      <c r="Q183" s="75"/>
      <c r="R183" s="75"/>
      <c r="S183" s="75"/>
      <c r="T183" s="578">
        <f t="shared" si="149"/>
        <v>0</v>
      </c>
    </row>
    <row r="184" spans="1:20" x14ac:dyDescent="0.2">
      <c r="A184" s="432"/>
      <c r="B184" s="416" t="s">
        <v>378</v>
      </c>
      <c r="C184" s="456">
        <f>SUM(C175:C183)</f>
        <v>98992000</v>
      </c>
      <c r="D184" s="417">
        <f t="shared" ref="D184:F184" si="150">SUM(D175:D183)</f>
        <v>98992000</v>
      </c>
      <c r="E184" s="417">
        <f t="shared" si="150"/>
        <v>0</v>
      </c>
      <c r="F184" s="473">
        <f t="shared" si="150"/>
        <v>0</v>
      </c>
      <c r="G184" s="417"/>
      <c r="H184" s="456">
        <f t="shared" ref="H184:J184" si="151">SUM(H175:H183)</f>
        <v>50787336</v>
      </c>
      <c r="I184" s="417">
        <f t="shared" si="151"/>
        <v>0</v>
      </c>
      <c r="J184" s="418">
        <f t="shared" si="151"/>
        <v>0</v>
      </c>
      <c r="K184" s="217"/>
      <c r="L184" s="564">
        <f t="shared" si="124"/>
        <v>0.51304485210926132</v>
      </c>
      <c r="M184" s="564" t="e">
        <f t="shared" si="125"/>
        <v>#DIV/0!</v>
      </c>
      <c r="N184" s="565" t="e">
        <f t="shared" si="126"/>
        <v>#DIV/0!</v>
      </c>
      <c r="O184" s="217"/>
      <c r="P184" s="456">
        <f t="shared" ref="P184:S184" si="152">SUM(P175:P183)</f>
        <v>0</v>
      </c>
      <c r="Q184" s="417">
        <f t="shared" si="152"/>
        <v>-98992000</v>
      </c>
      <c r="R184" s="417">
        <f t="shared" si="152"/>
        <v>0</v>
      </c>
      <c r="S184" s="418">
        <f t="shared" si="152"/>
        <v>-98992000</v>
      </c>
      <c r="T184" s="579">
        <f t="shared" si="149"/>
        <v>-1</v>
      </c>
    </row>
    <row r="185" spans="1:20" x14ac:dyDescent="0.2">
      <c r="A185" s="433"/>
      <c r="B185" s="75"/>
      <c r="C185" s="454"/>
      <c r="D185" s="75"/>
      <c r="E185" s="75"/>
      <c r="F185" s="465"/>
      <c r="G185" s="75"/>
      <c r="H185" s="454"/>
      <c r="I185" s="75"/>
      <c r="J185" s="489"/>
      <c r="K185" s="75"/>
      <c r="L185" s="562"/>
      <c r="M185" s="562"/>
      <c r="N185" s="563"/>
      <c r="O185" s="75"/>
      <c r="P185" s="454"/>
      <c r="Q185" s="75"/>
      <c r="R185" s="75"/>
      <c r="S185" s="75"/>
      <c r="T185" s="578"/>
    </row>
    <row r="186" spans="1:20" x14ac:dyDescent="0.2">
      <c r="A186" s="430" t="str">
        <f>+A159</f>
        <v>B1</v>
      </c>
      <c r="B186" s="58" t="str">
        <f>+B159</f>
        <v>Működési célú tám-ok államháztartáson belülről</v>
      </c>
      <c r="C186" s="454">
        <f>+'9. Közp. Konyha'!C93</f>
        <v>0</v>
      </c>
      <c r="D186" s="75">
        <f>+'9. Közp. Konyha'!D93</f>
        <v>500000</v>
      </c>
      <c r="E186" s="75">
        <f>+'9. Közp. Konyha'!E93</f>
        <v>0</v>
      </c>
      <c r="F186" s="465">
        <f>+'9. Közp. Konyha'!F93</f>
        <v>0</v>
      </c>
      <c r="G186" s="75"/>
      <c r="H186" s="454">
        <f>+'9. Közp. Konyha'!H93</f>
        <v>411810</v>
      </c>
      <c r="I186" s="75">
        <f>+'9. Közp. Konyha'!I93</f>
        <v>0</v>
      </c>
      <c r="J186" s="489">
        <f>+'9. Közp. Konyha'!J93</f>
        <v>0</v>
      </c>
      <c r="K186" s="75"/>
      <c r="L186" s="562">
        <f t="shared" si="124"/>
        <v>0.82362000000000002</v>
      </c>
      <c r="M186" s="562" t="e">
        <f t="shared" si="125"/>
        <v>#DIV/0!</v>
      </c>
      <c r="N186" s="563" t="e">
        <f t="shared" si="126"/>
        <v>#DIV/0!</v>
      </c>
      <c r="O186" s="75"/>
      <c r="P186" s="454">
        <f>+'9. Közp. Konyha'!P93</f>
        <v>500000</v>
      </c>
      <c r="Q186" s="75">
        <f>+'9. Közp. Konyha'!Q93</f>
        <v>-500000</v>
      </c>
      <c r="R186" s="75">
        <f>+'9. Közp. Konyha'!R93</f>
        <v>0</v>
      </c>
      <c r="S186" s="75">
        <f>+'9. Közp. Konyha'!S93</f>
        <v>0</v>
      </c>
      <c r="T186" s="578">
        <f t="shared" si="149"/>
        <v>0</v>
      </c>
    </row>
    <row r="187" spans="1:20" x14ac:dyDescent="0.2">
      <c r="A187" s="430" t="str">
        <f t="shared" ref="A187:B187" si="153">+A160</f>
        <v>B2</v>
      </c>
      <c r="B187" s="58" t="str">
        <f t="shared" si="153"/>
        <v>Felhalmozási célú tám-ok államházt-on belülről</v>
      </c>
      <c r="C187" s="454"/>
      <c r="D187" s="75"/>
      <c r="E187" s="75"/>
      <c r="F187" s="465"/>
      <c r="G187" s="75"/>
      <c r="H187" s="454"/>
      <c r="I187" s="75"/>
      <c r="J187" s="489"/>
      <c r="K187" s="75"/>
      <c r="L187" s="562" t="e">
        <f t="shared" si="124"/>
        <v>#DIV/0!</v>
      </c>
      <c r="M187" s="562" t="e">
        <f t="shared" si="125"/>
        <v>#DIV/0!</v>
      </c>
      <c r="N187" s="563" t="e">
        <f t="shared" si="126"/>
        <v>#DIV/0!</v>
      </c>
      <c r="O187" s="75"/>
      <c r="P187" s="454"/>
      <c r="Q187" s="75"/>
      <c r="R187" s="75"/>
      <c r="S187" s="75"/>
      <c r="T187" s="578">
        <f t="shared" si="149"/>
        <v>0</v>
      </c>
    </row>
    <row r="188" spans="1:20" x14ac:dyDescent="0.2">
      <c r="A188" s="430" t="str">
        <f t="shared" ref="A188:B188" si="154">+A161</f>
        <v>B3</v>
      </c>
      <c r="B188" s="58" t="str">
        <f t="shared" si="154"/>
        <v>Közhatalmi bevételek</v>
      </c>
      <c r="C188" s="454"/>
      <c r="D188" s="75"/>
      <c r="E188" s="75"/>
      <c r="F188" s="465"/>
      <c r="G188" s="75"/>
      <c r="H188" s="454"/>
      <c r="I188" s="75"/>
      <c r="J188" s="489"/>
      <c r="K188" s="75"/>
      <c r="L188" s="562" t="e">
        <f t="shared" si="124"/>
        <v>#DIV/0!</v>
      </c>
      <c r="M188" s="562" t="e">
        <f t="shared" si="125"/>
        <v>#DIV/0!</v>
      </c>
      <c r="N188" s="563" t="e">
        <f t="shared" si="126"/>
        <v>#DIV/0!</v>
      </c>
      <c r="O188" s="75"/>
      <c r="P188" s="454"/>
      <c r="Q188" s="75"/>
      <c r="R188" s="75"/>
      <c r="S188" s="75"/>
      <c r="T188" s="578">
        <f t="shared" si="149"/>
        <v>0</v>
      </c>
    </row>
    <row r="189" spans="1:20" x14ac:dyDescent="0.2">
      <c r="A189" s="430" t="str">
        <f t="shared" ref="A189:B189" si="155">+A162</f>
        <v>B4</v>
      </c>
      <c r="B189" s="58" t="str">
        <f t="shared" si="155"/>
        <v>Működési bevételek</v>
      </c>
      <c r="C189" s="454">
        <f>+'9. Közp. Konyha'!C95</f>
        <v>28181000</v>
      </c>
      <c r="D189" s="75">
        <f>+'9. Közp. Konyha'!D95</f>
        <v>27681000</v>
      </c>
      <c r="E189" s="75">
        <f>+'9. Közp. Konyha'!E95</f>
        <v>0</v>
      </c>
      <c r="F189" s="465">
        <f>+'9. Közp. Konyha'!F95</f>
        <v>0</v>
      </c>
      <c r="G189" s="75"/>
      <c r="H189" s="454">
        <f>+'9. Közp. Konyha'!H95</f>
        <v>16755980</v>
      </c>
      <c r="I189" s="75">
        <f>+'9. Közp. Konyha'!I95</f>
        <v>0</v>
      </c>
      <c r="J189" s="489">
        <f>+'9. Közp. Konyha'!J95</f>
        <v>0</v>
      </c>
      <c r="K189" s="75"/>
      <c r="L189" s="562">
        <f t="shared" si="124"/>
        <v>0.60532422961598209</v>
      </c>
      <c r="M189" s="562" t="e">
        <f t="shared" si="125"/>
        <v>#DIV/0!</v>
      </c>
      <c r="N189" s="563" t="e">
        <f t="shared" si="126"/>
        <v>#DIV/0!</v>
      </c>
      <c r="O189" s="75"/>
      <c r="P189" s="454">
        <f>+'9. Közp. Konyha'!P95</f>
        <v>-500000</v>
      </c>
      <c r="Q189" s="75">
        <f>+'9. Közp. Konyha'!Q95</f>
        <v>-27681000</v>
      </c>
      <c r="R189" s="75">
        <f>+'9. Közp. Konyha'!R95</f>
        <v>0</v>
      </c>
      <c r="S189" s="75">
        <f>+'9. Közp. Konyha'!S95</f>
        <v>-28181000</v>
      </c>
      <c r="T189" s="578">
        <f t="shared" si="149"/>
        <v>-1</v>
      </c>
    </row>
    <row r="190" spans="1:20" x14ac:dyDescent="0.2">
      <c r="A190" s="430" t="str">
        <f t="shared" ref="A190:B190" si="156">+A163</f>
        <v>B5</v>
      </c>
      <c r="B190" s="58" t="str">
        <f t="shared" si="156"/>
        <v>Felhalmozási bevételek</v>
      </c>
      <c r="C190" s="454"/>
      <c r="D190" s="75"/>
      <c r="E190" s="75"/>
      <c r="F190" s="465"/>
      <c r="G190" s="75"/>
      <c r="H190" s="454"/>
      <c r="I190" s="75"/>
      <c r="J190" s="489"/>
      <c r="K190" s="75"/>
      <c r="L190" s="562" t="e">
        <f t="shared" si="124"/>
        <v>#DIV/0!</v>
      </c>
      <c r="M190" s="562" t="e">
        <f t="shared" si="125"/>
        <v>#DIV/0!</v>
      </c>
      <c r="N190" s="563" t="e">
        <f t="shared" si="126"/>
        <v>#DIV/0!</v>
      </c>
      <c r="O190" s="75"/>
      <c r="P190" s="454"/>
      <c r="Q190" s="75"/>
      <c r="R190" s="75"/>
      <c r="S190" s="75"/>
      <c r="T190" s="578">
        <f t="shared" si="149"/>
        <v>0</v>
      </c>
    </row>
    <row r="191" spans="1:20" x14ac:dyDescent="0.2">
      <c r="A191" s="430" t="str">
        <f t="shared" ref="A191:B191" si="157">+A164</f>
        <v>B6</v>
      </c>
      <c r="B191" s="58" t="str">
        <f t="shared" si="157"/>
        <v>Működési célú átvett pénzeszközök</v>
      </c>
      <c r="C191" s="454"/>
      <c r="D191" s="75"/>
      <c r="E191" s="75"/>
      <c r="F191" s="465"/>
      <c r="G191" s="75"/>
      <c r="H191" s="454"/>
      <c r="I191" s="75"/>
      <c r="J191" s="489"/>
      <c r="K191" s="75"/>
      <c r="L191" s="562" t="e">
        <f t="shared" si="124"/>
        <v>#DIV/0!</v>
      </c>
      <c r="M191" s="562" t="e">
        <f t="shared" si="125"/>
        <v>#DIV/0!</v>
      </c>
      <c r="N191" s="563" t="e">
        <f t="shared" si="126"/>
        <v>#DIV/0!</v>
      </c>
      <c r="O191" s="75"/>
      <c r="P191" s="454"/>
      <c r="Q191" s="75"/>
      <c r="R191" s="75"/>
      <c r="S191" s="75"/>
      <c r="T191" s="578">
        <f t="shared" si="149"/>
        <v>0</v>
      </c>
    </row>
    <row r="192" spans="1:20" x14ac:dyDescent="0.2">
      <c r="A192" s="430" t="str">
        <f t="shared" ref="A192:B192" si="158">+A165</f>
        <v>B7</v>
      </c>
      <c r="B192" s="58" t="str">
        <f t="shared" si="158"/>
        <v>Felhalmozási célú átvett pénzeszközök</v>
      </c>
      <c r="C192" s="454"/>
      <c r="D192" s="75"/>
      <c r="E192" s="75"/>
      <c r="F192" s="465"/>
      <c r="G192" s="75"/>
      <c r="H192" s="454"/>
      <c r="I192" s="75"/>
      <c r="J192" s="489"/>
      <c r="K192" s="75"/>
      <c r="L192" s="562" t="e">
        <f t="shared" si="124"/>
        <v>#DIV/0!</v>
      </c>
      <c r="M192" s="562" t="e">
        <f t="shared" si="125"/>
        <v>#DIV/0!</v>
      </c>
      <c r="N192" s="563" t="e">
        <f t="shared" si="126"/>
        <v>#DIV/0!</v>
      </c>
      <c r="O192" s="75"/>
      <c r="P192" s="454"/>
      <c r="Q192" s="75"/>
      <c r="R192" s="75"/>
      <c r="S192" s="75"/>
      <c r="T192" s="578">
        <f t="shared" si="149"/>
        <v>0</v>
      </c>
    </row>
    <row r="193" spans="1:20" x14ac:dyDescent="0.2">
      <c r="A193" s="430" t="str">
        <f t="shared" ref="A193" si="159">+A166</f>
        <v>B8-ból maradványértéken túli finanszírozási bevételek</v>
      </c>
      <c r="B193" s="58"/>
      <c r="C193" s="454">
        <f>+'9. Közp. Konyha'!C99-C194</f>
        <v>65769773</v>
      </c>
      <c r="D193" s="75">
        <f>+'9. Közp. Konyha'!D99-D194</f>
        <v>65769773</v>
      </c>
      <c r="E193" s="75">
        <f>+'9. Közp. Konyha'!E99-E194</f>
        <v>0</v>
      </c>
      <c r="F193" s="465">
        <f>+'9. Közp. Konyha'!F99-F194</f>
        <v>0</v>
      </c>
      <c r="G193" s="75"/>
      <c r="H193" s="454">
        <f>+'9. Közp. Konyha'!H99-H194</f>
        <v>33423906</v>
      </c>
      <c r="I193" s="75">
        <f>+'9. Közp. Konyha'!I99-I194</f>
        <v>0</v>
      </c>
      <c r="J193" s="489">
        <f>+'9. Közp. Konyha'!J99-J194</f>
        <v>0</v>
      </c>
      <c r="K193" s="75"/>
      <c r="L193" s="562">
        <f t="shared" si="124"/>
        <v>0.50819555056089372</v>
      </c>
      <c r="M193" s="562" t="e">
        <f t="shared" si="125"/>
        <v>#DIV/0!</v>
      </c>
      <c r="N193" s="563" t="e">
        <f t="shared" si="126"/>
        <v>#DIV/0!</v>
      </c>
      <c r="O193" s="75"/>
      <c r="P193" s="454">
        <f>+'9. Közp. Konyha'!P99-P194</f>
        <v>0</v>
      </c>
      <c r="Q193" s="75">
        <f>+'9. Közp. Konyha'!Q99-Q194</f>
        <v>-65769773</v>
      </c>
      <c r="R193" s="75">
        <f>+'9. Közp. Konyha'!R99-R194</f>
        <v>0</v>
      </c>
      <c r="S193" s="75">
        <f>+'9. Közp. Konyha'!S99-S194</f>
        <v>-65769773</v>
      </c>
      <c r="T193" s="578">
        <f t="shared" si="149"/>
        <v>-1</v>
      </c>
    </row>
    <row r="194" spans="1:20" x14ac:dyDescent="0.2">
      <c r="A194" s="430" t="str">
        <f t="shared" ref="A194" si="160">+A167</f>
        <v>B8-ból előző évi mardvány igénybevétele</v>
      </c>
      <c r="B194" s="58"/>
      <c r="C194" s="454">
        <f>+'9. Közp. Konyha'!C101</f>
        <v>5041227</v>
      </c>
      <c r="D194" s="75">
        <f>+'9. Közp. Konyha'!D101</f>
        <v>5041227</v>
      </c>
      <c r="E194" s="75">
        <f>+'9. Közp. Konyha'!E101</f>
        <v>0</v>
      </c>
      <c r="F194" s="465">
        <f>+'9. Közp. Konyha'!F101</f>
        <v>0</v>
      </c>
      <c r="G194" s="75"/>
      <c r="H194" s="454">
        <f>+'9. Közp. Konyha'!H101</f>
        <v>5041227</v>
      </c>
      <c r="I194" s="75">
        <f>+'9. Közp. Konyha'!I101</f>
        <v>0</v>
      </c>
      <c r="J194" s="489">
        <f>+'9. Közp. Konyha'!J101</f>
        <v>0</v>
      </c>
      <c r="K194" s="75"/>
      <c r="L194" s="562">
        <f t="shared" si="124"/>
        <v>1</v>
      </c>
      <c r="M194" s="562" t="e">
        <f t="shared" si="125"/>
        <v>#DIV/0!</v>
      </c>
      <c r="N194" s="563" t="e">
        <f t="shared" si="126"/>
        <v>#DIV/0!</v>
      </c>
      <c r="O194" s="75"/>
      <c r="P194" s="454">
        <f>+'9. Közp. Konyha'!P101</f>
        <v>0</v>
      </c>
      <c r="Q194" s="75">
        <f>+'9. Közp. Konyha'!Q101</f>
        <v>-5041227</v>
      </c>
      <c r="R194" s="75">
        <f>+'9. Közp. Konyha'!R101</f>
        <v>0</v>
      </c>
      <c r="S194" s="75">
        <f>+'9. Közp. Konyha'!S101</f>
        <v>-5041227</v>
      </c>
      <c r="T194" s="578">
        <f t="shared" si="149"/>
        <v>-1</v>
      </c>
    </row>
    <row r="195" spans="1:20" x14ac:dyDescent="0.2">
      <c r="A195" s="434"/>
      <c r="B195" s="416" t="s">
        <v>377</v>
      </c>
      <c r="C195" s="456">
        <f>SUM(C186:C194)</f>
        <v>98992000</v>
      </c>
      <c r="D195" s="417">
        <f t="shared" ref="D195" si="161">SUM(D186:D194)</f>
        <v>98992000</v>
      </c>
      <c r="E195" s="417">
        <f t="shared" ref="E195" si="162">SUM(E186:E194)</f>
        <v>0</v>
      </c>
      <c r="F195" s="473">
        <f t="shared" ref="F195" si="163">SUM(F186:F194)</f>
        <v>0</v>
      </c>
      <c r="G195" s="417"/>
      <c r="H195" s="456">
        <f t="shared" ref="H195" si="164">SUM(H186:H194)</f>
        <v>55632923</v>
      </c>
      <c r="I195" s="417">
        <f t="shared" ref="I195" si="165">SUM(I186:I194)</f>
        <v>0</v>
      </c>
      <c r="J195" s="418">
        <f t="shared" ref="J195" si="166">SUM(J186:J194)</f>
        <v>0</v>
      </c>
      <c r="K195" s="419"/>
      <c r="L195" s="566">
        <f t="shared" si="124"/>
        <v>0.56199413083885563</v>
      </c>
      <c r="M195" s="566" t="e">
        <f t="shared" si="125"/>
        <v>#DIV/0!</v>
      </c>
      <c r="N195" s="567" t="e">
        <f t="shared" si="126"/>
        <v>#DIV/0!</v>
      </c>
      <c r="O195" s="419"/>
      <c r="P195" s="456">
        <f t="shared" ref="P195" si="167">SUM(P186:P194)</f>
        <v>0</v>
      </c>
      <c r="Q195" s="417">
        <f t="shared" ref="Q195" si="168">SUM(Q186:Q194)</f>
        <v>-98992000</v>
      </c>
      <c r="R195" s="417">
        <f t="shared" ref="R195" si="169">SUM(R186:R194)</f>
        <v>0</v>
      </c>
      <c r="S195" s="418">
        <f t="shared" ref="S195" si="170">SUM(S186:S194)</f>
        <v>-98992000</v>
      </c>
      <c r="T195" s="579">
        <f t="shared" si="149"/>
        <v>-1</v>
      </c>
    </row>
    <row r="196" spans="1:20" x14ac:dyDescent="0.2">
      <c r="A196" s="433"/>
      <c r="C196" s="433"/>
      <c r="F196" s="476"/>
      <c r="H196" s="433"/>
      <c r="J196" s="487"/>
      <c r="L196" s="562"/>
      <c r="M196" s="562"/>
      <c r="N196" s="563"/>
      <c r="P196" s="433"/>
      <c r="T196" s="580"/>
    </row>
    <row r="197" spans="1:20" ht="13.5" thickBot="1" x14ac:dyDescent="0.25">
      <c r="A197" s="436"/>
      <c r="B197" s="437" t="s">
        <v>467</v>
      </c>
      <c r="C197" s="458">
        <f>+C195-C184</f>
        <v>0</v>
      </c>
      <c r="D197" s="438">
        <f>+D195-D184</f>
        <v>0</v>
      </c>
      <c r="E197" s="438">
        <f>+E195-E184</f>
        <v>0</v>
      </c>
      <c r="F197" s="475">
        <f>+F195-F184</f>
        <v>0</v>
      </c>
      <c r="G197" s="438"/>
      <c r="H197" s="458">
        <f>+H195-H184</f>
        <v>4845587</v>
      </c>
      <c r="I197" s="438">
        <f>+I195-I184</f>
        <v>0</v>
      </c>
      <c r="J197" s="440">
        <f>+J195-J184</f>
        <v>0</v>
      </c>
      <c r="K197" s="439"/>
      <c r="L197" s="568" t="e">
        <f t="shared" si="124"/>
        <v>#DIV/0!</v>
      </c>
      <c r="M197" s="568" t="e">
        <f t="shared" si="125"/>
        <v>#DIV/0!</v>
      </c>
      <c r="N197" s="569" t="e">
        <f t="shared" si="126"/>
        <v>#DIV/0!</v>
      </c>
      <c r="O197" s="439"/>
      <c r="P197" s="458">
        <f>+P195-P184</f>
        <v>0</v>
      </c>
      <c r="Q197" s="438">
        <f>+Q195-Q184</f>
        <v>0</v>
      </c>
      <c r="R197" s="438">
        <f>+R195-R184</f>
        <v>0</v>
      </c>
      <c r="S197" s="440">
        <f>+S195-S184</f>
        <v>0</v>
      </c>
      <c r="T197" s="581"/>
    </row>
    <row r="198" spans="1:20" ht="13.5" thickBot="1" x14ac:dyDescent="0.25">
      <c r="C198" s="460"/>
      <c r="D198" s="466"/>
      <c r="E198" s="466"/>
      <c r="F198" s="479"/>
      <c r="H198" s="460"/>
      <c r="I198" s="466"/>
      <c r="J198" s="492"/>
      <c r="K198" s="466"/>
      <c r="L198" s="576"/>
      <c r="M198" s="576"/>
      <c r="N198" s="577"/>
      <c r="P198" s="460"/>
      <c r="Q198" s="461"/>
      <c r="R198" s="461"/>
      <c r="S198" s="461"/>
      <c r="T198" s="581"/>
    </row>
    <row r="199" spans="1:20" x14ac:dyDescent="0.2">
      <c r="L199" s="562"/>
      <c r="M199" s="562"/>
      <c r="N199" s="562"/>
      <c r="T199" s="583"/>
    </row>
    <row r="200" spans="1:20" x14ac:dyDescent="0.2">
      <c r="T200" s="58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35433070866141736" bottom="0.35433070866141736" header="0.31496062992125984" footer="0.31496062992125984"/>
  <pageSetup paperSize="9" scale="54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70" zoomScaleNormal="70" workbookViewId="0">
      <selection activeCell="E21" sqref="E21"/>
    </sheetView>
  </sheetViews>
  <sheetFormatPr defaultRowHeight="12.75" x14ac:dyDescent="0.2"/>
  <cols>
    <col min="1" max="1" width="6.140625" style="13" bestFit="1" customWidth="1"/>
    <col min="2" max="2" width="47.85546875" style="13" bestFit="1" customWidth="1"/>
    <col min="3" max="4" width="18.5703125" style="17" customWidth="1"/>
    <col min="5" max="6" width="18.5703125" style="13" customWidth="1"/>
    <col min="7" max="7" width="1.5703125" style="13" customWidth="1"/>
    <col min="8" max="9" width="16.140625" style="13" customWidth="1"/>
    <col min="10" max="10" width="17.85546875" style="13" customWidth="1"/>
    <col min="11" max="11" width="1.5703125" style="13" customWidth="1"/>
    <col min="12" max="12" width="14.5703125" style="13" customWidth="1"/>
    <col min="13" max="13" width="13.85546875" style="13" customWidth="1"/>
    <col min="14" max="14" width="14.85546875" style="13" customWidth="1"/>
    <col min="15" max="15" width="1.5703125" style="13" customWidth="1"/>
    <col min="16" max="19" width="18.5703125" style="13" customWidth="1"/>
    <col min="20" max="20" width="10.5703125" customWidth="1"/>
    <col min="21" max="21" width="1.5703125" style="13" customWidth="1"/>
    <col min="22" max="22" width="2.42578125" customWidth="1"/>
  </cols>
  <sheetData>
    <row r="1" spans="1:22" ht="26.25" x14ac:dyDescent="0.4">
      <c r="A1" s="687" t="s">
        <v>429</v>
      </c>
      <c r="B1" s="688"/>
      <c r="C1" s="688"/>
      <c r="D1" s="688"/>
      <c r="E1" s="688"/>
      <c r="F1" s="688"/>
      <c r="G1" s="65"/>
      <c r="H1" s="65"/>
      <c r="J1" s="245" t="s">
        <v>539</v>
      </c>
      <c r="K1" s="246"/>
      <c r="L1" s="246"/>
      <c r="M1" s="65"/>
      <c r="N1" s="65"/>
      <c r="O1" s="65"/>
      <c r="Q1" s="65"/>
      <c r="R1" s="65"/>
      <c r="S1" s="65"/>
      <c r="U1" s="65"/>
    </row>
    <row r="2" spans="1:22" x14ac:dyDescent="0.2">
      <c r="A2" s="64"/>
      <c r="B2" s="65"/>
      <c r="C2" s="65"/>
      <c r="D2" s="65"/>
      <c r="E2" s="65"/>
      <c r="F2" s="65"/>
      <c r="G2" s="65"/>
      <c r="H2" s="65" t="s">
        <v>502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U2" s="65"/>
    </row>
    <row r="3" spans="1:22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U3" s="65"/>
    </row>
    <row r="4" spans="1:22" x14ac:dyDescent="0.2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U4" s="65"/>
    </row>
    <row r="5" spans="1:22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U5" s="65"/>
    </row>
    <row r="6" spans="1:22" ht="16.350000000000001" customHeight="1" x14ac:dyDescent="0.2">
      <c r="A6" s="707" t="s">
        <v>374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9"/>
      <c r="O6" s="709"/>
      <c r="P6" s="709"/>
      <c r="Q6" s="709"/>
      <c r="R6" s="709"/>
      <c r="S6" s="709"/>
      <c r="T6" s="709"/>
      <c r="U6" s="709"/>
      <c r="V6" s="710"/>
    </row>
    <row r="7" spans="1:22" ht="16.350000000000001" customHeight="1" x14ac:dyDescent="0.25">
      <c r="A7" s="180"/>
      <c r="B7" s="181"/>
      <c r="C7" s="701" t="s">
        <v>412</v>
      </c>
      <c r="D7" s="702"/>
      <c r="E7" s="702"/>
      <c r="F7" s="703"/>
      <c r="G7" s="182"/>
      <c r="H7" s="701" t="s">
        <v>423</v>
      </c>
      <c r="I7" s="711"/>
      <c r="J7" s="711"/>
      <c r="K7" s="711"/>
      <c r="L7" s="711"/>
      <c r="M7" s="711"/>
      <c r="N7" s="712"/>
      <c r="O7" s="182"/>
      <c r="P7" s="701" t="s">
        <v>408</v>
      </c>
      <c r="Q7" s="702"/>
      <c r="R7" s="702"/>
      <c r="S7" s="702"/>
      <c r="T7" s="703"/>
      <c r="U7" s="183"/>
      <c r="V7" s="682" t="s">
        <v>414</v>
      </c>
    </row>
    <row r="8" spans="1:22" ht="16.350000000000001" customHeight="1" x14ac:dyDescent="0.2">
      <c r="A8" s="184"/>
      <c r="B8" s="136"/>
      <c r="C8" s="160"/>
      <c r="D8" s="160"/>
      <c r="E8" s="167"/>
      <c r="F8" s="167"/>
      <c r="G8" s="167"/>
      <c r="H8" s="704" t="s">
        <v>425</v>
      </c>
      <c r="I8" s="705"/>
      <c r="J8" s="706"/>
      <c r="K8" s="185"/>
      <c r="L8" s="704" t="s">
        <v>424</v>
      </c>
      <c r="M8" s="705"/>
      <c r="N8" s="706"/>
      <c r="O8" s="167"/>
      <c r="P8" s="399">
        <v>1</v>
      </c>
      <c r="Q8" s="400">
        <v>1</v>
      </c>
      <c r="R8" s="400">
        <v>0</v>
      </c>
      <c r="S8" s="186"/>
      <c r="T8" s="186"/>
      <c r="U8" s="174"/>
      <c r="V8" s="685"/>
    </row>
    <row r="9" spans="1:22" ht="56.25" x14ac:dyDescent="0.2">
      <c r="A9" s="194" t="s">
        <v>427</v>
      </c>
      <c r="B9" s="200" t="s">
        <v>371</v>
      </c>
      <c r="C9" s="195" t="s">
        <v>483</v>
      </c>
      <c r="D9" s="196" t="s">
        <v>484</v>
      </c>
      <c r="E9" s="196" t="s">
        <v>485</v>
      </c>
      <c r="F9" s="196" t="s">
        <v>486</v>
      </c>
      <c r="G9" s="196"/>
      <c r="H9" s="197" t="s">
        <v>496</v>
      </c>
      <c r="I9" s="197" t="s">
        <v>497</v>
      </c>
      <c r="J9" s="197" t="s">
        <v>498</v>
      </c>
      <c r="K9" s="196"/>
      <c r="L9" s="198" t="s">
        <v>499</v>
      </c>
      <c r="M9" s="198" t="s">
        <v>500</v>
      </c>
      <c r="N9" s="198" t="s">
        <v>501</v>
      </c>
      <c r="O9" s="197"/>
      <c r="P9" s="197" t="s">
        <v>491</v>
      </c>
      <c r="Q9" s="197" t="s">
        <v>493</v>
      </c>
      <c r="R9" s="197" t="s">
        <v>492</v>
      </c>
      <c r="S9" s="197" t="s">
        <v>409</v>
      </c>
      <c r="T9" s="198" t="s">
        <v>410</v>
      </c>
      <c r="U9" s="199" t="s">
        <v>414</v>
      </c>
      <c r="V9" s="686"/>
    </row>
    <row r="10" spans="1:22" x14ac:dyDescent="0.2">
      <c r="A10" s="35" t="s">
        <v>241</v>
      </c>
      <c r="B10" s="18" t="s">
        <v>242</v>
      </c>
      <c r="C10" s="172">
        <f>+'bevételi segédtábla'!C13</f>
        <v>577146258</v>
      </c>
      <c r="D10" s="172">
        <f>+'bevételi segédtábla'!D13</f>
        <v>588969848</v>
      </c>
      <c r="E10" s="172">
        <f>+'bevételi segédtábla'!E13</f>
        <v>0</v>
      </c>
      <c r="F10" s="172">
        <f>+'bevételi segédtábla'!F13</f>
        <v>0</v>
      </c>
      <c r="G10" s="172"/>
      <c r="H10" s="172">
        <f>+'bevételi segédtábla'!H13</f>
        <v>310504756</v>
      </c>
      <c r="I10" s="172">
        <f>+'bevételi segédtábla'!I13</f>
        <v>0</v>
      </c>
      <c r="J10" s="172">
        <f>+'bevételi segédtábla'!J13</f>
        <v>0</v>
      </c>
      <c r="K10" s="172"/>
      <c r="L10" s="36">
        <f>H10/D10</f>
        <v>0.52719974894198662</v>
      </c>
      <c r="M10" s="36" t="e">
        <f>I10/E10</f>
        <v>#DIV/0!</v>
      </c>
      <c r="N10" s="36" t="e">
        <f>J10/F10</f>
        <v>#DIV/0!</v>
      </c>
      <c r="O10" s="172"/>
      <c r="P10" s="172">
        <f>+'bevételi segédtábla'!P13</f>
        <v>11823590</v>
      </c>
      <c r="Q10" s="172">
        <f>+'bevételi segédtábla'!Q13</f>
        <v>-588969848</v>
      </c>
      <c r="R10" s="172">
        <f>+'bevételi segédtábla'!R13</f>
        <v>0</v>
      </c>
      <c r="S10" s="172">
        <f>+'bevételi segédtábla'!S13</f>
        <v>-577146258</v>
      </c>
      <c r="T10" s="188">
        <f>IF(C10=0,0,+S10/C10)</f>
        <v>-1</v>
      </c>
      <c r="U10" s="172"/>
      <c r="V10" s="191">
        <f>+S10-E10+C10</f>
        <v>0</v>
      </c>
    </row>
    <row r="11" spans="1:22" ht="25.5" x14ac:dyDescent="0.2">
      <c r="A11" s="35" t="s">
        <v>262</v>
      </c>
      <c r="B11" s="18" t="s">
        <v>263</v>
      </c>
      <c r="C11" s="172">
        <f>+'bevételi segédtábla'!C14</f>
        <v>175000000</v>
      </c>
      <c r="D11" s="172">
        <f>+'bevételi segédtábla'!D14</f>
        <v>580968123</v>
      </c>
      <c r="E11" s="172">
        <f>+'bevételi segédtábla'!E14</f>
        <v>0</v>
      </c>
      <c r="F11" s="172">
        <f>+'bevételi segédtábla'!F14</f>
        <v>0</v>
      </c>
      <c r="G11" s="172"/>
      <c r="H11" s="172">
        <f>+'bevételi segédtábla'!H14</f>
        <v>505968123</v>
      </c>
      <c r="I11" s="172">
        <f>+'bevételi segédtábla'!I14</f>
        <v>0</v>
      </c>
      <c r="J11" s="172">
        <f>+'bevételi segédtábla'!J14</f>
        <v>0</v>
      </c>
      <c r="K11" s="172"/>
      <c r="L11" s="36">
        <f t="shared" ref="L11:N17" si="0">H11/D11</f>
        <v>0.87090513742352094</v>
      </c>
      <c r="M11" s="36" t="e">
        <f t="shared" si="0"/>
        <v>#DIV/0!</v>
      </c>
      <c r="N11" s="36" t="e">
        <f t="shared" si="0"/>
        <v>#DIV/0!</v>
      </c>
      <c r="O11" s="172"/>
      <c r="P11" s="172">
        <f>+'bevételi segédtábla'!P14</f>
        <v>405968123</v>
      </c>
      <c r="Q11" s="172">
        <f>+'bevételi segédtábla'!Q14</f>
        <v>-580968123</v>
      </c>
      <c r="R11" s="172">
        <f>+'bevételi segédtábla'!R14</f>
        <v>0</v>
      </c>
      <c r="S11" s="172">
        <f>+'bevételi segédtábla'!S14</f>
        <v>-175000000</v>
      </c>
      <c r="T11" s="188">
        <f t="shared" ref="T11:T19" si="1">IF(C11=0,0,+S11/C11)</f>
        <v>-1</v>
      </c>
      <c r="U11" s="172"/>
      <c r="V11" s="191">
        <f t="shared" ref="V11:V19" si="2">+S11-E11+C11</f>
        <v>0</v>
      </c>
    </row>
    <row r="12" spans="1:22" x14ac:dyDescent="0.2">
      <c r="A12" s="35" t="s">
        <v>270</v>
      </c>
      <c r="B12" s="18" t="s">
        <v>271</v>
      </c>
      <c r="C12" s="172">
        <f>+'bevételi segédtábla'!C15</f>
        <v>198244647</v>
      </c>
      <c r="D12" s="172">
        <f>+'bevételi segédtábla'!D15</f>
        <v>198244647</v>
      </c>
      <c r="E12" s="172">
        <f>+'bevételi segédtábla'!E15</f>
        <v>0</v>
      </c>
      <c r="F12" s="172">
        <f>+'bevételi segédtábla'!F15</f>
        <v>0</v>
      </c>
      <c r="G12" s="172"/>
      <c r="H12" s="172">
        <f>+'bevételi segédtábla'!H15</f>
        <v>110800513</v>
      </c>
      <c r="I12" s="172">
        <f>+'bevételi segédtábla'!I15</f>
        <v>0</v>
      </c>
      <c r="J12" s="172">
        <f>+'bevételi segédtábla'!J15</f>
        <v>0</v>
      </c>
      <c r="K12" s="172"/>
      <c r="L12" s="36">
        <f t="shared" si="0"/>
        <v>0.55890796889965966</v>
      </c>
      <c r="M12" s="36" t="e">
        <f t="shared" si="0"/>
        <v>#DIV/0!</v>
      </c>
      <c r="N12" s="36" t="e">
        <f t="shared" si="0"/>
        <v>#DIV/0!</v>
      </c>
      <c r="O12" s="172"/>
      <c r="P12" s="172">
        <f>+'bevételi segédtábla'!P15</f>
        <v>0</v>
      </c>
      <c r="Q12" s="172">
        <f>+'bevételi segédtábla'!Q15</f>
        <v>-198244647</v>
      </c>
      <c r="R12" s="172">
        <f>+'bevételi segédtábla'!R15</f>
        <v>0</v>
      </c>
      <c r="S12" s="172">
        <f>+'bevételi segédtábla'!S15</f>
        <v>-198244647</v>
      </c>
      <c r="T12" s="188">
        <f t="shared" si="1"/>
        <v>-1</v>
      </c>
      <c r="U12" s="172"/>
      <c r="V12" s="191">
        <f t="shared" si="2"/>
        <v>0</v>
      </c>
    </row>
    <row r="13" spans="1:22" x14ac:dyDescent="0.2">
      <c r="A13" s="35" t="s">
        <v>284</v>
      </c>
      <c r="B13" s="18" t="s">
        <v>285</v>
      </c>
      <c r="C13" s="172">
        <f>+'bevételi segédtábla'!C16</f>
        <v>112396000</v>
      </c>
      <c r="D13" s="172">
        <f>+'bevételi segédtábla'!D16</f>
        <v>111902000</v>
      </c>
      <c r="E13" s="172">
        <f>+'bevételi segédtábla'!E16</f>
        <v>0</v>
      </c>
      <c r="F13" s="172">
        <f>+'bevételi segédtábla'!F16</f>
        <v>0</v>
      </c>
      <c r="G13" s="172"/>
      <c r="H13" s="172">
        <f>+'bevételi segédtábla'!H16</f>
        <v>77405545</v>
      </c>
      <c r="I13" s="172">
        <f>+'bevételi segédtábla'!I16</f>
        <v>0</v>
      </c>
      <c r="J13" s="172">
        <f>+'bevételi segédtábla'!J16</f>
        <v>0</v>
      </c>
      <c r="K13" s="172"/>
      <c r="L13" s="36">
        <f t="shared" si="0"/>
        <v>0.6917261979231828</v>
      </c>
      <c r="M13" s="36" t="e">
        <f t="shared" si="0"/>
        <v>#DIV/0!</v>
      </c>
      <c r="N13" s="36" t="e">
        <f t="shared" si="0"/>
        <v>#DIV/0!</v>
      </c>
      <c r="O13" s="172"/>
      <c r="P13" s="172">
        <f>+'bevételi segédtábla'!P16</f>
        <v>-494000</v>
      </c>
      <c r="Q13" s="172">
        <f>+'bevételi segédtábla'!Q16</f>
        <v>-111902000</v>
      </c>
      <c r="R13" s="172">
        <f>+'bevételi segédtábla'!R16</f>
        <v>0</v>
      </c>
      <c r="S13" s="172">
        <f>+'bevételi segédtábla'!S16</f>
        <v>-112396000</v>
      </c>
      <c r="T13" s="188">
        <f t="shared" si="1"/>
        <v>-1</v>
      </c>
      <c r="U13" s="172"/>
      <c r="V13" s="191">
        <f t="shared" si="2"/>
        <v>0</v>
      </c>
    </row>
    <row r="14" spans="1:22" x14ac:dyDescent="0.2">
      <c r="A14" s="35" t="s">
        <v>311</v>
      </c>
      <c r="B14" s="18" t="s">
        <v>312</v>
      </c>
      <c r="C14" s="172">
        <f>+'bevételi segédtábla'!C17</f>
        <v>72638000</v>
      </c>
      <c r="D14" s="172">
        <f>+'bevételi segédtábla'!D17</f>
        <v>72638000</v>
      </c>
      <c r="E14" s="172">
        <f>+'bevételi segédtábla'!E17</f>
        <v>0</v>
      </c>
      <c r="F14" s="172">
        <f>+'bevételi segédtábla'!F17</f>
        <v>0</v>
      </c>
      <c r="G14" s="172"/>
      <c r="H14" s="172">
        <f>+'bevételi segédtábla'!H17</f>
        <v>16435054</v>
      </c>
      <c r="I14" s="172">
        <f>+'bevételi segédtábla'!I17</f>
        <v>0</v>
      </c>
      <c r="J14" s="172">
        <f>+'bevételi segédtábla'!J17</f>
        <v>0</v>
      </c>
      <c r="K14" s="172"/>
      <c r="L14" s="36">
        <f t="shared" si="0"/>
        <v>0.2262597263140505</v>
      </c>
      <c r="M14" s="36" t="e">
        <f t="shared" si="0"/>
        <v>#DIV/0!</v>
      </c>
      <c r="N14" s="36" t="e">
        <f t="shared" si="0"/>
        <v>#DIV/0!</v>
      </c>
      <c r="O14" s="172"/>
      <c r="P14" s="172">
        <f>+'bevételi segédtábla'!P17</f>
        <v>0</v>
      </c>
      <c r="Q14" s="172">
        <f>+'bevételi segédtábla'!Q17</f>
        <v>-72638000</v>
      </c>
      <c r="R14" s="172">
        <f>+'bevételi segédtábla'!R17</f>
        <v>0</v>
      </c>
      <c r="S14" s="172">
        <f>+'bevételi segédtábla'!S17</f>
        <v>-72638000</v>
      </c>
      <c r="T14" s="188">
        <f t="shared" si="1"/>
        <v>-1</v>
      </c>
      <c r="U14" s="172"/>
      <c r="V14" s="191">
        <f t="shared" si="2"/>
        <v>0</v>
      </c>
    </row>
    <row r="15" spans="1:22" x14ac:dyDescent="0.2">
      <c r="A15" s="35" t="s">
        <v>321</v>
      </c>
      <c r="B15" s="18" t="s">
        <v>322</v>
      </c>
      <c r="C15" s="172">
        <f>+'bevételi segédtábla'!C18</f>
        <v>0</v>
      </c>
      <c r="D15" s="172">
        <f>+'bevételi segédtábla'!D18</f>
        <v>0</v>
      </c>
      <c r="E15" s="172">
        <f>+'bevételi segédtábla'!E18</f>
        <v>0</v>
      </c>
      <c r="F15" s="172">
        <f>+'bevételi segédtábla'!F18</f>
        <v>0</v>
      </c>
      <c r="G15" s="172"/>
      <c r="H15" s="172">
        <f>+'bevételi segédtábla'!H18</f>
        <v>100000</v>
      </c>
      <c r="I15" s="172">
        <f>+'bevételi segédtábla'!I18</f>
        <v>0</v>
      </c>
      <c r="J15" s="172">
        <f>+'bevételi segédtábla'!J18</f>
        <v>0</v>
      </c>
      <c r="K15" s="172"/>
      <c r="L15" s="36" t="e">
        <f t="shared" si="0"/>
        <v>#DIV/0!</v>
      </c>
      <c r="M15" s="36" t="e">
        <f t="shared" si="0"/>
        <v>#DIV/0!</v>
      </c>
      <c r="N15" s="36" t="e">
        <f t="shared" si="0"/>
        <v>#DIV/0!</v>
      </c>
      <c r="O15" s="172"/>
      <c r="P15" s="172">
        <f>+'bevételi segédtábla'!P18</f>
        <v>0</v>
      </c>
      <c r="Q15" s="172">
        <f>+'bevételi segédtábla'!Q18</f>
        <v>0</v>
      </c>
      <c r="R15" s="172">
        <f>+'bevételi segédtábla'!R18</f>
        <v>0</v>
      </c>
      <c r="S15" s="172">
        <f>+'bevételi segédtábla'!S18</f>
        <v>0</v>
      </c>
      <c r="T15" s="188">
        <f t="shared" si="1"/>
        <v>0</v>
      </c>
      <c r="U15" s="172"/>
      <c r="V15" s="191">
        <f t="shared" si="2"/>
        <v>0</v>
      </c>
    </row>
    <row r="16" spans="1:22" x14ac:dyDescent="0.2">
      <c r="A16" s="35" t="s">
        <v>326</v>
      </c>
      <c r="B16" s="18" t="s">
        <v>327</v>
      </c>
      <c r="C16" s="172">
        <f>+'bevételi segédtábla'!C19</f>
        <v>0</v>
      </c>
      <c r="D16" s="172">
        <f>+'bevételi segédtábla'!D19</f>
        <v>0</v>
      </c>
      <c r="E16" s="172">
        <f>+'bevételi segédtábla'!E19</f>
        <v>0</v>
      </c>
      <c r="F16" s="172">
        <f>+'bevételi segédtábla'!F19</f>
        <v>0</v>
      </c>
      <c r="G16" s="172"/>
      <c r="H16" s="172">
        <f>+'bevételi segédtábla'!H19</f>
        <v>102000</v>
      </c>
      <c r="I16" s="172">
        <f>+'bevételi segédtábla'!I19</f>
        <v>0</v>
      </c>
      <c r="J16" s="172">
        <f>+'bevételi segédtábla'!J19</f>
        <v>0</v>
      </c>
      <c r="K16" s="172"/>
      <c r="L16" s="36" t="e">
        <f t="shared" si="0"/>
        <v>#DIV/0!</v>
      </c>
      <c r="M16" s="36" t="e">
        <f t="shared" si="0"/>
        <v>#DIV/0!</v>
      </c>
      <c r="N16" s="36" t="e">
        <f t="shared" si="0"/>
        <v>#DIV/0!</v>
      </c>
      <c r="O16" s="172"/>
      <c r="P16" s="172">
        <f>+'bevételi segédtábla'!P19</f>
        <v>0</v>
      </c>
      <c r="Q16" s="172">
        <f>+'bevételi segédtábla'!Q19</f>
        <v>0</v>
      </c>
      <c r="R16" s="172">
        <f>+'bevételi segédtábla'!R19</f>
        <v>0</v>
      </c>
      <c r="S16" s="172">
        <f>+'bevételi segédtábla'!S19</f>
        <v>0</v>
      </c>
      <c r="T16" s="188">
        <f t="shared" si="1"/>
        <v>0</v>
      </c>
      <c r="U16" s="172"/>
      <c r="V16" s="191">
        <f t="shared" si="2"/>
        <v>0</v>
      </c>
    </row>
    <row r="17" spans="1:22" x14ac:dyDescent="0.2">
      <c r="A17" s="35" t="s">
        <v>333</v>
      </c>
      <c r="B17" s="18" t="s">
        <v>334</v>
      </c>
      <c r="C17" s="172">
        <f>+'bevételi segédtábla'!C20</f>
        <v>575059181</v>
      </c>
      <c r="D17" s="172">
        <f>+'bevételi segédtábla'!D20</f>
        <v>595512181</v>
      </c>
      <c r="E17" s="172">
        <f>+'bevételi segédtábla'!E20</f>
        <v>0</v>
      </c>
      <c r="F17" s="172">
        <f>+'bevételi segédtábla'!F20</f>
        <v>0</v>
      </c>
      <c r="G17" s="172"/>
      <c r="H17" s="172">
        <f>+'bevételi segédtábla'!H20</f>
        <v>347273157</v>
      </c>
      <c r="I17" s="172">
        <f>+'bevételi segédtábla'!I20</f>
        <v>0</v>
      </c>
      <c r="J17" s="172">
        <f>+'bevételi segédtábla'!J20</f>
        <v>0</v>
      </c>
      <c r="K17" s="172"/>
      <c r="L17" s="36">
        <f t="shared" si="0"/>
        <v>0.58315038395495056</v>
      </c>
      <c r="M17" s="36" t="e">
        <f t="shared" si="0"/>
        <v>#DIV/0!</v>
      </c>
      <c r="N17" s="36" t="e">
        <f t="shared" si="0"/>
        <v>#DIV/0!</v>
      </c>
      <c r="O17" s="172"/>
      <c r="P17" s="172">
        <f>+'bevételi segédtábla'!P20</f>
        <v>20453000</v>
      </c>
      <c r="Q17" s="172">
        <f>+'bevételi segédtábla'!Q20</f>
        <v>-584179344</v>
      </c>
      <c r="R17" s="172">
        <f>+'bevételi segédtábla'!R20</f>
        <v>0</v>
      </c>
      <c r="S17" s="172">
        <f>+'bevételi segédtábla'!S20</f>
        <v>-563726344</v>
      </c>
      <c r="T17" s="188">
        <f t="shared" si="1"/>
        <v>-0.98029274659993648</v>
      </c>
      <c r="U17" s="172"/>
      <c r="V17" s="191">
        <f t="shared" si="2"/>
        <v>11332837</v>
      </c>
    </row>
    <row r="18" spans="1:22" ht="25.5" x14ac:dyDescent="0.2">
      <c r="A18" s="35"/>
      <c r="B18" s="398" t="s">
        <v>451</v>
      </c>
      <c r="C18" s="172">
        <f>+'bevételi segédtábla'!C21</f>
        <v>-454166162</v>
      </c>
      <c r="D18" s="172">
        <f>+'bevételi segédtábla'!D21</f>
        <v>-457619162</v>
      </c>
      <c r="E18" s="172">
        <f>+'bevételi segédtábla'!E21</f>
        <v>0</v>
      </c>
      <c r="F18" s="172">
        <f>+'bevételi segédtábla'!F21</f>
        <v>0</v>
      </c>
      <c r="G18" s="172"/>
      <c r="H18" s="172">
        <f>+'bevételi segédtábla'!H21</f>
        <v>-237712975</v>
      </c>
      <c r="I18" s="172">
        <f>+'bevételi segédtábla'!I21</f>
        <v>0</v>
      </c>
      <c r="J18" s="172">
        <f>+'bevételi segédtábla'!J21</f>
        <v>0</v>
      </c>
      <c r="K18" s="172"/>
      <c r="L18" s="36">
        <f t="shared" ref="L18" si="3">H18/D18</f>
        <v>0.51945590294140698</v>
      </c>
      <c r="M18" s="36" t="e">
        <f t="shared" ref="M18" si="4">I18/E18</f>
        <v>#DIV/0!</v>
      </c>
      <c r="N18" s="36" t="e">
        <f t="shared" ref="N18" si="5">J18/F18</f>
        <v>#DIV/0!</v>
      </c>
      <c r="O18" s="172"/>
      <c r="P18" s="172">
        <f>+'bevételi segédtábla'!P21</f>
        <v>-3453000</v>
      </c>
      <c r="Q18" s="172">
        <f>+'bevételi segédtábla'!Q21</f>
        <v>457619162</v>
      </c>
      <c r="R18" s="172">
        <f>+'bevételi segédtábla'!R21</f>
        <v>0</v>
      </c>
      <c r="S18" s="172">
        <f>+'bevételi segédtábla'!S21</f>
        <v>454166162</v>
      </c>
      <c r="T18" s="188"/>
      <c r="U18" s="172"/>
      <c r="V18" s="191">
        <f t="shared" si="2"/>
        <v>0</v>
      </c>
    </row>
    <row r="19" spans="1:22" x14ac:dyDescent="0.2">
      <c r="A19" s="79"/>
      <c r="B19" s="80" t="s">
        <v>377</v>
      </c>
      <c r="C19" s="173">
        <f>SUM(C10:C18)</f>
        <v>1256317924</v>
      </c>
      <c r="D19" s="173">
        <f t="shared" ref="D19:E19" si="6">SUM(D10:D18)</f>
        <v>1690615637</v>
      </c>
      <c r="E19" s="173">
        <f t="shared" si="6"/>
        <v>0</v>
      </c>
      <c r="F19" s="173">
        <f>SUM(F10:F18)</f>
        <v>0</v>
      </c>
      <c r="G19" s="173"/>
      <c r="H19" s="173">
        <f>SUM(H10:H18)</f>
        <v>1130876173</v>
      </c>
      <c r="I19" s="173">
        <f t="shared" ref="I19:J19" si="7">SUM(I10:I18)</f>
        <v>0</v>
      </c>
      <c r="J19" s="173">
        <f t="shared" si="7"/>
        <v>0</v>
      </c>
      <c r="K19" s="173"/>
      <c r="L19" s="34">
        <f>H19/D19</f>
        <v>0.66891382538419053</v>
      </c>
      <c r="M19" s="34" t="e">
        <f>I19/E19</f>
        <v>#DIV/0!</v>
      </c>
      <c r="N19" s="34" t="e">
        <f>J19/F19</f>
        <v>#DIV/0!</v>
      </c>
      <c r="O19" s="173"/>
      <c r="P19" s="173">
        <f>SUM(P10:P18)</f>
        <v>434297713</v>
      </c>
      <c r="Q19" s="173">
        <f t="shared" ref="Q19:S19" si="8">SUM(Q10:Q18)</f>
        <v>-1679282800</v>
      </c>
      <c r="R19" s="173">
        <f t="shared" si="8"/>
        <v>0</v>
      </c>
      <c r="S19" s="173">
        <f t="shared" si="8"/>
        <v>-1244985087</v>
      </c>
      <c r="T19" s="188">
        <f t="shared" si="1"/>
        <v>-0.99097932395653698</v>
      </c>
      <c r="U19" s="173"/>
      <c r="V19" s="191">
        <f t="shared" si="2"/>
        <v>11332837</v>
      </c>
    </row>
    <row r="20" spans="1:22" x14ac:dyDescent="0.2">
      <c r="A20" s="193"/>
      <c r="B20" s="193"/>
      <c r="C20" s="193"/>
      <c r="D20" s="193"/>
      <c r="E20" s="193"/>
      <c r="F20" s="193"/>
      <c r="G20" s="193"/>
      <c r="H20" s="409"/>
      <c r="I20" s="409"/>
      <c r="J20" s="410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</row>
    <row r="21" spans="1:22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U21"/>
    </row>
    <row r="22" spans="1:22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U22"/>
    </row>
    <row r="23" spans="1:22" ht="16.350000000000001" customHeight="1" x14ac:dyDescent="0.2">
      <c r="A23" s="707" t="s">
        <v>375</v>
      </c>
      <c r="B23" s="708"/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9"/>
      <c r="O23" s="709"/>
      <c r="P23" s="709"/>
      <c r="Q23" s="709"/>
      <c r="R23" s="709"/>
      <c r="S23" s="709"/>
      <c r="T23" s="709"/>
      <c r="U23" s="709"/>
      <c r="V23" s="710"/>
    </row>
    <row r="24" spans="1:22" ht="16.350000000000001" customHeight="1" x14ac:dyDescent="0.2">
      <c r="A24" s="170"/>
      <c r="B24" s="171"/>
      <c r="C24" s="695" t="s">
        <v>412</v>
      </c>
      <c r="D24" s="696"/>
      <c r="E24" s="696"/>
      <c r="F24" s="697"/>
      <c r="G24" s="70"/>
      <c r="H24" s="689" t="s">
        <v>411</v>
      </c>
      <c r="I24" s="690"/>
      <c r="J24" s="690"/>
      <c r="K24" s="690"/>
      <c r="L24" s="690"/>
      <c r="M24" s="690"/>
      <c r="N24" s="691"/>
      <c r="O24" s="177"/>
      <c r="P24" s="695" t="s">
        <v>408</v>
      </c>
      <c r="Q24" s="696"/>
      <c r="R24" s="696"/>
      <c r="S24" s="696"/>
      <c r="T24" s="697"/>
      <c r="U24" s="175"/>
      <c r="V24" s="682" t="s">
        <v>414</v>
      </c>
    </row>
    <row r="25" spans="1:22" ht="13.35" customHeight="1" x14ac:dyDescent="0.2">
      <c r="A25" s="66"/>
      <c r="B25" s="67"/>
      <c r="C25" s="698"/>
      <c r="D25" s="699"/>
      <c r="E25" s="699"/>
      <c r="F25" s="700"/>
      <c r="G25" s="167"/>
      <c r="H25" s="692" t="s">
        <v>425</v>
      </c>
      <c r="I25" s="693"/>
      <c r="J25" s="694"/>
      <c r="K25" s="168"/>
      <c r="L25" s="692" t="s">
        <v>424</v>
      </c>
      <c r="M25" s="693"/>
      <c r="N25" s="694"/>
      <c r="O25" s="167"/>
      <c r="P25" s="698"/>
      <c r="Q25" s="699"/>
      <c r="R25" s="699"/>
      <c r="S25" s="699"/>
      <c r="T25" s="700"/>
      <c r="U25" s="174"/>
      <c r="V25" s="683"/>
    </row>
    <row r="26" spans="1:22" ht="57" x14ac:dyDescent="0.2">
      <c r="A26" s="194" t="s">
        <v>427</v>
      </c>
      <c r="B26" s="200" t="s">
        <v>371</v>
      </c>
      <c r="C26" s="195" t="s">
        <v>483</v>
      </c>
      <c r="D26" s="196" t="s">
        <v>484</v>
      </c>
      <c r="E26" s="196" t="s">
        <v>485</v>
      </c>
      <c r="F26" s="196" t="s">
        <v>486</v>
      </c>
      <c r="G26" s="196"/>
      <c r="H26" s="197" t="s">
        <v>487</v>
      </c>
      <c r="I26" s="197" t="s">
        <v>488</v>
      </c>
      <c r="J26" s="197" t="s">
        <v>489</v>
      </c>
      <c r="K26" s="201"/>
      <c r="L26" s="198" t="s">
        <v>490</v>
      </c>
      <c r="M26" s="198" t="s">
        <v>522</v>
      </c>
      <c r="N26" s="198" t="s">
        <v>495</v>
      </c>
      <c r="O26" s="201"/>
      <c r="P26" s="197" t="s">
        <v>491</v>
      </c>
      <c r="Q26" s="197" t="s">
        <v>493</v>
      </c>
      <c r="R26" s="197" t="s">
        <v>492</v>
      </c>
      <c r="S26" s="197" t="s">
        <v>409</v>
      </c>
      <c r="T26" s="198" t="s">
        <v>426</v>
      </c>
      <c r="U26" s="201"/>
      <c r="V26" s="684"/>
    </row>
    <row r="27" spans="1:22" x14ac:dyDescent="0.2">
      <c r="A27" s="14" t="s">
        <v>0</v>
      </c>
      <c r="B27" s="18" t="s">
        <v>3</v>
      </c>
      <c r="C27" s="145">
        <f>+'kiadási segédtábla'!C13</f>
        <v>419583100</v>
      </c>
      <c r="D27" s="145">
        <f>+'kiadási segédtábla'!D13</f>
        <v>419631100</v>
      </c>
      <c r="E27" s="172">
        <f>+'kiadási segédtábla'!E13</f>
        <v>0</v>
      </c>
      <c r="F27" s="145">
        <f>+'kiadási segédtábla'!F13</f>
        <v>0</v>
      </c>
      <c r="G27" s="145"/>
      <c r="H27" s="145">
        <f>+'kiadási segédtábla'!H13</f>
        <v>196211923</v>
      </c>
      <c r="I27" s="145">
        <f>+'kiadási segédtábla'!I13</f>
        <v>0</v>
      </c>
      <c r="J27" s="145">
        <f>+'kiadási segédtábla'!J13</f>
        <v>0</v>
      </c>
      <c r="K27" s="146"/>
      <c r="L27" s="31">
        <f t="shared" ref="L27:N33" si="9">H27/D27</f>
        <v>0.46758193804034065</v>
      </c>
      <c r="M27" s="31" t="e">
        <f t="shared" si="9"/>
        <v>#DIV/0!</v>
      </c>
      <c r="N27" s="31" t="e">
        <f t="shared" si="9"/>
        <v>#DIV/0!</v>
      </c>
      <c r="O27" s="146"/>
      <c r="P27" s="150">
        <f t="shared" ref="P27:P35" si="10">+(D27-C27)*P$8</f>
        <v>48000</v>
      </c>
      <c r="Q27" s="150">
        <f t="shared" ref="Q27:Q35" si="11">+(E27-D27)*Q$8</f>
        <v>-419631100</v>
      </c>
      <c r="R27" s="150">
        <f t="shared" ref="R27:R35" si="12">+(F27-E27)*R$8</f>
        <v>0</v>
      </c>
      <c r="S27" s="150">
        <f t="shared" ref="S27:S35" si="13">SUM(P27:R27)</f>
        <v>-419583100</v>
      </c>
      <c r="T27" s="169">
        <f t="shared" ref="T27:T41" si="14">IF(C27=0,0,+S27/C27)</f>
        <v>-1</v>
      </c>
      <c r="U27" s="172"/>
      <c r="V27" s="178">
        <f t="shared" ref="V27:V41" si="15">+S27-E27+C27</f>
        <v>0</v>
      </c>
    </row>
    <row r="28" spans="1:22" ht="15" customHeight="1" x14ac:dyDescent="0.2">
      <c r="A28" s="14" t="s">
        <v>26</v>
      </c>
      <c r="B28" s="18" t="s">
        <v>27</v>
      </c>
      <c r="C28" s="145">
        <f>+'kiadási segédtábla'!C14</f>
        <v>83972000</v>
      </c>
      <c r="D28" s="145">
        <f>+'kiadási segédtábla'!D14</f>
        <v>83972000</v>
      </c>
      <c r="E28" s="172">
        <f>+'kiadási segédtábla'!E14</f>
        <v>0</v>
      </c>
      <c r="F28" s="145">
        <f>+'kiadási segédtábla'!F14</f>
        <v>0</v>
      </c>
      <c r="G28" s="145"/>
      <c r="H28" s="145">
        <f>+'kiadási segédtábla'!H14</f>
        <v>45860944</v>
      </c>
      <c r="I28" s="145">
        <f>+'kiadási segédtábla'!I14</f>
        <v>0</v>
      </c>
      <c r="J28" s="145">
        <f>+'kiadási segédtábla'!J14</f>
        <v>0</v>
      </c>
      <c r="K28" s="146"/>
      <c r="L28" s="31">
        <f t="shared" si="9"/>
        <v>0.54614566760348693</v>
      </c>
      <c r="M28" s="31" t="e">
        <f t="shared" si="9"/>
        <v>#DIV/0!</v>
      </c>
      <c r="N28" s="31" t="e">
        <f t="shared" si="9"/>
        <v>#DIV/0!</v>
      </c>
      <c r="O28" s="146"/>
      <c r="P28" s="150">
        <f t="shared" si="10"/>
        <v>0</v>
      </c>
      <c r="Q28" s="150">
        <f t="shared" si="11"/>
        <v>-83972000</v>
      </c>
      <c r="R28" s="150">
        <f t="shared" si="12"/>
        <v>0</v>
      </c>
      <c r="S28" s="150">
        <f t="shared" si="13"/>
        <v>-83972000</v>
      </c>
      <c r="T28" s="169">
        <f t="shared" si="14"/>
        <v>-1</v>
      </c>
      <c r="U28" s="172"/>
      <c r="V28" s="178">
        <f t="shared" si="15"/>
        <v>0</v>
      </c>
    </row>
    <row r="29" spans="1:22" x14ac:dyDescent="0.2">
      <c r="A29" s="14" t="s">
        <v>29</v>
      </c>
      <c r="B29" s="18" t="s">
        <v>30</v>
      </c>
      <c r="C29" s="145">
        <f>+'kiadási segédtábla'!C15</f>
        <v>235214999</v>
      </c>
      <c r="D29" s="401">
        <f>+'kiadási segédtábla'!D15</f>
        <v>280010999</v>
      </c>
      <c r="E29" s="403">
        <f>+'kiadási segédtábla'!E15</f>
        <v>0</v>
      </c>
      <c r="F29" s="401">
        <f>+'kiadási segédtábla'!F15</f>
        <v>0</v>
      </c>
      <c r="G29" s="145"/>
      <c r="H29" s="145">
        <f>+'kiadási segédtábla'!H15</f>
        <v>151106445</v>
      </c>
      <c r="I29" s="145">
        <f>+'kiadási segédtábla'!I15</f>
        <v>0</v>
      </c>
      <c r="J29" s="145">
        <f>+'kiadási segédtábla'!J15</f>
        <v>0</v>
      </c>
      <c r="K29" s="146"/>
      <c r="L29" s="47">
        <f t="shared" si="9"/>
        <v>0.53964467660072168</v>
      </c>
      <c r="M29" s="47" t="e">
        <f t="shared" si="9"/>
        <v>#DIV/0!</v>
      </c>
      <c r="N29" s="47" t="e">
        <f t="shared" si="9"/>
        <v>#DIV/0!</v>
      </c>
      <c r="O29" s="146"/>
      <c r="P29" s="150">
        <f t="shared" si="10"/>
        <v>44796000</v>
      </c>
      <c r="Q29" s="150">
        <f t="shared" si="11"/>
        <v>-280010999</v>
      </c>
      <c r="R29" s="150">
        <f t="shared" si="12"/>
        <v>0</v>
      </c>
      <c r="S29" s="150">
        <f t="shared" si="13"/>
        <v>-235214999</v>
      </c>
      <c r="T29" s="169">
        <f t="shared" si="14"/>
        <v>-1</v>
      </c>
      <c r="U29" s="172"/>
      <c r="V29" s="178">
        <f t="shared" si="15"/>
        <v>0</v>
      </c>
    </row>
    <row r="30" spans="1:22" x14ac:dyDescent="0.2">
      <c r="A30" s="14" t="s">
        <v>111</v>
      </c>
      <c r="B30" s="18" t="s">
        <v>112</v>
      </c>
      <c r="C30" s="145">
        <f>+'kiadási segédtábla'!C16</f>
        <v>19500000</v>
      </c>
      <c r="D30" s="145">
        <f>+'kiadási segédtábla'!D16</f>
        <v>20000000</v>
      </c>
      <c r="E30" s="172">
        <f>+'kiadási segédtábla'!E16</f>
        <v>0</v>
      </c>
      <c r="F30" s="145">
        <f>+'kiadási segédtábla'!F16</f>
        <v>0</v>
      </c>
      <c r="G30" s="145"/>
      <c r="H30" s="145">
        <f>+'kiadási segédtábla'!H16</f>
        <v>8657425</v>
      </c>
      <c r="I30" s="145">
        <f>+'kiadási segédtábla'!I16</f>
        <v>0</v>
      </c>
      <c r="J30" s="145">
        <f>+'kiadási segédtábla'!J16</f>
        <v>0</v>
      </c>
      <c r="K30" s="145"/>
      <c r="L30" s="31">
        <f t="shared" si="9"/>
        <v>0.43287124999999999</v>
      </c>
      <c r="M30" s="31" t="e">
        <f t="shared" si="9"/>
        <v>#DIV/0!</v>
      </c>
      <c r="N30" s="31" t="e">
        <f t="shared" si="9"/>
        <v>#DIV/0!</v>
      </c>
      <c r="O30" s="145"/>
      <c r="P30" s="150">
        <f t="shared" si="10"/>
        <v>500000</v>
      </c>
      <c r="Q30" s="150">
        <f t="shared" si="11"/>
        <v>-20000000</v>
      </c>
      <c r="R30" s="150">
        <f t="shared" si="12"/>
        <v>0</v>
      </c>
      <c r="S30" s="150">
        <f t="shared" si="13"/>
        <v>-19500000</v>
      </c>
      <c r="T30" s="169">
        <f t="shared" si="14"/>
        <v>-1</v>
      </c>
      <c r="U30" s="172"/>
      <c r="V30" s="178">
        <f t="shared" si="15"/>
        <v>0</v>
      </c>
    </row>
    <row r="31" spans="1:22" x14ac:dyDescent="0.2">
      <c r="A31" s="14" t="s">
        <v>376</v>
      </c>
      <c r="B31" s="18" t="s">
        <v>141</v>
      </c>
      <c r="C31" s="145">
        <f>+'kiadási segédtábla'!C17</f>
        <v>174456925</v>
      </c>
      <c r="D31" s="145">
        <f>+'kiadási segédtábla'!D17</f>
        <v>144494000</v>
      </c>
      <c r="E31" s="172">
        <f>+'kiadási segédtábla'!E17</f>
        <v>0</v>
      </c>
      <c r="F31" s="145">
        <f>+'kiadási segédtábla'!F17</f>
        <v>0</v>
      </c>
      <c r="G31" s="145"/>
      <c r="H31" s="145">
        <f>+'kiadási segédtábla'!H17</f>
        <v>97482764</v>
      </c>
      <c r="I31" s="145">
        <f>+'kiadási segédtábla'!I17</f>
        <v>0</v>
      </c>
      <c r="J31" s="145">
        <f>+'kiadási segédtábla'!J17</f>
        <v>0</v>
      </c>
      <c r="K31" s="145"/>
      <c r="L31" s="31">
        <f t="shared" si="9"/>
        <v>0.6746492172685371</v>
      </c>
      <c r="M31" s="31" t="e">
        <f t="shared" si="9"/>
        <v>#DIV/0!</v>
      </c>
      <c r="N31" s="31" t="e">
        <f t="shared" si="9"/>
        <v>#DIV/0!</v>
      </c>
      <c r="O31" s="145"/>
      <c r="P31" s="150">
        <f t="shared" si="10"/>
        <v>-29962925</v>
      </c>
      <c r="Q31" s="150">
        <f t="shared" si="11"/>
        <v>-144494000</v>
      </c>
      <c r="R31" s="150">
        <f t="shared" si="12"/>
        <v>0</v>
      </c>
      <c r="S31" s="150">
        <f t="shared" si="13"/>
        <v>-174456925</v>
      </c>
      <c r="T31" s="169">
        <f t="shared" si="14"/>
        <v>-1</v>
      </c>
      <c r="U31" s="172"/>
      <c r="V31" s="178">
        <f t="shared" si="15"/>
        <v>0</v>
      </c>
    </row>
    <row r="32" spans="1:22" x14ac:dyDescent="0.2">
      <c r="A32" s="14" t="s">
        <v>158</v>
      </c>
      <c r="B32" s="18" t="s">
        <v>159</v>
      </c>
      <c r="C32" s="145">
        <f>+'kiadási segédtábla'!C18</f>
        <v>215110900</v>
      </c>
      <c r="D32" s="145">
        <f>+'kiadási segédtábla'!D18</f>
        <v>428699652</v>
      </c>
      <c r="E32" s="172">
        <f>+'kiadási segédtábla'!E18</f>
        <v>0</v>
      </c>
      <c r="F32" s="145">
        <f>+'kiadási segédtábla'!F18</f>
        <v>0</v>
      </c>
      <c r="G32" s="401"/>
      <c r="H32" s="145">
        <f>+'kiadási segédtábla'!H18</f>
        <v>8380363</v>
      </c>
      <c r="I32" s="145">
        <f>+'kiadási segédtábla'!I18</f>
        <v>0</v>
      </c>
      <c r="J32" s="145">
        <f>+'kiadási segédtábla'!J18</f>
        <v>0</v>
      </c>
      <c r="K32" s="145"/>
      <c r="L32" s="31">
        <f t="shared" si="9"/>
        <v>1.954833170706656E-2</v>
      </c>
      <c r="M32" s="31" t="e">
        <f t="shared" si="9"/>
        <v>#DIV/0!</v>
      </c>
      <c r="N32" s="31" t="e">
        <f t="shared" si="9"/>
        <v>#DIV/0!</v>
      </c>
      <c r="O32" s="145"/>
      <c r="P32" s="150">
        <f t="shared" si="10"/>
        <v>213588752</v>
      </c>
      <c r="Q32" s="150">
        <f t="shared" si="11"/>
        <v>-428699652</v>
      </c>
      <c r="R32" s="150">
        <f t="shared" si="12"/>
        <v>0</v>
      </c>
      <c r="S32" s="150">
        <f t="shared" si="13"/>
        <v>-215110900</v>
      </c>
      <c r="T32" s="169">
        <f t="shared" si="14"/>
        <v>-1</v>
      </c>
      <c r="U32" s="172"/>
      <c r="V32" s="178">
        <f t="shared" si="15"/>
        <v>0</v>
      </c>
    </row>
    <row r="33" spans="1:22" x14ac:dyDescent="0.2">
      <c r="A33" s="14" t="s">
        <v>173</v>
      </c>
      <c r="B33" s="18" t="s">
        <v>174</v>
      </c>
      <c r="C33" s="145">
        <f>+'kiadási segédtábla'!C19</f>
        <v>108480000</v>
      </c>
      <c r="D33" s="145">
        <f>+'kiadási segédtábla'!D19</f>
        <v>296686866</v>
      </c>
      <c r="E33" s="172">
        <f>+'kiadási segédtábla'!E19</f>
        <v>0</v>
      </c>
      <c r="F33" s="145">
        <f>+'kiadási segédtábla'!F19</f>
        <v>0</v>
      </c>
      <c r="G33" s="145"/>
      <c r="H33" s="145">
        <f>+'kiadási segédtábla'!H19</f>
        <v>3723918</v>
      </c>
      <c r="I33" s="145">
        <f>+'kiadási segédtábla'!I19</f>
        <v>0</v>
      </c>
      <c r="J33" s="145">
        <f>+'kiadási segédtábla'!J19</f>
        <v>0</v>
      </c>
      <c r="K33" s="145"/>
      <c r="L33" s="31">
        <f t="shared" si="9"/>
        <v>1.2551677970132995E-2</v>
      </c>
      <c r="M33" s="31" t="e">
        <f t="shared" si="9"/>
        <v>#DIV/0!</v>
      </c>
      <c r="N33" s="31" t="e">
        <f t="shared" si="9"/>
        <v>#DIV/0!</v>
      </c>
      <c r="O33" s="145"/>
      <c r="P33" s="150">
        <f t="shared" si="10"/>
        <v>188206866</v>
      </c>
      <c r="Q33" s="150">
        <f t="shared" si="11"/>
        <v>-296686866</v>
      </c>
      <c r="R33" s="150">
        <f t="shared" si="12"/>
        <v>0</v>
      </c>
      <c r="S33" s="150">
        <f t="shared" si="13"/>
        <v>-108480000</v>
      </c>
      <c r="T33" s="169">
        <f t="shared" si="14"/>
        <v>-1</v>
      </c>
      <c r="U33" s="172"/>
      <c r="V33" s="178">
        <f t="shared" si="15"/>
        <v>0</v>
      </c>
    </row>
    <row r="34" spans="1:22" x14ac:dyDescent="0.2">
      <c r="A34" s="14" t="s">
        <v>183</v>
      </c>
      <c r="B34" s="18" t="s">
        <v>184</v>
      </c>
      <c r="C34" s="145">
        <f>+'kiadási segédtábla'!C20</f>
        <v>0</v>
      </c>
      <c r="D34" s="145">
        <f>+'kiadási segédtábla'!D20</f>
        <v>0</v>
      </c>
      <c r="E34" s="145">
        <f>+'kiadási segédtábla'!E20</f>
        <v>0</v>
      </c>
      <c r="F34" s="145">
        <f>+'kiadási segédtábla'!F20</f>
        <v>0</v>
      </c>
      <c r="G34" s="145"/>
      <c r="H34" s="145">
        <f>+'kiadási segédtábla'!H20</f>
        <v>0</v>
      </c>
      <c r="I34" s="145">
        <f>+'kiadási segédtábla'!I20</f>
        <v>0</v>
      </c>
      <c r="J34" s="145">
        <f>+'kiadási segédtábla'!J20</f>
        <v>0</v>
      </c>
      <c r="K34" s="145"/>
      <c r="L34" s="31">
        <v>0</v>
      </c>
      <c r="M34" s="31">
        <v>0</v>
      </c>
      <c r="N34" s="31">
        <v>0</v>
      </c>
      <c r="O34" s="145"/>
      <c r="P34" s="150">
        <f t="shared" si="10"/>
        <v>0</v>
      </c>
      <c r="Q34" s="150">
        <f t="shared" si="11"/>
        <v>0</v>
      </c>
      <c r="R34" s="150">
        <f t="shared" si="12"/>
        <v>0</v>
      </c>
      <c r="S34" s="150">
        <f t="shared" si="13"/>
        <v>0</v>
      </c>
      <c r="T34" s="169">
        <f t="shared" si="14"/>
        <v>0</v>
      </c>
      <c r="U34" s="172"/>
      <c r="V34" s="178">
        <f t="shared" si="15"/>
        <v>0</v>
      </c>
    </row>
    <row r="35" spans="1:22" x14ac:dyDescent="0.2">
      <c r="A35" s="14" t="s">
        <v>201</v>
      </c>
      <c r="B35" s="18" t="s">
        <v>202</v>
      </c>
      <c r="C35" s="145">
        <f>+'kiadási segédtábla'!C21</f>
        <v>454166162</v>
      </c>
      <c r="D35" s="145">
        <f>+'kiadási segédtábla'!D21</f>
        <v>474740182</v>
      </c>
      <c r="E35" s="145">
        <f>+'kiadási segédtábla'!E21</f>
        <v>0</v>
      </c>
      <c r="F35" s="145">
        <f>+'kiadási segédtábla'!F21</f>
        <v>0</v>
      </c>
      <c r="G35" s="145"/>
      <c r="H35" s="145">
        <f>+'kiadási segédtábla'!H21</f>
        <v>254833995</v>
      </c>
      <c r="I35" s="145">
        <f>+'kiadási segédtábla'!I21</f>
        <v>0</v>
      </c>
      <c r="J35" s="145">
        <f>+'kiadási segédtábla'!J21</f>
        <v>0</v>
      </c>
      <c r="K35" s="145"/>
      <c r="L35" s="31">
        <f t="shared" ref="L35:N37" si="16">+H35/D35</f>
        <v>0.53678623521275892</v>
      </c>
      <c r="M35" s="31" t="e">
        <f t="shared" si="16"/>
        <v>#DIV/0!</v>
      </c>
      <c r="N35" s="31" t="e">
        <f t="shared" si="16"/>
        <v>#DIV/0!</v>
      </c>
      <c r="O35" s="145"/>
      <c r="P35" s="150">
        <f t="shared" si="10"/>
        <v>20574020</v>
      </c>
      <c r="Q35" s="150">
        <f t="shared" si="11"/>
        <v>-474740182</v>
      </c>
      <c r="R35" s="150">
        <f t="shared" si="12"/>
        <v>0</v>
      </c>
      <c r="S35" s="150">
        <f t="shared" si="13"/>
        <v>-454166162</v>
      </c>
      <c r="T35" s="169">
        <f t="shared" si="14"/>
        <v>-1</v>
      </c>
      <c r="U35" s="172"/>
      <c r="V35" s="178">
        <f t="shared" si="15"/>
        <v>0</v>
      </c>
    </row>
    <row r="36" spans="1:22" ht="25.5" x14ac:dyDescent="0.2">
      <c r="A36" s="14"/>
      <c r="B36" s="398" t="s">
        <v>451</v>
      </c>
      <c r="C36" s="145">
        <f>+'kiadási segédtábla'!C22</f>
        <v>-454166162</v>
      </c>
      <c r="D36" s="145">
        <f>+'kiadási segédtábla'!D22</f>
        <v>-457619162</v>
      </c>
      <c r="E36" s="145">
        <f>+'kiadási segédtábla'!E22</f>
        <v>0</v>
      </c>
      <c r="F36" s="145">
        <f>-'kiadási segédtábla'!F145</f>
        <v>0</v>
      </c>
      <c r="G36" s="145"/>
      <c r="H36" s="145">
        <f>-'kiadási segédtábla'!H145</f>
        <v>-237712975</v>
      </c>
      <c r="I36" s="145">
        <f>-'kiadási segédtábla'!I145</f>
        <v>0</v>
      </c>
      <c r="J36" s="145">
        <f>-'kiadási segédtábla'!J145</f>
        <v>0</v>
      </c>
      <c r="K36" s="145"/>
      <c r="L36" s="31">
        <f t="shared" si="16"/>
        <v>0.51945590294140698</v>
      </c>
      <c r="M36" s="31" t="e">
        <f t="shared" si="16"/>
        <v>#DIV/0!</v>
      </c>
      <c r="N36" s="31" t="e">
        <f t="shared" si="16"/>
        <v>#DIV/0!</v>
      </c>
      <c r="O36" s="145"/>
      <c r="P36" s="150">
        <f t="shared" ref="P36" si="17">+(D36-C36)*P$8</f>
        <v>-3453000</v>
      </c>
      <c r="Q36" s="150">
        <f t="shared" ref="Q36" si="18">+(E36-D36)*Q$8</f>
        <v>457619162</v>
      </c>
      <c r="R36" s="150">
        <f t="shared" ref="R36" si="19">+(F36-E36)*R$8</f>
        <v>0</v>
      </c>
      <c r="S36" s="150">
        <f t="shared" ref="S36" si="20">SUM(P36:R36)</f>
        <v>454166162</v>
      </c>
      <c r="T36" s="169"/>
      <c r="U36" s="172"/>
      <c r="V36" s="178"/>
    </row>
    <row r="37" spans="1:22" x14ac:dyDescent="0.2">
      <c r="A37" s="7"/>
      <c r="B37" s="3" t="s">
        <v>378</v>
      </c>
      <c r="C37" s="82">
        <f>SUM(C27:C36)</f>
        <v>1256317924</v>
      </c>
      <c r="D37" s="82">
        <f t="shared" ref="D37:F37" si="21">SUM(D27:D36)</f>
        <v>1690615637</v>
      </c>
      <c r="E37" s="82">
        <f t="shared" si="21"/>
        <v>0</v>
      </c>
      <c r="F37" s="82">
        <f t="shared" si="21"/>
        <v>0</v>
      </c>
      <c r="G37" s="82"/>
      <c r="H37" s="82">
        <f t="shared" ref="H37" si="22">SUM(H27:H36)</f>
        <v>528544802</v>
      </c>
      <c r="I37" s="82">
        <f t="shared" ref="I37" si="23">SUM(I27:I36)</f>
        <v>0</v>
      </c>
      <c r="J37" s="82">
        <f t="shared" ref="J37" si="24">SUM(J27:J36)</f>
        <v>0</v>
      </c>
      <c r="K37" s="82"/>
      <c r="L37" s="32">
        <f t="shared" si="16"/>
        <v>0.31263451634571626</v>
      </c>
      <c r="M37" s="32" t="e">
        <f t="shared" si="16"/>
        <v>#DIV/0!</v>
      </c>
      <c r="N37" s="32" t="e">
        <f t="shared" si="16"/>
        <v>#DIV/0!</v>
      </c>
      <c r="O37" s="82"/>
      <c r="P37" s="82">
        <f>SUM(P27:P36)</f>
        <v>434297713</v>
      </c>
      <c r="Q37" s="82">
        <f t="shared" ref="Q37:S37" si="25">SUM(Q27:Q36)</f>
        <v>-1690615637</v>
      </c>
      <c r="R37" s="82">
        <f t="shared" si="25"/>
        <v>0</v>
      </c>
      <c r="S37" s="82">
        <f t="shared" si="25"/>
        <v>-1256317924</v>
      </c>
      <c r="T37" s="169">
        <f t="shared" si="14"/>
        <v>-1</v>
      </c>
      <c r="U37" s="176"/>
      <c r="V37" s="179">
        <f t="shared" si="15"/>
        <v>0</v>
      </c>
    </row>
    <row r="38" spans="1:2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</row>
    <row r="39" spans="1:2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</row>
    <row r="41" spans="1:22" x14ac:dyDescent="0.2">
      <c r="A41" s="35"/>
      <c r="B41" s="189" t="s">
        <v>414</v>
      </c>
      <c r="C41" s="166">
        <f>+C19-C37</f>
        <v>0</v>
      </c>
      <c r="D41" s="166">
        <f>+D19-D37</f>
        <v>0</v>
      </c>
      <c r="E41" s="166">
        <f>+E19-E37</f>
        <v>0</v>
      </c>
      <c r="F41" s="166">
        <f>+F19-F37</f>
        <v>0</v>
      </c>
      <c r="G41" s="166"/>
      <c r="H41" s="166">
        <f>+H19-H37</f>
        <v>602331371</v>
      </c>
      <c r="I41" s="166">
        <f>+I19-I37</f>
        <v>0</v>
      </c>
      <c r="J41" s="166">
        <f>+J19-J37</f>
        <v>0</v>
      </c>
      <c r="K41" s="166"/>
      <c r="L41" s="166">
        <f>+L19-L37</f>
        <v>0.35627930903847427</v>
      </c>
      <c r="M41" s="166" t="e">
        <f>+M19-M37</f>
        <v>#DIV/0!</v>
      </c>
      <c r="N41" s="166" t="e">
        <f>+N19-N37</f>
        <v>#DIV/0!</v>
      </c>
      <c r="O41" s="166"/>
      <c r="P41" s="166">
        <f>+P19-P37</f>
        <v>0</v>
      </c>
      <c r="Q41" s="166">
        <f>+Q19-Q37</f>
        <v>11332837</v>
      </c>
      <c r="R41" s="166">
        <f>+R19-R37</f>
        <v>0</v>
      </c>
      <c r="S41" s="166">
        <f>+S19-S37</f>
        <v>11332837</v>
      </c>
      <c r="T41" s="188">
        <f t="shared" si="14"/>
        <v>0</v>
      </c>
      <c r="U41" s="190"/>
      <c r="V41" s="192">
        <f t="shared" si="15"/>
        <v>11332837</v>
      </c>
    </row>
    <row r="45" spans="1:22" x14ac:dyDescent="0.2">
      <c r="E45" s="19"/>
      <c r="F45" s="19"/>
      <c r="G45" s="19"/>
      <c r="K45" s="19"/>
      <c r="O45" s="19"/>
      <c r="P45" s="19"/>
      <c r="Q45" s="19"/>
      <c r="R45" s="19"/>
      <c r="S45" s="19"/>
      <c r="U45" s="19"/>
    </row>
    <row r="46" spans="1:22" x14ac:dyDescent="0.2">
      <c r="E46" s="19"/>
      <c r="F46" s="19"/>
      <c r="G46" s="19"/>
      <c r="H46" s="19"/>
      <c r="I46" s="19"/>
      <c r="J46" s="19"/>
      <c r="K46" s="19"/>
      <c r="O46" s="19"/>
      <c r="P46" s="19"/>
      <c r="Q46" s="19"/>
      <c r="R46" s="19"/>
      <c r="S46" s="19"/>
      <c r="U46" s="19"/>
    </row>
    <row r="49" spans="2:21" x14ac:dyDescent="0.2">
      <c r="H49" s="19"/>
      <c r="I49" s="19"/>
      <c r="J49" s="19"/>
    </row>
    <row r="51" spans="2:21" x14ac:dyDescent="0.2">
      <c r="H51" s="19"/>
      <c r="I51" s="19"/>
      <c r="J51" s="19"/>
    </row>
    <row r="52" spans="2:21" x14ac:dyDescent="0.2">
      <c r="H52" s="19"/>
      <c r="I52" s="19"/>
      <c r="J52" s="19"/>
    </row>
    <row r="53" spans="2:21" x14ac:dyDescent="0.2">
      <c r="E53" s="19"/>
      <c r="F53" s="19"/>
      <c r="G53" s="19"/>
      <c r="H53" s="19"/>
      <c r="I53" s="19"/>
      <c r="J53" s="19"/>
      <c r="K53" s="19"/>
      <c r="O53" s="19"/>
      <c r="P53" s="19"/>
      <c r="Q53" s="19"/>
      <c r="R53" s="19"/>
      <c r="S53" s="19"/>
      <c r="U53" s="19"/>
    </row>
    <row r="54" spans="2:21" x14ac:dyDescent="0.2">
      <c r="B54" s="19"/>
      <c r="E54" s="19"/>
      <c r="F54" s="19"/>
      <c r="G54" s="19"/>
      <c r="H54" s="19"/>
      <c r="I54" s="19"/>
      <c r="J54" s="19"/>
      <c r="K54" s="19"/>
      <c r="O54" s="19"/>
      <c r="P54" s="19"/>
      <c r="Q54" s="19"/>
      <c r="R54" s="19"/>
      <c r="S54" s="19"/>
      <c r="U54" s="19"/>
    </row>
    <row r="55" spans="2:21" x14ac:dyDescent="0.2">
      <c r="B55" s="19"/>
      <c r="H55" s="19"/>
      <c r="I55" s="19"/>
      <c r="J55" s="19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47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zoomScale="85" zoomScaleNormal="50" zoomScaleSheetLayoutView="85" workbookViewId="0">
      <pane ySplit="11" topLeftCell="A51" activePane="bottomLeft" state="frozen"/>
      <selection pane="bottomLeft" activeCell="D53" sqref="D53"/>
    </sheetView>
  </sheetViews>
  <sheetFormatPr defaultRowHeight="12.75" x14ac:dyDescent="0.2"/>
  <cols>
    <col min="1" max="1" width="8.42578125" style="13" customWidth="1"/>
    <col min="2" max="2" width="36.42578125" style="13" customWidth="1"/>
    <col min="3" max="3" width="19.42578125" style="13" customWidth="1"/>
    <col min="4" max="4" width="15.5703125" style="17" customWidth="1"/>
    <col min="5" max="6" width="15.5703125" customWidth="1"/>
    <col min="7" max="7" width="0.85546875" customWidth="1"/>
    <col min="8" max="8" width="16.85546875" style="17" customWidth="1"/>
    <col min="9" max="9" width="15.5703125" style="17" customWidth="1"/>
    <col min="10" max="10" width="15.5703125" customWidth="1"/>
    <col min="11" max="11" width="0.85546875" customWidth="1"/>
    <col min="12" max="12" width="13.140625" customWidth="1"/>
    <col min="13" max="13" width="14.5703125" customWidth="1"/>
    <col min="14" max="14" width="14.7109375" customWidth="1"/>
    <col min="15" max="15" width="0.85546875" customWidth="1"/>
    <col min="16" max="19" width="15.5703125" style="17" customWidth="1"/>
    <col min="21" max="21" width="0.85546875" customWidth="1"/>
    <col min="22" max="22" width="9.5703125" customWidth="1"/>
  </cols>
  <sheetData>
    <row r="1" spans="1:27" ht="26.25" x14ac:dyDescent="0.4">
      <c r="A1" s="250" t="s">
        <v>428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FÉLÉVES BESZÁMOLÓ</v>
      </c>
      <c r="K1" s="251" t="s">
        <v>430</v>
      </c>
      <c r="L1" s="251" t="s">
        <v>430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x14ac:dyDescent="0.2">
      <c r="A2" s="65"/>
      <c r="B2" s="65"/>
      <c r="C2" s="65"/>
      <c r="D2" s="65"/>
      <c r="H2" s="65" t="str">
        <f>'1. Sülysáp összesen'!H2</f>
        <v>TERV</v>
      </c>
      <c r="I2" s="65"/>
      <c r="L2" s="65"/>
      <c r="M2" s="65"/>
      <c r="N2" s="65"/>
      <c r="P2" s="65"/>
      <c r="Q2" s="65"/>
      <c r="R2" s="65"/>
      <c r="S2" s="65"/>
    </row>
    <row r="3" spans="1:27" x14ac:dyDescent="0.2">
      <c r="A3" s="65"/>
      <c r="B3" s="65"/>
      <c r="C3" s="613"/>
      <c r="D3" s="65"/>
      <c r="H3" s="65"/>
      <c r="I3" s="65"/>
      <c r="L3" s="65"/>
      <c r="M3" s="65"/>
      <c r="N3" s="65"/>
      <c r="P3" s="65"/>
      <c r="Q3" s="65"/>
      <c r="R3" s="65"/>
      <c r="S3" s="65"/>
    </row>
    <row r="4" spans="1:27" hidden="1" x14ac:dyDescent="0.2">
      <c r="A4" s="65"/>
      <c r="B4" s="65"/>
      <c r="C4" s="65"/>
      <c r="D4" s="65"/>
      <c r="H4" s="65"/>
      <c r="I4" s="65"/>
      <c r="L4" s="65"/>
      <c r="M4" s="65"/>
      <c r="N4" s="65"/>
      <c r="P4" s="65"/>
      <c r="Q4" s="65"/>
      <c r="R4" s="65"/>
      <c r="S4" s="65"/>
    </row>
    <row r="5" spans="1:27" hidden="1" x14ac:dyDescent="0.2">
      <c r="A5" s="65"/>
      <c r="B5" s="65"/>
      <c r="C5" s="65"/>
      <c r="D5" s="65"/>
      <c r="H5" s="65"/>
      <c r="I5" s="65"/>
      <c r="L5" s="65"/>
      <c r="M5" s="65"/>
      <c r="N5" s="65"/>
      <c r="P5" s="65"/>
      <c r="Q5" s="65"/>
      <c r="R5" s="65"/>
      <c r="S5" s="65"/>
    </row>
    <row r="6" spans="1:27" x14ac:dyDescent="0.2">
      <c r="A6" s="67"/>
      <c r="B6" s="67"/>
      <c r="C6" s="67"/>
      <c r="D6" s="67"/>
      <c r="E6" s="48"/>
      <c r="F6" s="48"/>
      <c r="G6" s="48"/>
      <c r="H6" s="67"/>
      <c r="I6" s="67"/>
      <c r="J6" s="48"/>
      <c r="K6" s="48"/>
      <c r="L6" s="67"/>
      <c r="M6" s="67"/>
      <c r="N6" s="67"/>
      <c r="O6" s="48"/>
      <c r="P6" s="65"/>
      <c r="Q6" s="65"/>
      <c r="R6" s="65"/>
      <c r="S6" s="65"/>
      <c r="T6" s="48"/>
      <c r="U6" s="48"/>
      <c r="V6" s="48"/>
    </row>
    <row r="7" spans="1:27" ht="15.75" x14ac:dyDescent="0.25">
      <c r="A7" s="243"/>
      <c r="B7" s="244"/>
      <c r="C7" s="716" t="s">
        <v>412</v>
      </c>
      <c r="D7" s="719"/>
      <c r="E7" s="719"/>
      <c r="F7" s="720"/>
      <c r="G7" s="70"/>
      <c r="H7" s="716" t="s">
        <v>423</v>
      </c>
      <c r="I7" s="717"/>
      <c r="J7" s="717"/>
      <c r="K7" s="717"/>
      <c r="L7" s="717"/>
      <c r="M7" s="717"/>
      <c r="N7" s="718"/>
      <c r="O7" s="70"/>
      <c r="P7" s="716" t="s">
        <v>408</v>
      </c>
      <c r="Q7" s="719"/>
      <c r="R7" s="719"/>
      <c r="S7" s="719"/>
      <c r="T7" s="720"/>
      <c r="U7" s="48"/>
      <c r="V7" s="48"/>
    </row>
    <row r="8" spans="1:27" x14ac:dyDescent="0.2">
      <c r="A8" s="35"/>
      <c r="B8" s="80"/>
      <c r="C8" s="160"/>
      <c r="D8" s="160"/>
      <c r="E8" s="160"/>
      <c r="F8" s="160"/>
      <c r="G8" s="160"/>
      <c r="H8" s="713" t="s">
        <v>425</v>
      </c>
      <c r="I8" s="714"/>
      <c r="J8" s="715"/>
      <c r="K8" s="140"/>
      <c r="L8" s="713" t="s">
        <v>424</v>
      </c>
      <c r="M8" s="714"/>
      <c r="N8" s="715"/>
      <c r="O8" s="160"/>
      <c r="P8" s="134">
        <f>+'1. Sülysáp összesen'!P8</f>
        <v>1</v>
      </c>
      <c r="Q8" s="134">
        <f>+'1. Sülysáp összesen'!Q8</f>
        <v>1</v>
      </c>
      <c r="R8" s="134">
        <f>+'1. Sülysáp összesen'!R8</f>
        <v>0</v>
      </c>
      <c r="S8" s="83"/>
      <c r="T8" s="83"/>
      <c r="U8" s="48"/>
      <c r="V8" s="48"/>
    </row>
    <row r="9" spans="1:27" ht="20.100000000000001" customHeight="1" x14ac:dyDescent="0.2">
      <c r="A9" s="252"/>
      <c r="B9" s="266" t="s">
        <v>372</v>
      </c>
      <c r="C9" s="267">
        <f>+C96</f>
        <v>1203415087</v>
      </c>
      <c r="D9" s="267">
        <f>+D96</f>
        <v>1637706800</v>
      </c>
      <c r="E9" s="267">
        <f>+E96</f>
        <v>0</v>
      </c>
      <c r="F9" s="267">
        <f>+F96</f>
        <v>0</v>
      </c>
      <c r="G9" s="267"/>
      <c r="H9" s="267">
        <f>+H96</f>
        <v>1106942512</v>
      </c>
      <c r="I9" s="267">
        <f>+I96</f>
        <v>0</v>
      </c>
      <c r="J9" s="267">
        <f>+J96</f>
        <v>0</v>
      </c>
      <c r="K9" s="253"/>
      <c r="L9" s="268">
        <f>H9/C9</f>
        <v>0.91983433144377724</v>
      </c>
      <c r="M9" s="268">
        <f>I9/D9</f>
        <v>0</v>
      </c>
      <c r="N9" s="268" t="e">
        <f>J9/E9</f>
        <v>#DIV/0!</v>
      </c>
      <c r="O9" s="253"/>
      <c r="P9" s="267">
        <f>+P96</f>
        <v>434291713</v>
      </c>
      <c r="Q9" s="267">
        <f>+Q96</f>
        <v>-1637706800</v>
      </c>
      <c r="R9" s="267">
        <f>+R96</f>
        <v>0</v>
      </c>
      <c r="S9" s="267">
        <f>+S96</f>
        <v>-1203415087</v>
      </c>
      <c r="T9" s="269">
        <f>IF(C9=0,0,+S9/C9)</f>
        <v>-1</v>
      </c>
      <c r="U9" s="254" t="e">
        <f>+R9-D9+B9</f>
        <v>#VALUE!</v>
      </c>
      <c r="V9" s="254">
        <f>+S9-E9+C9</f>
        <v>0</v>
      </c>
    </row>
    <row r="10" spans="1:27" x14ac:dyDescent="0.2">
      <c r="A10" s="35"/>
      <c r="B10" s="80"/>
      <c r="C10" s="160"/>
      <c r="D10" s="160"/>
      <c r="E10" s="160"/>
      <c r="F10" s="160"/>
      <c r="G10" s="160"/>
      <c r="H10" s="218"/>
      <c r="I10" s="131"/>
      <c r="J10" s="132"/>
      <c r="K10" s="140"/>
      <c r="L10" s="218"/>
      <c r="M10" s="131"/>
      <c r="N10" s="132"/>
      <c r="O10" s="160"/>
      <c r="P10" s="264"/>
      <c r="Q10" s="264"/>
      <c r="R10" s="264"/>
      <c r="S10" s="186"/>
      <c r="T10" s="186"/>
      <c r="U10" s="265"/>
      <c r="V10" s="265"/>
      <c r="W10" s="8"/>
    </row>
    <row r="11" spans="1:27" ht="71.099999999999994" customHeight="1" x14ac:dyDescent="0.2">
      <c r="A11" s="27" t="s">
        <v>373</v>
      </c>
      <c r="B11" s="27" t="s">
        <v>371</v>
      </c>
      <c r="C11" s="551" t="s">
        <v>483</v>
      </c>
      <c r="D11" s="388" t="s">
        <v>484</v>
      </c>
      <c r="E11" s="388" t="s">
        <v>485</v>
      </c>
      <c r="F11" s="552" t="s">
        <v>486</v>
      </c>
      <c r="G11" s="388"/>
      <c r="H11" s="525" t="s">
        <v>487</v>
      </c>
      <c r="I11" s="389" t="s">
        <v>488</v>
      </c>
      <c r="J11" s="389" t="s">
        <v>489</v>
      </c>
      <c r="K11" s="388"/>
      <c r="L11" s="390" t="s">
        <v>490</v>
      </c>
      <c r="M11" s="390" t="s">
        <v>494</v>
      </c>
      <c r="N11" s="526" t="s">
        <v>495</v>
      </c>
      <c r="O11" s="388"/>
      <c r="P11" s="525" t="s">
        <v>491</v>
      </c>
      <c r="Q11" s="389" t="s">
        <v>493</v>
      </c>
      <c r="R11" s="389" t="s">
        <v>492</v>
      </c>
      <c r="S11" s="389" t="s">
        <v>409</v>
      </c>
      <c r="T11" s="526" t="s">
        <v>410</v>
      </c>
      <c r="U11" s="28"/>
      <c r="V11" s="138" t="s">
        <v>414</v>
      </c>
    </row>
    <row r="12" spans="1:27" x14ac:dyDescent="0.2">
      <c r="A12" s="158"/>
      <c r="B12" s="155"/>
      <c r="C12" s="73"/>
      <c r="D12" s="73"/>
      <c r="E12" s="70"/>
      <c r="F12" s="70"/>
      <c r="G12" s="70"/>
      <c r="H12" s="70"/>
      <c r="I12" s="70"/>
      <c r="J12" s="70"/>
      <c r="K12" s="70"/>
      <c r="L12" s="143"/>
      <c r="M12" s="143"/>
      <c r="N12" s="143"/>
      <c r="O12" s="70"/>
      <c r="P12" s="83"/>
      <c r="Q12" s="83"/>
      <c r="R12" s="83"/>
      <c r="S12" s="83"/>
      <c r="T12" s="161"/>
      <c r="U12" s="70"/>
      <c r="V12" s="208"/>
    </row>
    <row r="13" spans="1:27" ht="25.5" x14ac:dyDescent="0.2">
      <c r="A13" s="4" t="s">
        <v>241</v>
      </c>
      <c r="B13" s="3" t="s">
        <v>242</v>
      </c>
      <c r="C13" s="68">
        <f>+C14+C21+C22+C23+C24+C25</f>
        <v>577146258</v>
      </c>
      <c r="D13" s="68">
        <f>+D14+D21+D22+D23+D24+D25</f>
        <v>588469848</v>
      </c>
      <c r="E13" s="68">
        <f>+E14+E21+E22+E23+E24+E25</f>
        <v>0</v>
      </c>
      <c r="F13" s="68">
        <f>+F14+F21+F22+F23+F24+F25</f>
        <v>0</v>
      </c>
      <c r="G13" s="68"/>
      <c r="H13" s="68">
        <f>+H14+H21+H22+H23+H24+H25</f>
        <v>310092946</v>
      </c>
      <c r="I13" s="68">
        <f>+I14+I21+I22+I23+I24+I25</f>
        <v>0</v>
      </c>
      <c r="J13" s="68">
        <f>+J14+J21+J22+J23+J24+J25</f>
        <v>0</v>
      </c>
      <c r="K13" s="68"/>
      <c r="L13" s="89">
        <f>H13/C13</f>
        <v>0.53728659191965167</v>
      </c>
      <c r="M13" s="89">
        <f>I13/D13</f>
        <v>0</v>
      </c>
      <c r="N13" s="89" t="e">
        <f>J13/E13</f>
        <v>#DIV/0!</v>
      </c>
      <c r="O13" s="68"/>
      <c r="P13" s="68">
        <f t="shared" ref="P13" si="0">+(D13-C13)*P$8</f>
        <v>11323590</v>
      </c>
      <c r="Q13" s="68">
        <f t="shared" ref="Q13" si="1">+(E13-D13)*Q$8</f>
        <v>-588469848</v>
      </c>
      <c r="R13" s="68">
        <f t="shared" ref="R13" si="2">+(F13-E13)*R$8</f>
        <v>0</v>
      </c>
      <c r="S13" s="68">
        <f t="shared" ref="S13" si="3">SUM(P13:R13)</f>
        <v>-577146258</v>
      </c>
      <c r="T13" s="89">
        <f t="shared" ref="T13" si="4">IF(C13=0,0,+S13/C13)</f>
        <v>-1</v>
      </c>
      <c r="U13" s="160"/>
      <c r="V13" s="208">
        <f t="shared" ref="V13" si="5">+S13-E13+C13</f>
        <v>0</v>
      </c>
    </row>
    <row r="14" spans="1:27" ht="25.5" x14ac:dyDescent="0.2">
      <c r="A14" s="39" t="s">
        <v>243</v>
      </c>
      <c r="B14" s="40" t="s">
        <v>244</v>
      </c>
      <c r="C14" s="147">
        <f>SUM(C15:C20)</f>
        <v>487376258</v>
      </c>
      <c r="D14" s="147">
        <f t="shared" ref="D14:F14" si="6">SUM(D15:D20)</f>
        <v>498699848</v>
      </c>
      <c r="E14" s="147">
        <v>0</v>
      </c>
      <c r="F14" s="147">
        <f t="shared" si="6"/>
        <v>0</v>
      </c>
      <c r="G14" s="101"/>
      <c r="H14" s="147">
        <f t="shared" ref="H14" si="7">SUM(H15:H20)</f>
        <v>262074521</v>
      </c>
      <c r="I14" s="147">
        <f t="shared" ref="I14" si="8">SUM(I15:I20)</f>
        <v>0</v>
      </c>
      <c r="J14" s="147">
        <f t="shared" ref="J14" si="9">SUM(J15:J20)</f>
        <v>0</v>
      </c>
      <c r="K14" s="101"/>
      <c r="L14" s="143">
        <f t="shared" ref="L14:N19" si="10">+H14/C14</f>
        <v>0.5377252516883988</v>
      </c>
      <c r="M14" s="143">
        <f t="shared" si="10"/>
        <v>0</v>
      </c>
      <c r="N14" s="143" t="e">
        <f t="shared" si="10"/>
        <v>#DIV/0!</v>
      </c>
      <c r="O14" s="101"/>
      <c r="P14" s="101">
        <f t="shared" ref="P14:P24" si="11">+(D14-C14)*P$8</f>
        <v>11323590</v>
      </c>
      <c r="Q14" s="101">
        <f t="shared" ref="Q14:Q24" si="12">+(E14-D14)*Q$8</f>
        <v>-498699848</v>
      </c>
      <c r="R14" s="101">
        <f t="shared" ref="R14:R24" si="13">+(F14-E14)*R$8</f>
        <v>0</v>
      </c>
      <c r="S14" s="101">
        <f t="shared" ref="S14" si="14">SUM(P14:R14)</f>
        <v>-487376258</v>
      </c>
      <c r="T14" s="89">
        <f t="shared" ref="T14:T50" si="15">IF(C14=0,0,+S14/C14)</f>
        <v>-1</v>
      </c>
      <c r="U14" s="101"/>
      <c r="V14" s="208">
        <f t="shared" ref="V14:V50" si="16">+S14-E14+C14</f>
        <v>0</v>
      </c>
    </row>
    <row r="15" spans="1:27" ht="25.5" x14ac:dyDescent="0.2">
      <c r="A15" s="158" t="s">
        <v>245</v>
      </c>
      <c r="B15" s="156" t="s">
        <v>383</v>
      </c>
      <c r="C15" s="73">
        <v>168441241</v>
      </c>
      <c r="D15" s="70">
        <v>168441241</v>
      </c>
      <c r="E15" s="70">
        <v>0</v>
      </c>
      <c r="F15" s="70"/>
      <c r="G15" s="70"/>
      <c r="H15" s="70">
        <v>87668312</v>
      </c>
      <c r="I15" s="70">
        <v>0</v>
      </c>
      <c r="J15" s="70"/>
      <c r="K15" s="70"/>
      <c r="L15" s="143">
        <f t="shared" si="10"/>
        <v>0.52046821478832495</v>
      </c>
      <c r="M15" s="143">
        <f t="shared" si="10"/>
        <v>0</v>
      </c>
      <c r="N15" s="143" t="e">
        <f t="shared" si="10"/>
        <v>#DIV/0!</v>
      </c>
      <c r="O15" s="70"/>
      <c r="P15" s="83">
        <f t="shared" si="11"/>
        <v>0</v>
      </c>
      <c r="Q15" s="83">
        <f t="shared" si="12"/>
        <v>-168441241</v>
      </c>
      <c r="R15" s="83">
        <f t="shared" si="13"/>
        <v>0</v>
      </c>
      <c r="S15" s="83">
        <f>SUM(P15:R15)</f>
        <v>-168441241</v>
      </c>
      <c r="T15" s="89">
        <f t="shared" si="15"/>
        <v>-1</v>
      </c>
      <c r="U15" s="70"/>
      <c r="V15" s="208">
        <f t="shared" si="16"/>
        <v>0</v>
      </c>
    </row>
    <row r="16" spans="1:27" ht="25.5" x14ac:dyDescent="0.2">
      <c r="A16" s="158" t="s">
        <v>246</v>
      </c>
      <c r="B16" s="155" t="s">
        <v>415</v>
      </c>
      <c r="C16" s="73">
        <v>167733010</v>
      </c>
      <c r="D16" s="73">
        <v>171136101</v>
      </c>
      <c r="E16" s="70">
        <v>0</v>
      </c>
      <c r="F16" s="70"/>
      <c r="G16" s="70"/>
      <c r="H16" s="70">
        <v>87890840</v>
      </c>
      <c r="I16" s="70">
        <v>0</v>
      </c>
      <c r="J16" s="70"/>
      <c r="K16" s="70"/>
      <c r="L16" s="143">
        <f t="shared" si="10"/>
        <v>0.52399250451655277</v>
      </c>
      <c r="M16" s="143">
        <f t="shared" si="10"/>
        <v>0</v>
      </c>
      <c r="N16" s="143" t="e">
        <f t="shared" si="10"/>
        <v>#DIV/0!</v>
      </c>
      <c r="O16" s="70"/>
      <c r="P16" s="83">
        <f t="shared" si="11"/>
        <v>3403091</v>
      </c>
      <c r="Q16" s="83">
        <f t="shared" si="12"/>
        <v>-171136101</v>
      </c>
      <c r="R16" s="83">
        <f t="shared" si="13"/>
        <v>0</v>
      </c>
      <c r="S16" s="83">
        <f t="shared" ref="S16:S19" si="17">SUM(P16:R16)</f>
        <v>-167733010</v>
      </c>
      <c r="T16" s="89">
        <f t="shared" si="15"/>
        <v>-1</v>
      </c>
      <c r="U16" s="70"/>
      <c r="V16" s="208">
        <f t="shared" si="16"/>
        <v>0</v>
      </c>
    </row>
    <row r="17" spans="1:22" ht="25.5" x14ac:dyDescent="0.2">
      <c r="A17" s="158" t="s">
        <v>247</v>
      </c>
      <c r="B17" s="155" t="s">
        <v>416</v>
      </c>
      <c r="C17" s="73">
        <v>141808407</v>
      </c>
      <c r="D17" s="70">
        <v>145093205</v>
      </c>
      <c r="E17" s="70">
        <v>0</v>
      </c>
      <c r="F17" s="70"/>
      <c r="G17" s="70"/>
      <c r="H17" s="70">
        <v>76994996</v>
      </c>
      <c r="I17" s="70">
        <v>0</v>
      </c>
      <c r="J17" s="70"/>
      <c r="K17" s="70"/>
      <c r="L17" s="143">
        <f t="shared" si="10"/>
        <v>0.5429508562210984</v>
      </c>
      <c r="M17" s="143">
        <f t="shared" si="10"/>
        <v>0</v>
      </c>
      <c r="N17" s="143" t="e">
        <f t="shared" si="10"/>
        <v>#DIV/0!</v>
      </c>
      <c r="O17" s="70"/>
      <c r="P17" s="83">
        <f t="shared" si="11"/>
        <v>3284798</v>
      </c>
      <c r="Q17" s="83">
        <f t="shared" si="12"/>
        <v>-145093205</v>
      </c>
      <c r="R17" s="83">
        <f t="shared" si="13"/>
        <v>0</v>
      </c>
      <c r="S17" s="83">
        <f t="shared" si="17"/>
        <v>-141808407</v>
      </c>
      <c r="T17" s="89">
        <f t="shared" si="15"/>
        <v>-1</v>
      </c>
      <c r="U17" s="70"/>
      <c r="V17" s="208">
        <f t="shared" si="16"/>
        <v>0</v>
      </c>
    </row>
    <row r="18" spans="1:22" ht="25.5" x14ac:dyDescent="0.2">
      <c r="A18" s="158" t="s">
        <v>248</v>
      </c>
      <c r="B18" s="155" t="s">
        <v>417</v>
      </c>
      <c r="C18" s="73">
        <v>9393600</v>
      </c>
      <c r="D18" s="73">
        <v>10535554</v>
      </c>
      <c r="E18" s="148">
        <v>0</v>
      </c>
      <c r="F18" s="148"/>
      <c r="G18" s="148"/>
      <c r="H18" s="70">
        <v>6026626</v>
      </c>
      <c r="I18" s="148">
        <v>0</v>
      </c>
      <c r="J18" s="148"/>
      <c r="K18" s="148"/>
      <c r="L18" s="143">
        <f t="shared" si="10"/>
        <v>0.64156723726792708</v>
      </c>
      <c r="M18" s="143">
        <f t="shared" si="10"/>
        <v>0</v>
      </c>
      <c r="N18" s="143" t="e">
        <f t="shared" si="10"/>
        <v>#DIV/0!</v>
      </c>
      <c r="O18" s="148"/>
      <c r="P18" s="83">
        <f t="shared" si="11"/>
        <v>1141954</v>
      </c>
      <c r="Q18" s="83">
        <f t="shared" si="12"/>
        <v>-10535554</v>
      </c>
      <c r="R18" s="83">
        <f t="shared" si="13"/>
        <v>0</v>
      </c>
      <c r="S18" s="83">
        <f t="shared" si="17"/>
        <v>-9393600</v>
      </c>
      <c r="T18" s="89">
        <f t="shared" si="15"/>
        <v>-1</v>
      </c>
      <c r="U18" s="148"/>
      <c r="V18" s="208">
        <f t="shared" si="16"/>
        <v>0</v>
      </c>
    </row>
    <row r="19" spans="1:22" ht="25.5" x14ac:dyDescent="0.2">
      <c r="A19" s="158" t="s">
        <v>249</v>
      </c>
      <c r="B19" s="156" t="s">
        <v>250</v>
      </c>
      <c r="C19" s="73">
        <v>0</v>
      </c>
      <c r="D19" s="70">
        <v>3493747</v>
      </c>
      <c r="E19" s="70">
        <v>0</v>
      </c>
      <c r="F19" s="70"/>
      <c r="G19" s="70"/>
      <c r="H19" s="70">
        <v>3493747</v>
      </c>
      <c r="I19" s="70">
        <v>0</v>
      </c>
      <c r="J19" s="70"/>
      <c r="K19" s="70"/>
      <c r="L19" s="143" t="e">
        <f t="shared" si="10"/>
        <v>#DIV/0!</v>
      </c>
      <c r="M19" s="143">
        <f t="shared" si="10"/>
        <v>0</v>
      </c>
      <c r="N19" s="143" t="e">
        <f t="shared" si="10"/>
        <v>#DIV/0!</v>
      </c>
      <c r="O19" s="70"/>
      <c r="P19" s="83">
        <f t="shared" si="11"/>
        <v>3493747</v>
      </c>
      <c r="Q19" s="83">
        <f t="shared" si="12"/>
        <v>-3493747</v>
      </c>
      <c r="R19" s="83">
        <f t="shared" si="13"/>
        <v>0</v>
      </c>
      <c r="S19" s="83">
        <f t="shared" si="17"/>
        <v>0</v>
      </c>
      <c r="T19" s="89">
        <f t="shared" si="15"/>
        <v>0</v>
      </c>
      <c r="U19" s="70"/>
      <c r="V19" s="208">
        <f t="shared" si="16"/>
        <v>0</v>
      </c>
    </row>
    <row r="20" spans="1:22" ht="26.45" customHeight="1" x14ac:dyDescent="0.2">
      <c r="A20" s="158" t="s">
        <v>251</v>
      </c>
      <c r="B20" s="156" t="s">
        <v>252</v>
      </c>
      <c r="C20" s="73">
        <v>0</v>
      </c>
      <c r="D20" s="70"/>
      <c r="E20" s="70"/>
      <c r="F20" s="70"/>
      <c r="G20" s="70"/>
      <c r="H20" s="70"/>
      <c r="I20" s="70"/>
      <c r="J20" s="70"/>
      <c r="K20" s="70"/>
      <c r="L20" s="143"/>
      <c r="M20" s="144"/>
      <c r="N20" s="144"/>
      <c r="O20" s="70"/>
      <c r="P20" s="83">
        <f t="shared" si="11"/>
        <v>0</v>
      </c>
      <c r="Q20" s="83">
        <f t="shared" si="12"/>
        <v>0</v>
      </c>
      <c r="R20" s="83">
        <f t="shared" si="13"/>
        <v>0</v>
      </c>
      <c r="S20" s="83">
        <f t="shared" ref="S20:S24" si="18">SUM(P20:R20)</f>
        <v>0</v>
      </c>
      <c r="T20" s="89">
        <f t="shared" si="15"/>
        <v>0</v>
      </c>
      <c r="U20" s="70"/>
      <c r="V20" s="208">
        <f t="shared" si="16"/>
        <v>0</v>
      </c>
    </row>
    <row r="21" spans="1:22" x14ac:dyDescent="0.2">
      <c r="A21" s="39" t="s">
        <v>253</v>
      </c>
      <c r="B21" s="40" t="s">
        <v>254</v>
      </c>
      <c r="C21" s="147"/>
      <c r="D21" s="101"/>
      <c r="E21" s="101"/>
      <c r="F21" s="101"/>
      <c r="G21" s="101"/>
      <c r="H21" s="101"/>
      <c r="I21" s="101"/>
      <c r="J21" s="101"/>
      <c r="K21" s="101"/>
      <c r="L21" s="144"/>
      <c r="M21" s="144"/>
      <c r="N21" s="144"/>
      <c r="O21" s="101"/>
      <c r="P21" s="83">
        <f t="shared" si="11"/>
        <v>0</v>
      </c>
      <c r="Q21" s="83">
        <f t="shared" si="12"/>
        <v>0</v>
      </c>
      <c r="R21" s="83">
        <f t="shared" si="13"/>
        <v>0</v>
      </c>
      <c r="S21" s="83">
        <f t="shared" si="18"/>
        <v>0</v>
      </c>
      <c r="T21" s="89">
        <f t="shared" si="15"/>
        <v>0</v>
      </c>
      <c r="U21" s="101"/>
      <c r="V21" s="208">
        <f t="shared" si="16"/>
        <v>0</v>
      </c>
    </row>
    <row r="22" spans="1:22" ht="51" x14ac:dyDescent="0.2">
      <c r="A22" s="39" t="s">
        <v>255</v>
      </c>
      <c r="B22" s="40" t="s">
        <v>256</v>
      </c>
      <c r="C22" s="147"/>
      <c r="D22" s="101"/>
      <c r="E22" s="101"/>
      <c r="F22" s="101"/>
      <c r="G22" s="101"/>
      <c r="H22" s="101"/>
      <c r="I22" s="101"/>
      <c r="J22" s="101"/>
      <c r="K22" s="101"/>
      <c r="L22" s="144"/>
      <c r="M22" s="144"/>
      <c r="N22" s="144"/>
      <c r="O22" s="101"/>
      <c r="P22" s="83">
        <f t="shared" si="11"/>
        <v>0</v>
      </c>
      <c r="Q22" s="83">
        <f t="shared" si="12"/>
        <v>0</v>
      </c>
      <c r="R22" s="83">
        <f t="shared" si="13"/>
        <v>0</v>
      </c>
      <c r="S22" s="83">
        <f t="shared" si="18"/>
        <v>0</v>
      </c>
      <c r="T22" s="89">
        <f t="shared" si="15"/>
        <v>0</v>
      </c>
      <c r="U22" s="101"/>
      <c r="V22" s="208">
        <f t="shared" si="16"/>
        <v>0</v>
      </c>
    </row>
    <row r="23" spans="1:22" ht="38.25" x14ac:dyDescent="0.2">
      <c r="A23" s="39" t="s">
        <v>257</v>
      </c>
      <c r="B23" s="40" t="s">
        <v>258</v>
      </c>
      <c r="C23" s="147"/>
      <c r="D23" s="101"/>
      <c r="E23" s="101"/>
      <c r="F23" s="101"/>
      <c r="G23" s="101"/>
      <c r="H23" s="101"/>
      <c r="I23" s="101"/>
      <c r="J23" s="101"/>
      <c r="K23" s="101"/>
      <c r="L23" s="144"/>
      <c r="M23" s="144"/>
      <c r="N23" s="144"/>
      <c r="O23" s="101"/>
      <c r="P23" s="83">
        <f t="shared" si="11"/>
        <v>0</v>
      </c>
      <c r="Q23" s="83">
        <f t="shared" si="12"/>
        <v>0</v>
      </c>
      <c r="R23" s="83">
        <f t="shared" si="13"/>
        <v>0</v>
      </c>
      <c r="S23" s="83">
        <f t="shared" si="18"/>
        <v>0</v>
      </c>
      <c r="T23" s="89">
        <f t="shared" si="15"/>
        <v>0</v>
      </c>
      <c r="U23" s="101"/>
      <c r="V23" s="208">
        <f t="shared" si="16"/>
        <v>0</v>
      </c>
    </row>
    <row r="24" spans="1:22" ht="38.25" x14ac:dyDescent="0.2">
      <c r="A24" s="39" t="s">
        <v>259</v>
      </c>
      <c r="B24" s="40" t="s">
        <v>260</v>
      </c>
      <c r="C24" s="147"/>
      <c r="D24" s="101"/>
      <c r="E24" s="101"/>
      <c r="F24" s="101"/>
      <c r="G24" s="101"/>
      <c r="H24" s="101"/>
      <c r="I24" s="101"/>
      <c r="J24" s="101"/>
      <c r="K24" s="101"/>
      <c r="L24" s="144"/>
      <c r="M24" s="144"/>
      <c r="N24" s="144"/>
      <c r="O24" s="101"/>
      <c r="P24" s="83">
        <f t="shared" si="11"/>
        <v>0</v>
      </c>
      <c r="Q24" s="83">
        <f t="shared" si="12"/>
        <v>0</v>
      </c>
      <c r="R24" s="83">
        <f t="shared" si="13"/>
        <v>0</v>
      </c>
      <c r="S24" s="83">
        <f t="shared" si="18"/>
        <v>0</v>
      </c>
      <c r="T24" s="89">
        <f t="shared" si="15"/>
        <v>0</v>
      </c>
      <c r="U24" s="101"/>
      <c r="V24" s="208">
        <f t="shared" si="16"/>
        <v>0</v>
      </c>
    </row>
    <row r="25" spans="1:22" ht="38.25" x14ac:dyDescent="0.2">
      <c r="A25" s="39" t="s">
        <v>261</v>
      </c>
      <c r="B25" s="40" t="s">
        <v>384</v>
      </c>
      <c r="C25" s="101">
        <f>SUM(C26:C29)</f>
        <v>89770000</v>
      </c>
      <c r="D25" s="101">
        <f>SUM(D26:D29)</f>
        <v>89770000</v>
      </c>
      <c r="E25" s="101">
        <v>0</v>
      </c>
      <c r="F25" s="101">
        <f t="shared" ref="F25" si="19">SUM(F26:F29)</f>
        <v>0</v>
      </c>
      <c r="G25" s="101"/>
      <c r="H25" s="101">
        <f>SUM(H26:H29)</f>
        <v>48018425</v>
      </c>
      <c r="I25" s="101">
        <v>0</v>
      </c>
      <c r="J25" s="101">
        <f t="shared" ref="J25" si="20">SUM(J26:J29)</f>
        <v>0</v>
      </c>
      <c r="K25" s="101"/>
      <c r="L25" s="143">
        <f t="shared" ref="L25:N29" si="21">+H25/C25</f>
        <v>0.53490503508967358</v>
      </c>
      <c r="M25" s="143">
        <f t="shared" si="21"/>
        <v>0</v>
      </c>
      <c r="N25" s="143" t="e">
        <f t="shared" si="21"/>
        <v>#DIV/0!</v>
      </c>
      <c r="O25" s="101"/>
      <c r="P25" s="101">
        <f t="shared" ref="P25:S25" si="22">+P26+P27+P28+P29</f>
        <v>0</v>
      </c>
      <c r="Q25" s="101">
        <f t="shared" si="22"/>
        <v>-89770000</v>
      </c>
      <c r="R25" s="101">
        <f t="shared" si="22"/>
        <v>0</v>
      </c>
      <c r="S25" s="101">
        <f t="shared" si="22"/>
        <v>-89770000</v>
      </c>
      <c r="T25" s="89">
        <f t="shared" si="15"/>
        <v>-1</v>
      </c>
      <c r="U25" s="101"/>
      <c r="V25" s="208">
        <f t="shared" si="16"/>
        <v>0</v>
      </c>
    </row>
    <row r="26" spans="1:22" ht="36.75" x14ac:dyDescent="0.2">
      <c r="A26" s="159" t="s">
        <v>392</v>
      </c>
      <c r="B26" s="155" t="s">
        <v>554</v>
      </c>
      <c r="C26" s="147">
        <v>20200000</v>
      </c>
      <c r="D26" s="147">
        <v>20200000</v>
      </c>
      <c r="E26" s="148"/>
      <c r="F26" s="148"/>
      <c r="G26" s="148"/>
      <c r="H26" s="148">
        <f>11070600+364627</f>
        <v>11435227</v>
      </c>
      <c r="I26" s="148"/>
      <c r="J26" s="148"/>
      <c r="K26" s="148"/>
      <c r="L26" s="143">
        <f t="shared" si="21"/>
        <v>0.56610034653465346</v>
      </c>
      <c r="M26" s="143">
        <f t="shared" si="21"/>
        <v>0</v>
      </c>
      <c r="N26" s="143" t="e">
        <f t="shared" si="21"/>
        <v>#DIV/0!</v>
      </c>
      <c r="O26" s="148"/>
      <c r="P26" s="83">
        <f t="shared" ref="P26:R29" si="23">+(D26-C26)*P$8</f>
        <v>0</v>
      </c>
      <c r="Q26" s="83">
        <f t="shared" si="23"/>
        <v>-20200000</v>
      </c>
      <c r="R26" s="83">
        <f t="shared" si="23"/>
        <v>0</v>
      </c>
      <c r="S26" s="83">
        <f t="shared" ref="S26:S29" si="24">SUM(P26:R26)</f>
        <v>-20200000</v>
      </c>
      <c r="T26" s="89">
        <f t="shared" si="15"/>
        <v>-1</v>
      </c>
      <c r="U26" s="148"/>
      <c r="V26" s="208">
        <f t="shared" si="16"/>
        <v>0</v>
      </c>
    </row>
    <row r="27" spans="1:22" ht="25.5" x14ac:dyDescent="0.2">
      <c r="A27" s="159" t="s">
        <v>395</v>
      </c>
      <c r="B27" s="155" t="s">
        <v>418</v>
      </c>
      <c r="C27" s="147">
        <f>540000*4</f>
        <v>2160000</v>
      </c>
      <c r="D27" s="147">
        <f>540000*4</f>
        <v>2160000</v>
      </c>
      <c r="E27" s="148"/>
      <c r="F27" s="148"/>
      <c r="G27" s="148"/>
      <c r="H27" s="148">
        <v>1080000</v>
      </c>
      <c r="I27" s="148"/>
      <c r="J27" s="148"/>
      <c r="K27" s="148"/>
      <c r="L27" s="143">
        <f t="shared" si="21"/>
        <v>0.5</v>
      </c>
      <c r="M27" s="143">
        <f t="shared" si="21"/>
        <v>0</v>
      </c>
      <c r="N27" s="143" t="e">
        <f t="shared" si="21"/>
        <v>#DIV/0!</v>
      </c>
      <c r="O27" s="148"/>
      <c r="P27" s="83">
        <f t="shared" si="23"/>
        <v>0</v>
      </c>
      <c r="Q27" s="83">
        <f t="shared" si="23"/>
        <v>-2160000</v>
      </c>
      <c r="R27" s="83">
        <f t="shared" si="23"/>
        <v>0</v>
      </c>
      <c r="S27" s="83">
        <f t="shared" si="24"/>
        <v>-2160000</v>
      </c>
      <c r="T27" s="89">
        <f t="shared" si="15"/>
        <v>-1</v>
      </c>
      <c r="U27" s="148"/>
      <c r="V27" s="208">
        <f t="shared" si="16"/>
        <v>0</v>
      </c>
    </row>
    <row r="28" spans="1:22" x14ac:dyDescent="0.2">
      <c r="A28" s="159" t="s">
        <v>396</v>
      </c>
      <c r="B28" s="155" t="s">
        <v>419</v>
      </c>
      <c r="C28" s="147">
        <v>0</v>
      </c>
      <c r="D28" s="147">
        <v>0</v>
      </c>
      <c r="E28" s="148"/>
      <c r="F28" s="148"/>
      <c r="G28" s="148"/>
      <c r="H28" s="148"/>
      <c r="I28" s="148"/>
      <c r="J28" s="148"/>
      <c r="K28" s="148"/>
      <c r="L28" s="143" t="e">
        <f t="shared" si="21"/>
        <v>#DIV/0!</v>
      </c>
      <c r="M28" s="143" t="e">
        <f t="shared" si="21"/>
        <v>#DIV/0!</v>
      </c>
      <c r="N28" s="143" t="e">
        <f t="shared" si="21"/>
        <v>#DIV/0!</v>
      </c>
      <c r="O28" s="148"/>
      <c r="P28" s="83">
        <f t="shared" si="23"/>
        <v>0</v>
      </c>
      <c r="Q28" s="83">
        <f t="shared" si="23"/>
        <v>0</v>
      </c>
      <c r="R28" s="83">
        <f t="shared" si="23"/>
        <v>0</v>
      </c>
      <c r="S28" s="83">
        <f t="shared" si="24"/>
        <v>0</v>
      </c>
      <c r="T28" s="89">
        <f t="shared" si="15"/>
        <v>0</v>
      </c>
      <c r="U28" s="148"/>
      <c r="V28" s="208">
        <f t="shared" si="16"/>
        <v>0</v>
      </c>
    </row>
    <row r="29" spans="1:22" ht="24" x14ac:dyDescent="0.2">
      <c r="A29" s="159" t="s">
        <v>397</v>
      </c>
      <c r="B29" s="155" t="s">
        <v>420</v>
      </c>
      <c r="C29" s="147">
        <v>67410000</v>
      </c>
      <c r="D29" s="147">
        <v>67410000</v>
      </c>
      <c r="E29" s="148"/>
      <c r="F29" s="148"/>
      <c r="G29" s="148"/>
      <c r="H29" s="148">
        <v>35503198</v>
      </c>
      <c r="I29" s="148"/>
      <c r="J29" s="148"/>
      <c r="K29" s="148"/>
      <c r="L29" s="143">
        <f t="shared" si="21"/>
        <v>0.52667553775404241</v>
      </c>
      <c r="M29" s="143">
        <f t="shared" si="21"/>
        <v>0</v>
      </c>
      <c r="N29" s="143" t="e">
        <f t="shared" si="21"/>
        <v>#DIV/0!</v>
      </c>
      <c r="O29" s="148"/>
      <c r="P29" s="83">
        <f t="shared" si="23"/>
        <v>0</v>
      </c>
      <c r="Q29" s="83">
        <f t="shared" si="23"/>
        <v>-67410000</v>
      </c>
      <c r="R29" s="83">
        <f t="shared" si="23"/>
        <v>0</v>
      </c>
      <c r="S29" s="83">
        <f t="shared" si="24"/>
        <v>-67410000</v>
      </c>
      <c r="T29" s="89">
        <f t="shared" si="15"/>
        <v>-1</v>
      </c>
      <c r="U29" s="148"/>
      <c r="V29" s="208">
        <f t="shared" si="16"/>
        <v>0</v>
      </c>
    </row>
    <row r="30" spans="1:22" ht="34.5" customHeight="1" x14ac:dyDescent="0.2">
      <c r="A30" s="4" t="s">
        <v>262</v>
      </c>
      <c r="B30" s="3" t="s">
        <v>263</v>
      </c>
      <c r="C30" s="68">
        <f>SUM(C31:C35)</f>
        <v>175000000</v>
      </c>
      <c r="D30" s="68">
        <f>SUM(D31:D35)</f>
        <v>580968123</v>
      </c>
      <c r="E30" s="68">
        <f>SUM(E31:E35)</f>
        <v>0</v>
      </c>
      <c r="F30" s="68">
        <f>SUM(F31:F35)</f>
        <v>0</v>
      </c>
      <c r="G30" s="68"/>
      <c r="H30" s="68">
        <f>SUM(H31:H35)</f>
        <v>505968123</v>
      </c>
      <c r="I30" s="68">
        <f>SUM(I31:I35)</f>
        <v>0</v>
      </c>
      <c r="J30" s="68">
        <f>SUM(J31:J35)</f>
        <v>0</v>
      </c>
      <c r="K30" s="68"/>
      <c r="L30" s="89">
        <f>H30/C30</f>
        <v>2.8912464171428574</v>
      </c>
      <c r="M30" s="89">
        <f>I30/D30</f>
        <v>0</v>
      </c>
      <c r="N30" s="89" t="e">
        <f>J30/E30</f>
        <v>#DIV/0!</v>
      </c>
      <c r="O30" s="68"/>
      <c r="P30" s="68">
        <f t="shared" ref="P30:S30" si="25">SUM(P31:P35)</f>
        <v>405968123</v>
      </c>
      <c r="Q30" s="68">
        <f t="shared" si="25"/>
        <v>-580968123</v>
      </c>
      <c r="R30" s="68">
        <f t="shared" si="25"/>
        <v>0</v>
      </c>
      <c r="S30" s="68">
        <f t="shared" si="25"/>
        <v>-175000000</v>
      </c>
      <c r="T30" s="89">
        <f t="shared" si="15"/>
        <v>-1</v>
      </c>
      <c r="U30" s="68"/>
      <c r="V30" s="208">
        <f t="shared" si="16"/>
        <v>0</v>
      </c>
    </row>
    <row r="31" spans="1:22" s="43" customFormat="1" ht="25.5" x14ac:dyDescent="0.2">
      <c r="A31" s="39" t="s">
        <v>264</v>
      </c>
      <c r="B31" s="40" t="s">
        <v>482</v>
      </c>
      <c r="C31" s="147">
        <v>175000000</v>
      </c>
      <c r="D31" s="101">
        <v>76600200</v>
      </c>
      <c r="E31" s="101">
        <v>0</v>
      </c>
      <c r="F31" s="101"/>
      <c r="G31" s="101"/>
      <c r="H31" s="101">
        <v>1600200</v>
      </c>
      <c r="I31" s="101">
        <v>0</v>
      </c>
      <c r="J31" s="101"/>
      <c r="K31" s="101"/>
      <c r="L31" s="144">
        <f>+H31/C31</f>
        <v>9.1439999999999994E-3</v>
      </c>
      <c r="M31" s="144">
        <f>+I31/D31</f>
        <v>0</v>
      </c>
      <c r="N31" s="144" t="e">
        <f>+J31/E31</f>
        <v>#DIV/0!</v>
      </c>
      <c r="O31" s="101"/>
      <c r="P31" s="101">
        <f t="shared" ref="P31:R38" si="26">+(D31-C31)*P$8</f>
        <v>-98399800</v>
      </c>
      <c r="Q31" s="101">
        <f t="shared" si="26"/>
        <v>-76600200</v>
      </c>
      <c r="R31" s="101">
        <f t="shared" si="26"/>
        <v>0</v>
      </c>
      <c r="S31" s="101">
        <f t="shared" ref="S31" si="27">SUM(P31:R31)</f>
        <v>-175000000</v>
      </c>
      <c r="T31" s="89">
        <f t="shared" si="15"/>
        <v>-1</v>
      </c>
      <c r="U31" s="101"/>
      <c r="V31" s="208">
        <f t="shared" si="16"/>
        <v>0</v>
      </c>
    </row>
    <row r="32" spans="1:22" s="43" customFormat="1" ht="51" customHeight="1" x14ac:dyDescent="0.2">
      <c r="A32" s="39" t="s">
        <v>265</v>
      </c>
      <c r="B32" s="588" t="s">
        <v>503</v>
      </c>
      <c r="C32" s="147"/>
      <c r="D32" s="101"/>
      <c r="E32" s="147"/>
      <c r="F32" s="147"/>
      <c r="G32" s="147"/>
      <c r="H32" s="147"/>
      <c r="I32" s="147"/>
      <c r="J32" s="147"/>
      <c r="K32" s="147"/>
      <c r="L32" s="153"/>
      <c r="M32" s="153"/>
      <c r="N32" s="153"/>
      <c r="O32" s="147"/>
      <c r="P32" s="83">
        <f t="shared" si="26"/>
        <v>0</v>
      </c>
      <c r="Q32" s="83">
        <f t="shared" si="26"/>
        <v>0</v>
      </c>
      <c r="R32" s="83">
        <f t="shared" si="26"/>
        <v>0</v>
      </c>
      <c r="S32" s="83">
        <f t="shared" ref="S32:S35" si="28">SUM(P32:R32)</f>
        <v>0</v>
      </c>
      <c r="T32" s="89">
        <f t="shared" si="15"/>
        <v>0</v>
      </c>
      <c r="U32" s="147"/>
      <c r="V32" s="208">
        <f t="shared" si="16"/>
        <v>0</v>
      </c>
    </row>
    <row r="33" spans="1:22" s="43" customFormat="1" ht="38.25" x14ac:dyDescent="0.2">
      <c r="A33" s="39" t="s">
        <v>266</v>
      </c>
      <c r="B33" s="588" t="s">
        <v>267</v>
      </c>
      <c r="C33" s="147"/>
      <c r="D33" s="101"/>
      <c r="E33" s="147"/>
      <c r="F33" s="147"/>
      <c r="G33" s="147"/>
      <c r="H33" s="147"/>
      <c r="I33" s="147"/>
      <c r="J33" s="147"/>
      <c r="K33" s="147"/>
      <c r="L33" s="153"/>
      <c r="M33" s="153"/>
      <c r="N33" s="153"/>
      <c r="O33" s="147"/>
      <c r="P33" s="83">
        <f t="shared" si="26"/>
        <v>0</v>
      </c>
      <c r="Q33" s="83">
        <f t="shared" si="26"/>
        <v>0</v>
      </c>
      <c r="R33" s="83">
        <f t="shared" si="26"/>
        <v>0</v>
      </c>
      <c r="S33" s="83">
        <f t="shared" si="28"/>
        <v>0</v>
      </c>
      <c r="T33" s="89">
        <f t="shared" si="15"/>
        <v>0</v>
      </c>
      <c r="U33" s="147"/>
      <c r="V33" s="208">
        <f t="shared" si="16"/>
        <v>0</v>
      </c>
    </row>
    <row r="34" spans="1:22" s="43" customFormat="1" ht="40.35" customHeight="1" x14ac:dyDescent="0.2">
      <c r="A34" s="39" t="s">
        <v>268</v>
      </c>
      <c r="B34" s="40" t="s">
        <v>421</v>
      </c>
      <c r="C34" s="147"/>
      <c r="D34" s="101"/>
      <c r="E34" s="147"/>
      <c r="F34" s="147"/>
      <c r="G34" s="147"/>
      <c r="H34" s="147"/>
      <c r="I34" s="147"/>
      <c r="J34" s="147"/>
      <c r="K34" s="147"/>
      <c r="L34" s="153"/>
      <c r="M34" s="153"/>
      <c r="N34" s="153"/>
      <c r="O34" s="147"/>
      <c r="P34" s="83">
        <f t="shared" si="26"/>
        <v>0</v>
      </c>
      <c r="Q34" s="83">
        <f t="shared" si="26"/>
        <v>0</v>
      </c>
      <c r="R34" s="83">
        <f t="shared" si="26"/>
        <v>0</v>
      </c>
      <c r="S34" s="83">
        <f t="shared" si="28"/>
        <v>0</v>
      </c>
      <c r="T34" s="89">
        <f t="shared" si="15"/>
        <v>0</v>
      </c>
      <c r="U34" s="147"/>
      <c r="V34" s="208">
        <f t="shared" si="16"/>
        <v>0</v>
      </c>
    </row>
    <row r="35" spans="1:22" s="43" customFormat="1" ht="36.75" x14ac:dyDescent="0.2">
      <c r="A35" s="39" t="s">
        <v>269</v>
      </c>
      <c r="B35" s="40" t="s">
        <v>422</v>
      </c>
      <c r="C35" s="147">
        <v>0</v>
      </c>
      <c r="D35" s="101">
        <v>504367923</v>
      </c>
      <c r="E35" s="101">
        <v>0</v>
      </c>
      <c r="F35" s="101">
        <f>SUM(F36:F38)</f>
        <v>0</v>
      </c>
      <c r="G35" s="101"/>
      <c r="H35" s="101">
        <v>504367923</v>
      </c>
      <c r="I35" s="101">
        <v>0</v>
      </c>
      <c r="J35" s="101">
        <f>SUM(J36:J38)</f>
        <v>0</v>
      </c>
      <c r="K35" s="101"/>
      <c r="L35" s="144" t="e">
        <f>+H35/C35</f>
        <v>#DIV/0!</v>
      </c>
      <c r="M35" s="144">
        <f>+I35/D35</f>
        <v>0</v>
      </c>
      <c r="N35" s="144" t="e">
        <f>+J35/E35</f>
        <v>#DIV/0!</v>
      </c>
      <c r="O35" s="101"/>
      <c r="P35" s="101">
        <f t="shared" si="26"/>
        <v>504367923</v>
      </c>
      <c r="Q35" s="101">
        <f t="shared" si="26"/>
        <v>-504367923</v>
      </c>
      <c r="R35" s="101">
        <f t="shared" si="26"/>
        <v>0</v>
      </c>
      <c r="S35" s="101">
        <f t="shared" si="28"/>
        <v>0</v>
      </c>
      <c r="T35" s="89">
        <f t="shared" si="15"/>
        <v>0</v>
      </c>
      <c r="U35" s="101"/>
      <c r="V35" s="208">
        <f t="shared" si="16"/>
        <v>0</v>
      </c>
    </row>
    <row r="36" spans="1:22" x14ac:dyDescent="0.2">
      <c r="A36" s="14"/>
      <c r="B36" s="155" t="s">
        <v>555</v>
      </c>
      <c r="C36" s="73"/>
      <c r="D36" s="70"/>
      <c r="E36" s="70"/>
      <c r="F36" s="70"/>
      <c r="G36" s="70"/>
      <c r="H36" s="70"/>
      <c r="I36" s="70">
        <v>0</v>
      </c>
      <c r="J36" s="70"/>
      <c r="K36" s="70"/>
      <c r="L36" s="143"/>
      <c r="M36" s="143"/>
      <c r="N36" s="143"/>
      <c r="O36" s="70"/>
      <c r="P36" s="83">
        <f t="shared" si="26"/>
        <v>0</v>
      </c>
      <c r="Q36" s="83">
        <f t="shared" si="26"/>
        <v>0</v>
      </c>
      <c r="R36" s="83">
        <f t="shared" si="26"/>
        <v>0</v>
      </c>
      <c r="S36" s="83">
        <f t="shared" ref="S36:S38" si="29">SUM(P36:R36)</f>
        <v>0</v>
      </c>
      <c r="T36" s="89">
        <f t="shared" si="15"/>
        <v>0</v>
      </c>
      <c r="U36" s="70"/>
      <c r="V36" s="208">
        <f t="shared" si="16"/>
        <v>0</v>
      </c>
    </row>
    <row r="37" spans="1:22" x14ac:dyDescent="0.2">
      <c r="A37" s="14"/>
      <c r="B37" s="155" t="s">
        <v>556</v>
      </c>
      <c r="C37" s="73"/>
      <c r="D37" s="70"/>
      <c r="E37" s="70"/>
      <c r="F37" s="70"/>
      <c r="G37" s="70"/>
      <c r="H37" s="70"/>
      <c r="I37" s="70"/>
      <c r="J37" s="70"/>
      <c r="K37" s="70"/>
      <c r="L37" s="143"/>
      <c r="M37" s="143"/>
      <c r="N37" s="143"/>
      <c r="O37" s="70"/>
      <c r="P37" s="83">
        <f t="shared" si="26"/>
        <v>0</v>
      </c>
      <c r="Q37" s="83">
        <f t="shared" si="26"/>
        <v>0</v>
      </c>
      <c r="R37" s="83">
        <f t="shared" si="26"/>
        <v>0</v>
      </c>
      <c r="S37" s="83">
        <f t="shared" si="29"/>
        <v>0</v>
      </c>
      <c r="T37" s="89">
        <f t="shared" si="15"/>
        <v>0</v>
      </c>
      <c r="U37" s="70"/>
      <c r="V37" s="208">
        <f t="shared" si="16"/>
        <v>0</v>
      </c>
    </row>
    <row r="38" spans="1:22" x14ac:dyDescent="0.2">
      <c r="A38" s="14"/>
      <c r="B38" s="157"/>
      <c r="C38" s="73"/>
      <c r="D38" s="70"/>
      <c r="E38" s="70"/>
      <c r="F38" s="70"/>
      <c r="G38" s="70"/>
      <c r="H38" s="70"/>
      <c r="I38" s="70"/>
      <c r="J38" s="70"/>
      <c r="K38" s="70"/>
      <c r="L38" s="143"/>
      <c r="M38" s="143"/>
      <c r="N38" s="143"/>
      <c r="O38" s="70"/>
      <c r="P38" s="83">
        <f t="shared" si="26"/>
        <v>0</v>
      </c>
      <c r="Q38" s="83">
        <f t="shared" si="26"/>
        <v>0</v>
      </c>
      <c r="R38" s="83">
        <f t="shared" si="26"/>
        <v>0</v>
      </c>
      <c r="S38" s="83">
        <f t="shared" si="29"/>
        <v>0</v>
      </c>
      <c r="T38" s="89">
        <f t="shared" si="15"/>
        <v>0</v>
      </c>
      <c r="U38" s="70"/>
      <c r="V38" s="208">
        <f t="shared" si="16"/>
        <v>0</v>
      </c>
    </row>
    <row r="39" spans="1:22" x14ac:dyDescent="0.2">
      <c r="A39" s="4" t="s">
        <v>270</v>
      </c>
      <c r="B39" s="3" t="s">
        <v>271</v>
      </c>
      <c r="C39" s="68">
        <f>+C40+C42+C47</f>
        <v>198244647</v>
      </c>
      <c r="D39" s="68">
        <f>+D40+D42+D47</f>
        <v>198244647</v>
      </c>
      <c r="E39" s="68">
        <f>+E40+E42+E47</f>
        <v>0</v>
      </c>
      <c r="F39" s="68">
        <f>+F40+F42+F47</f>
        <v>0</v>
      </c>
      <c r="G39" s="68"/>
      <c r="H39" s="68">
        <f>+H40+H42+H47</f>
        <v>110800513</v>
      </c>
      <c r="I39" s="68">
        <f>+I40+I42+I47</f>
        <v>0</v>
      </c>
      <c r="J39" s="68">
        <f>+J40+J42+J47</f>
        <v>0</v>
      </c>
      <c r="K39" s="68"/>
      <c r="L39" s="89">
        <f>H39/C39</f>
        <v>0.55890796889965966</v>
      </c>
      <c r="M39" s="89">
        <f>I39/D39</f>
        <v>0</v>
      </c>
      <c r="N39" s="89" t="e">
        <f>J39/E39</f>
        <v>#DIV/0!</v>
      </c>
      <c r="O39" s="68"/>
      <c r="P39" s="68">
        <f t="shared" ref="P39:S39" si="30">+P40+P42+P47</f>
        <v>0</v>
      </c>
      <c r="Q39" s="68">
        <f t="shared" si="30"/>
        <v>-198244647</v>
      </c>
      <c r="R39" s="68">
        <f t="shared" si="30"/>
        <v>0</v>
      </c>
      <c r="S39" s="68">
        <f t="shared" si="30"/>
        <v>-198244647</v>
      </c>
      <c r="T39" s="89">
        <f t="shared" si="15"/>
        <v>-1</v>
      </c>
      <c r="U39" s="68"/>
      <c r="V39" s="208">
        <f t="shared" si="16"/>
        <v>0</v>
      </c>
    </row>
    <row r="40" spans="1:22" x14ac:dyDescent="0.2">
      <c r="A40" s="39" t="s">
        <v>272</v>
      </c>
      <c r="B40" s="40" t="s">
        <v>273</v>
      </c>
      <c r="C40" s="147">
        <f>SUM(C41)</f>
        <v>16000000</v>
      </c>
      <c r="D40" s="147">
        <f t="shared" ref="D40:F40" si="31">SUM(D41)</f>
        <v>16000000</v>
      </c>
      <c r="E40" s="147">
        <f t="shared" si="31"/>
        <v>0</v>
      </c>
      <c r="F40" s="147">
        <f t="shared" si="31"/>
        <v>0</v>
      </c>
      <c r="G40" s="101"/>
      <c r="H40" s="147">
        <f t="shared" ref="H40" si="32">SUM(H41)</f>
        <v>13305509</v>
      </c>
      <c r="I40" s="147">
        <f t="shared" ref="I40" si="33">SUM(I41)</f>
        <v>0</v>
      </c>
      <c r="J40" s="147">
        <f t="shared" ref="J40" si="34">SUM(J41)</f>
        <v>0</v>
      </c>
      <c r="K40" s="101"/>
      <c r="L40" s="143">
        <f>+H40/C40</f>
        <v>0.83159431250000004</v>
      </c>
      <c r="M40" s="143">
        <f>+I40/D40</f>
        <v>0</v>
      </c>
      <c r="N40" s="143" t="e">
        <f>+J40/E40</f>
        <v>#DIV/0!</v>
      </c>
      <c r="O40" s="101"/>
      <c r="P40" s="101">
        <f t="shared" ref="P40:S40" si="35">SUM(P41)</f>
        <v>0</v>
      </c>
      <c r="Q40" s="101">
        <f t="shared" si="35"/>
        <v>-16000000</v>
      </c>
      <c r="R40" s="101">
        <f t="shared" si="35"/>
        <v>0</v>
      </c>
      <c r="S40" s="101">
        <f t="shared" si="35"/>
        <v>-16000000</v>
      </c>
      <c r="T40" s="89">
        <f t="shared" si="15"/>
        <v>-1</v>
      </c>
      <c r="U40" s="101"/>
      <c r="V40" s="208">
        <f t="shared" si="16"/>
        <v>0</v>
      </c>
    </row>
    <row r="41" spans="1:22" x14ac:dyDescent="0.2">
      <c r="A41" s="39"/>
      <c r="B41" s="155" t="s">
        <v>274</v>
      </c>
      <c r="C41" s="149">
        <v>16000000</v>
      </c>
      <c r="D41" s="150">
        <v>16000000</v>
      </c>
      <c r="E41" s="150">
        <v>0</v>
      </c>
      <c r="F41" s="150"/>
      <c r="G41" s="150"/>
      <c r="H41" s="150">
        <f>12185749+1119760</f>
        <v>13305509</v>
      </c>
      <c r="I41" s="150">
        <v>0</v>
      </c>
      <c r="J41" s="150"/>
      <c r="K41" s="150"/>
      <c r="L41" s="144"/>
      <c r="M41" s="144"/>
      <c r="N41" s="144"/>
      <c r="O41" s="150"/>
      <c r="P41" s="83">
        <f>+(D41-C41)*P$8</f>
        <v>0</v>
      </c>
      <c r="Q41" s="83">
        <f>+(E41-D41)*Q$8</f>
        <v>-16000000</v>
      </c>
      <c r="R41" s="83">
        <f>+(F41-E41)*R$8</f>
        <v>0</v>
      </c>
      <c r="S41" s="83">
        <f t="shared" ref="S41" si="36">SUM(P41:R41)</f>
        <v>-16000000</v>
      </c>
      <c r="T41" s="89">
        <f t="shared" si="15"/>
        <v>-1</v>
      </c>
      <c r="U41" s="150"/>
      <c r="V41" s="208">
        <f t="shared" si="16"/>
        <v>0</v>
      </c>
    </row>
    <row r="42" spans="1:22" x14ac:dyDescent="0.2">
      <c r="A42" s="39" t="s">
        <v>275</v>
      </c>
      <c r="B42" s="40" t="s">
        <v>276</v>
      </c>
      <c r="C42" s="101">
        <f t="shared" ref="C42" si="37">SUM(C43+C46)</f>
        <v>171544647</v>
      </c>
      <c r="D42" s="101">
        <f>SUM(D43+D46)</f>
        <v>171544647</v>
      </c>
      <c r="E42" s="101">
        <f>SUM(E43+E46)</f>
        <v>0</v>
      </c>
      <c r="F42" s="101">
        <f>SUM(F43+F46)</f>
        <v>0</v>
      </c>
      <c r="G42" s="101"/>
      <c r="H42" s="101">
        <f>SUM(H43+H46)</f>
        <v>89951864</v>
      </c>
      <c r="I42" s="101">
        <f>SUM(I43+I46)</f>
        <v>0</v>
      </c>
      <c r="J42" s="101">
        <f>SUM(J43+J46)</f>
        <v>0</v>
      </c>
      <c r="K42" s="101"/>
      <c r="L42" s="143">
        <f>+H42/C42</f>
        <v>0.5243641557640677</v>
      </c>
      <c r="M42" s="143">
        <f>+I42/D42</f>
        <v>0</v>
      </c>
      <c r="N42" s="143" t="e">
        <f>+J42/E42</f>
        <v>#DIV/0!</v>
      </c>
      <c r="O42" s="101"/>
      <c r="P42" s="101">
        <f t="shared" ref="P42:S42" si="38">SUM(P43+P46)</f>
        <v>0</v>
      </c>
      <c r="Q42" s="101">
        <f t="shared" si="38"/>
        <v>-171544647</v>
      </c>
      <c r="R42" s="101">
        <f t="shared" si="38"/>
        <v>0</v>
      </c>
      <c r="S42" s="101">
        <f t="shared" si="38"/>
        <v>-171544647</v>
      </c>
      <c r="T42" s="89">
        <f t="shared" si="15"/>
        <v>-1</v>
      </c>
      <c r="U42" s="101"/>
      <c r="V42" s="208">
        <f t="shared" si="16"/>
        <v>0</v>
      </c>
    </row>
    <row r="43" spans="1:22" x14ac:dyDescent="0.2">
      <c r="A43" s="14" t="s">
        <v>277</v>
      </c>
      <c r="B43" s="513" t="s">
        <v>278</v>
      </c>
      <c r="C43" s="73">
        <f t="shared" ref="C43" si="39">SUM(C44:C45)</f>
        <v>143544647</v>
      </c>
      <c r="D43" s="73">
        <f t="shared" ref="D43:E43" si="40">SUM(D44:D45)</f>
        <v>143544647</v>
      </c>
      <c r="E43" s="73">
        <f t="shared" si="40"/>
        <v>0</v>
      </c>
      <c r="F43" s="73">
        <f>SUM(F44:F45)</f>
        <v>0</v>
      </c>
      <c r="G43" s="73"/>
      <c r="H43" s="73">
        <f t="shared" ref="H43:I43" si="41">SUM(H44:H45)</f>
        <v>72303353</v>
      </c>
      <c r="I43" s="73">
        <f t="shared" si="41"/>
        <v>0</v>
      </c>
      <c r="J43" s="73">
        <f>SUM(J44:J45)</f>
        <v>0</v>
      </c>
      <c r="K43" s="73"/>
      <c r="L43" s="142"/>
      <c r="M43" s="142"/>
      <c r="N43" s="142"/>
      <c r="O43" s="73"/>
      <c r="P43" s="83">
        <f t="shared" ref="P43:R46" si="42">+(D43-C43)*P$8</f>
        <v>0</v>
      </c>
      <c r="Q43" s="83">
        <f t="shared" si="42"/>
        <v>-143544647</v>
      </c>
      <c r="R43" s="83">
        <f t="shared" si="42"/>
        <v>0</v>
      </c>
      <c r="S43" s="83">
        <f t="shared" ref="S43:S44" si="43">SUM(P43:R43)</f>
        <v>-143544647</v>
      </c>
      <c r="T43" s="89">
        <f t="shared" si="15"/>
        <v>-1</v>
      </c>
      <c r="U43" s="73"/>
      <c r="V43" s="208">
        <f t="shared" si="16"/>
        <v>0</v>
      </c>
    </row>
    <row r="44" spans="1:22" x14ac:dyDescent="0.2">
      <c r="A44" s="14"/>
      <c r="B44" s="156" t="s">
        <v>279</v>
      </c>
      <c r="C44" s="73">
        <v>0</v>
      </c>
      <c r="D44" s="70">
        <v>0</v>
      </c>
      <c r="E44" s="70">
        <v>0</v>
      </c>
      <c r="F44" s="70">
        <v>0</v>
      </c>
      <c r="G44" s="70"/>
      <c r="H44" s="70">
        <v>0</v>
      </c>
      <c r="I44" s="70"/>
      <c r="J44" s="70"/>
      <c r="K44" s="70"/>
      <c r="L44" s="142"/>
      <c r="M44" s="142"/>
      <c r="N44" s="142"/>
      <c r="O44" s="70"/>
      <c r="P44" s="83">
        <f t="shared" si="42"/>
        <v>0</v>
      </c>
      <c r="Q44" s="83">
        <f t="shared" si="42"/>
        <v>0</v>
      </c>
      <c r="R44" s="83">
        <f t="shared" si="42"/>
        <v>0</v>
      </c>
      <c r="S44" s="83">
        <f t="shared" si="43"/>
        <v>0</v>
      </c>
      <c r="T44" s="89">
        <f t="shared" si="15"/>
        <v>0</v>
      </c>
      <c r="U44" s="70"/>
      <c r="V44" s="208">
        <f t="shared" si="16"/>
        <v>0</v>
      </c>
    </row>
    <row r="45" spans="1:22" x14ac:dyDescent="0.2">
      <c r="A45" s="14"/>
      <c r="B45" s="157" t="s">
        <v>404</v>
      </c>
      <c r="C45" s="73">
        <v>143544647</v>
      </c>
      <c r="D45" s="70">
        <v>143544647</v>
      </c>
      <c r="E45" s="70">
        <v>0</v>
      </c>
      <c r="F45" s="70"/>
      <c r="G45" s="70"/>
      <c r="H45" s="70">
        <v>72303353</v>
      </c>
      <c r="I45" s="70">
        <v>0</v>
      </c>
      <c r="J45" s="70"/>
      <c r="K45" s="70"/>
      <c r="L45" s="143">
        <f t="shared" ref="L45:N48" si="44">+H45/C45</f>
        <v>0.50369940301570426</v>
      </c>
      <c r="M45" s="143">
        <f t="shared" si="44"/>
        <v>0</v>
      </c>
      <c r="N45" s="143" t="e">
        <f t="shared" si="44"/>
        <v>#DIV/0!</v>
      </c>
      <c r="O45" s="70"/>
      <c r="P45" s="83">
        <f t="shared" si="42"/>
        <v>0</v>
      </c>
      <c r="Q45" s="83">
        <f t="shared" si="42"/>
        <v>-143544647</v>
      </c>
      <c r="R45" s="83">
        <f t="shared" si="42"/>
        <v>0</v>
      </c>
      <c r="S45" s="83">
        <f t="shared" ref="S45:S46" si="45">SUM(P45:R45)</f>
        <v>-143544647</v>
      </c>
      <c r="T45" s="89">
        <f t="shared" si="15"/>
        <v>-1</v>
      </c>
      <c r="U45" s="70"/>
      <c r="V45" s="208">
        <f t="shared" si="16"/>
        <v>0</v>
      </c>
    </row>
    <row r="46" spans="1:22" x14ac:dyDescent="0.2">
      <c r="A46" s="14" t="s">
        <v>280</v>
      </c>
      <c r="B46" s="45" t="s">
        <v>405</v>
      </c>
      <c r="C46" s="73">
        <v>28000000</v>
      </c>
      <c r="D46" s="70">
        <v>28000000</v>
      </c>
      <c r="E46" s="70">
        <v>0</v>
      </c>
      <c r="F46" s="70"/>
      <c r="G46" s="70"/>
      <c r="H46" s="633">
        <v>17648511</v>
      </c>
      <c r="I46" s="70">
        <v>0</v>
      </c>
      <c r="J46" s="70"/>
      <c r="K46" s="70"/>
      <c r="L46" s="143">
        <f t="shared" si="44"/>
        <v>0.63030396428571434</v>
      </c>
      <c r="M46" s="143">
        <f t="shared" si="44"/>
        <v>0</v>
      </c>
      <c r="N46" s="143" t="e">
        <f t="shared" si="44"/>
        <v>#DIV/0!</v>
      </c>
      <c r="O46" s="70"/>
      <c r="P46" s="83">
        <f t="shared" si="42"/>
        <v>0</v>
      </c>
      <c r="Q46" s="83">
        <f t="shared" si="42"/>
        <v>-28000000</v>
      </c>
      <c r="R46" s="83">
        <f t="shared" si="42"/>
        <v>0</v>
      </c>
      <c r="S46" s="83">
        <f t="shared" si="45"/>
        <v>-28000000</v>
      </c>
      <c r="T46" s="89">
        <f t="shared" si="15"/>
        <v>-1</v>
      </c>
      <c r="U46" s="70"/>
      <c r="V46" s="208">
        <f t="shared" si="16"/>
        <v>0</v>
      </c>
    </row>
    <row r="47" spans="1:22" x14ac:dyDescent="0.2">
      <c r="A47" s="39" t="s">
        <v>281</v>
      </c>
      <c r="B47" s="40" t="s">
        <v>282</v>
      </c>
      <c r="C47" s="101">
        <f t="shared" ref="C47" si="46">SUM(C48:C49)</f>
        <v>10700000</v>
      </c>
      <c r="D47" s="101">
        <f>SUM(D48:D49)</f>
        <v>10700000</v>
      </c>
      <c r="E47" s="101">
        <f>SUM(E48:E49)</f>
        <v>0</v>
      </c>
      <c r="F47" s="101">
        <f>SUM(F48:F49)</f>
        <v>0</v>
      </c>
      <c r="G47" s="101"/>
      <c r="H47" s="101">
        <f>SUM(H48:H49)</f>
        <v>7543140</v>
      </c>
      <c r="I47" s="101">
        <f>SUM(I48:I49)</f>
        <v>0</v>
      </c>
      <c r="J47" s="101">
        <f>SUM(J48:J49)</f>
        <v>0</v>
      </c>
      <c r="K47" s="101"/>
      <c r="L47" s="143">
        <f t="shared" si="44"/>
        <v>0.70496635514018691</v>
      </c>
      <c r="M47" s="143">
        <f t="shared" si="44"/>
        <v>0</v>
      </c>
      <c r="N47" s="143" t="e">
        <f t="shared" si="44"/>
        <v>#DIV/0!</v>
      </c>
      <c r="O47" s="101"/>
      <c r="P47" s="101">
        <f t="shared" ref="P47:S47" si="47">SUM(P48:P49)</f>
        <v>0</v>
      </c>
      <c r="Q47" s="101">
        <f t="shared" si="47"/>
        <v>-10700000</v>
      </c>
      <c r="R47" s="101">
        <f t="shared" si="47"/>
        <v>0</v>
      </c>
      <c r="S47" s="101">
        <f t="shared" si="47"/>
        <v>-10700000</v>
      </c>
      <c r="T47" s="89">
        <f t="shared" si="15"/>
        <v>-1</v>
      </c>
      <c r="U47" s="101"/>
      <c r="V47" s="208">
        <f t="shared" si="16"/>
        <v>0</v>
      </c>
    </row>
    <row r="48" spans="1:22" ht="67.900000000000006" customHeight="1" x14ac:dyDescent="0.2">
      <c r="A48" s="14"/>
      <c r="B48" s="155" t="s">
        <v>557</v>
      </c>
      <c r="C48" s="73">
        <v>10700000</v>
      </c>
      <c r="D48" s="70">
        <v>10700000</v>
      </c>
      <c r="E48" s="70">
        <v>0</v>
      </c>
      <c r="F48" s="70"/>
      <c r="G48" s="70"/>
      <c r="H48" s="70">
        <v>7543140</v>
      </c>
      <c r="I48" s="70">
        <v>0</v>
      </c>
      <c r="J48" s="70"/>
      <c r="K48" s="70"/>
      <c r="L48" s="143">
        <f t="shared" si="44"/>
        <v>0.70496635514018691</v>
      </c>
      <c r="M48" s="143">
        <f t="shared" si="44"/>
        <v>0</v>
      </c>
      <c r="N48" s="143" t="e">
        <f t="shared" si="44"/>
        <v>#DIV/0!</v>
      </c>
      <c r="O48" s="70"/>
      <c r="P48" s="83">
        <f t="shared" ref="P48:R49" si="48">+(D48-C48)*P$8</f>
        <v>0</v>
      </c>
      <c r="Q48" s="83">
        <f t="shared" si="48"/>
        <v>-10700000</v>
      </c>
      <c r="R48" s="83">
        <f t="shared" si="48"/>
        <v>0</v>
      </c>
      <c r="S48" s="83">
        <f t="shared" ref="S48:S49" si="49">SUM(P48:R48)</f>
        <v>-10700000</v>
      </c>
      <c r="T48" s="89">
        <f t="shared" si="15"/>
        <v>-1</v>
      </c>
      <c r="U48" s="70"/>
      <c r="V48" s="208">
        <f t="shared" si="16"/>
        <v>0</v>
      </c>
    </row>
    <row r="49" spans="1:22" ht="61.15" customHeight="1" x14ac:dyDescent="0.2">
      <c r="A49" s="14"/>
      <c r="B49" s="156" t="s">
        <v>283</v>
      </c>
      <c r="C49" s="73">
        <v>0</v>
      </c>
      <c r="D49" s="70">
        <f>+C49</f>
        <v>0</v>
      </c>
      <c r="E49" s="70"/>
      <c r="F49" s="70"/>
      <c r="G49" s="70"/>
      <c r="H49" s="70">
        <v>0</v>
      </c>
      <c r="I49" s="70">
        <v>0</v>
      </c>
      <c r="J49" s="70"/>
      <c r="K49" s="70"/>
      <c r="L49" s="143"/>
      <c r="M49" s="143"/>
      <c r="N49" s="143"/>
      <c r="O49" s="70"/>
      <c r="P49" s="83">
        <f t="shared" si="48"/>
        <v>0</v>
      </c>
      <c r="Q49" s="83">
        <f t="shared" si="48"/>
        <v>0</v>
      </c>
      <c r="R49" s="83">
        <f t="shared" si="48"/>
        <v>0</v>
      </c>
      <c r="S49" s="83">
        <f t="shared" si="49"/>
        <v>0</v>
      </c>
      <c r="T49" s="89">
        <f t="shared" si="15"/>
        <v>0</v>
      </c>
      <c r="U49" s="70"/>
      <c r="V49" s="208">
        <f t="shared" si="16"/>
        <v>0</v>
      </c>
    </row>
    <row r="50" spans="1:22" x14ac:dyDescent="0.2">
      <c r="A50" s="4" t="s">
        <v>284</v>
      </c>
      <c r="B50" s="3" t="s">
        <v>285</v>
      </c>
      <c r="C50" s="69">
        <f t="shared" ref="C50" si="50">SUM(C51:C66)</f>
        <v>70826000</v>
      </c>
      <c r="D50" s="69">
        <f>SUM(D51:D66)</f>
        <v>70826000</v>
      </c>
      <c r="E50" s="69">
        <f>SUM(E51:E66)</f>
        <v>0</v>
      </c>
      <c r="F50" s="69">
        <f>SUM(F51:F66)</f>
        <v>0</v>
      </c>
      <c r="G50" s="69"/>
      <c r="H50" s="69">
        <f>SUM(H51:H66)</f>
        <v>53883694</v>
      </c>
      <c r="I50" s="69">
        <f>SUM(I51:I66)</f>
        <v>0</v>
      </c>
      <c r="J50" s="69">
        <f>SUM(J51:J66)</f>
        <v>0</v>
      </c>
      <c r="K50" s="69"/>
      <c r="L50" s="143">
        <f>+H50/C50</f>
        <v>0.7607897382317228</v>
      </c>
      <c r="M50" s="143">
        <f>+I50/D50</f>
        <v>0</v>
      </c>
      <c r="N50" s="143" t="e">
        <f>+J50/E50</f>
        <v>#DIV/0!</v>
      </c>
      <c r="O50" s="69"/>
      <c r="P50" s="69">
        <f t="shared" ref="P50:S50" si="51">SUM(P51:P66)</f>
        <v>0</v>
      </c>
      <c r="Q50" s="69">
        <f t="shared" si="51"/>
        <v>-70826000</v>
      </c>
      <c r="R50" s="69">
        <f t="shared" si="51"/>
        <v>0</v>
      </c>
      <c r="S50" s="69">
        <f t="shared" si="51"/>
        <v>-70826000</v>
      </c>
      <c r="T50" s="89">
        <f t="shared" si="15"/>
        <v>-1</v>
      </c>
      <c r="U50" s="69"/>
      <c r="V50" s="208">
        <f t="shared" si="16"/>
        <v>0</v>
      </c>
    </row>
    <row r="51" spans="1:22" x14ac:dyDescent="0.2">
      <c r="A51" s="14" t="s">
        <v>286</v>
      </c>
      <c r="B51" s="20" t="s">
        <v>287</v>
      </c>
      <c r="C51" s="73">
        <f>SUM(D51:D51)</f>
        <v>0</v>
      </c>
      <c r="D51" s="70"/>
      <c r="E51" s="73">
        <v>0</v>
      </c>
      <c r="F51" s="73"/>
      <c r="G51" s="73"/>
      <c r="H51" s="73">
        <v>19772</v>
      </c>
      <c r="I51" s="73">
        <v>0</v>
      </c>
      <c r="J51" s="73"/>
      <c r="K51" s="73"/>
      <c r="L51" s="142"/>
      <c r="M51" s="142"/>
      <c r="N51" s="142"/>
      <c r="O51" s="73"/>
      <c r="P51" s="73"/>
      <c r="Q51" s="83">
        <f t="shared" ref="Q51:Q66" si="52">+(E51-D51)*Q$8</f>
        <v>0</v>
      </c>
      <c r="R51" s="73"/>
      <c r="S51" s="83">
        <f t="shared" ref="S51:S66" si="53">SUM(P51:R51)</f>
        <v>0</v>
      </c>
      <c r="U51" s="73"/>
      <c r="V51" s="210"/>
    </row>
    <row r="52" spans="1:22" x14ac:dyDescent="0.2">
      <c r="A52" s="14" t="s">
        <v>288</v>
      </c>
      <c r="B52" s="20" t="s">
        <v>289</v>
      </c>
      <c r="C52" s="73">
        <v>20000000</v>
      </c>
      <c r="D52" s="70">
        <v>20000000</v>
      </c>
      <c r="E52" s="70">
        <v>0</v>
      </c>
      <c r="F52" s="70"/>
      <c r="G52" s="70"/>
      <c r="H52" s="70">
        <v>14691153</v>
      </c>
      <c r="I52" s="70">
        <v>0</v>
      </c>
      <c r="J52" s="70"/>
      <c r="K52" s="70"/>
      <c r="L52" s="143">
        <f t="shared" ref="L52:N53" si="54">+H52/C52</f>
        <v>0.73455764999999995</v>
      </c>
      <c r="M52" s="143">
        <f t="shared" si="54"/>
        <v>0</v>
      </c>
      <c r="N52" s="143" t="e">
        <f t="shared" si="54"/>
        <v>#DIV/0!</v>
      </c>
      <c r="O52" s="70"/>
      <c r="P52" s="83">
        <f t="shared" ref="P52:P66" si="55">+(D52-C52)*P$8</f>
        <v>0</v>
      </c>
      <c r="Q52" s="83">
        <f t="shared" si="52"/>
        <v>-20000000</v>
      </c>
      <c r="R52" s="83">
        <f t="shared" ref="R52:R66" si="56">+(F52-E52)*R$8</f>
        <v>0</v>
      </c>
      <c r="S52" s="83">
        <f t="shared" si="53"/>
        <v>-20000000</v>
      </c>
      <c r="T52" s="89">
        <f t="shared" ref="T52:T96" si="57">IF(C52=0,0,+S52/C52)</f>
        <v>-1</v>
      </c>
      <c r="U52" s="70"/>
      <c r="V52" s="208">
        <f t="shared" ref="V52:V96" si="58">+S52-E52+C52</f>
        <v>0</v>
      </c>
    </row>
    <row r="53" spans="1:22" x14ac:dyDescent="0.2">
      <c r="A53" s="14" t="s">
        <v>290</v>
      </c>
      <c r="B53" s="20" t="s">
        <v>291</v>
      </c>
      <c r="C53" s="73">
        <v>16000000</v>
      </c>
      <c r="D53" s="70">
        <v>16000000</v>
      </c>
      <c r="E53" s="70">
        <v>0</v>
      </c>
      <c r="F53" s="70"/>
      <c r="G53" s="70"/>
      <c r="H53" s="70">
        <v>5843510</v>
      </c>
      <c r="I53" s="70">
        <v>0</v>
      </c>
      <c r="J53" s="70"/>
      <c r="K53" s="70"/>
      <c r="L53" s="143">
        <f t="shared" si="54"/>
        <v>0.36521937500000001</v>
      </c>
      <c r="M53" s="143">
        <f t="shared" si="54"/>
        <v>0</v>
      </c>
      <c r="N53" s="143" t="e">
        <f t="shared" si="54"/>
        <v>#DIV/0!</v>
      </c>
      <c r="O53" s="70"/>
      <c r="P53" s="83">
        <f t="shared" si="55"/>
        <v>0</v>
      </c>
      <c r="Q53" s="83">
        <f t="shared" si="52"/>
        <v>-16000000</v>
      </c>
      <c r="R53" s="83">
        <f t="shared" si="56"/>
        <v>0</v>
      </c>
      <c r="S53" s="83">
        <f t="shared" si="53"/>
        <v>-16000000</v>
      </c>
      <c r="T53" s="89">
        <f t="shared" si="57"/>
        <v>-1</v>
      </c>
      <c r="U53" s="70"/>
      <c r="V53" s="208">
        <f t="shared" si="58"/>
        <v>0</v>
      </c>
    </row>
    <row r="54" spans="1:22" x14ac:dyDescent="0.2">
      <c r="A54" s="14"/>
      <c r="B54" s="20" t="s">
        <v>292</v>
      </c>
      <c r="C54" s="73"/>
      <c r="D54" s="70"/>
      <c r="E54" s="70"/>
      <c r="F54" s="70"/>
      <c r="G54" s="70"/>
      <c r="H54" s="70"/>
      <c r="I54" s="70"/>
      <c r="J54" s="70"/>
      <c r="K54" s="70"/>
      <c r="L54" s="142"/>
      <c r="M54" s="142"/>
      <c r="N54" s="142"/>
      <c r="O54" s="70"/>
      <c r="P54" s="83">
        <f t="shared" si="55"/>
        <v>0</v>
      </c>
      <c r="Q54" s="83">
        <f t="shared" si="52"/>
        <v>0</v>
      </c>
      <c r="R54" s="83">
        <f t="shared" si="56"/>
        <v>0</v>
      </c>
      <c r="S54" s="83">
        <f t="shared" si="53"/>
        <v>0</v>
      </c>
      <c r="T54" s="89">
        <f t="shared" si="57"/>
        <v>0</v>
      </c>
      <c r="U54" s="70"/>
      <c r="V54" s="208">
        <f t="shared" si="58"/>
        <v>0</v>
      </c>
    </row>
    <row r="55" spans="1:22" x14ac:dyDescent="0.2">
      <c r="A55" s="14" t="s">
        <v>293</v>
      </c>
      <c r="B55" s="20" t="s">
        <v>294</v>
      </c>
      <c r="C55" s="73">
        <v>0</v>
      </c>
      <c r="D55" s="70">
        <v>0</v>
      </c>
      <c r="E55" s="70">
        <v>0</v>
      </c>
      <c r="F55" s="70"/>
      <c r="G55" s="70"/>
      <c r="H55" s="70">
        <v>0</v>
      </c>
      <c r="I55" s="70">
        <v>0</v>
      </c>
      <c r="J55" s="70"/>
      <c r="K55" s="70"/>
      <c r="L55" s="142"/>
      <c r="M55" s="142"/>
      <c r="N55" s="142"/>
      <c r="O55" s="70"/>
      <c r="P55" s="83">
        <f t="shared" si="55"/>
        <v>0</v>
      </c>
      <c r="Q55" s="83">
        <f t="shared" si="52"/>
        <v>0</v>
      </c>
      <c r="R55" s="83">
        <f t="shared" si="56"/>
        <v>0</v>
      </c>
      <c r="S55" s="83">
        <f t="shared" si="53"/>
        <v>0</v>
      </c>
      <c r="T55" s="89">
        <f t="shared" si="57"/>
        <v>0</v>
      </c>
      <c r="U55" s="70"/>
      <c r="V55" s="208">
        <f t="shared" si="58"/>
        <v>0</v>
      </c>
    </row>
    <row r="56" spans="1:22" ht="39.6" customHeight="1" x14ac:dyDescent="0.2">
      <c r="A56" s="14"/>
      <c r="B56" s="20" t="s">
        <v>295</v>
      </c>
      <c r="C56" s="73"/>
      <c r="D56" s="70"/>
      <c r="E56" s="70"/>
      <c r="F56" s="70"/>
      <c r="G56" s="70"/>
      <c r="H56" s="70"/>
      <c r="I56" s="70"/>
      <c r="J56" s="70"/>
      <c r="K56" s="70"/>
      <c r="L56" s="142"/>
      <c r="M56" s="142"/>
      <c r="N56" s="142"/>
      <c r="O56" s="70"/>
      <c r="P56" s="83">
        <f t="shared" si="55"/>
        <v>0</v>
      </c>
      <c r="Q56" s="83">
        <f t="shared" si="52"/>
        <v>0</v>
      </c>
      <c r="R56" s="83">
        <f t="shared" si="56"/>
        <v>0</v>
      </c>
      <c r="S56" s="83">
        <f t="shared" si="53"/>
        <v>0</v>
      </c>
      <c r="T56" s="89">
        <f t="shared" si="57"/>
        <v>0</v>
      </c>
      <c r="U56" s="70"/>
      <c r="V56" s="208">
        <f t="shared" si="58"/>
        <v>0</v>
      </c>
    </row>
    <row r="57" spans="1:22" x14ac:dyDescent="0.2">
      <c r="A57" s="14" t="s">
        <v>296</v>
      </c>
      <c r="B57" s="20" t="s">
        <v>297</v>
      </c>
      <c r="C57" s="73"/>
      <c r="D57" s="70"/>
      <c r="E57" s="70"/>
      <c r="F57" s="70"/>
      <c r="G57" s="70"/>
      <c r="H57" s="70">
        <v>0</v>
      </c>
      <c r="I57" s="70">
        <v>0</v>
      </c>
      <c r="J57" s="70"/>
      <c r="K57" s="70"/>
      <c r="L57" s="142"/>
      <c r="M57" s="142"/>
      <c r="N57" s="142"/>
      <c r="O57" s="70"/>
      <c r="P57" s="83">
        <f t="shared" si="55"/>
        <v>0</v>
      </c>
      <c r="Q57" s="83">
        <f t="shared" si="52"/>
        <v>0</v>
      </c>
      <c r="R57" s="83">
        <f t="shared" si="56"/>
        <v>0</v>
      </c>
      <c r="S57" s="83">
        <f t="shared" si="53"/>
        <v>0</v>
      </c>
      <c r="T57" s="89">
        <f t="shared" si="57"/>
        <v>0</v>
      </c>
      <c r="U57" s="70"/>
      <c r="V57" s="208">
        <f t="shared" si="58"/>
        <v>0</v>
      </c>
    </row>
    <row r="58" spans="1:22" ht="69.95" customHeight="1" x14ac:dyDescent="0.2">
      <c r="A58" s="14"/>
      <c r="B58" s="20" t="s">
        <v>298</v>
      </c>
      <c r="C58" s="73"/>
      <c r="D58" s="70"/>
      <c r="E58" s="70"/>
      <c r="F58" s="70"/>
      <c r="G58" s="70"/>
      <c r="H58" s="70"/>
      <c r="I58" s="70"/>
      <c r="J58" s="70"/>
      <c r="K58" s="70"/>
      <c r="L58" s="142"/>
      <c r="M58" s="142"/>
      <c r="N58" s="142"/>
      <c r="O58" s="70"/>
      <c r="P58" s="83">
        <f t="shared" si="55"/>
        <v>0</v>
      </c>
      <c r="Q58" s="83">
        <f t="shared" si="52"/>
        <v>0</v>
      </c>
      <c r="R58" s="83">
        <f t="shared" si="56"/>
        <v>0</v>
      </c>
      <c r="S58" s="83">
        <f t="shared" si="53"/>
        <v>0</v>
      </c>
      <c r="T58" s="89">
        <f t="shared" si="57"/>
        <v>0</v>
      </c>
      <c r="U58" s="70"/>
      <c r="V58" s="208">
        <f t="shared" si="58"/>
        <v>0</v>
      </c>
    </row>
    <row r="59" spans="1:22" x14ac:dyDescent="0.2">
      <c r="A59" s="14" t="s">
        <v>299</v>
      </c>
      <c r="B59" s="20" t="s">
        <v>300</v>
      </c>
      <c r="C59" s="73">
        <f>4000000+4826000</f>
        <v>8826000</v>
      </c>
      <c r="D59" s="70">
        <v>8826000</v>
      </c>
      <c r="E59" s="70">
        <v>0</v>
      </c>
      <c r="F59" s="70"/>
      <c r="G59" s="70"/>
      <c r="H59" s="70">
        <v>5628245</v>
      </c>
      <c r="I59" s="70">
        <v>0</v>
      </c>
      <c r="J59" s="70"/>
      <c r="K59" s="70"/>
      <c r="L59" s="143">
        <f>+H59/C59</f>
        <v>0.6376892136868344</v>
      </c>
      <c r="M59" s="143">
        <f>+I59/D59</f>
        <v>0</v>
      </c>
      <c r="N59" s="143" t="e">
        <f>+J59/E59</f>
        <v>#DIV/0!</v>
      </c>
      <c r="O59" s="70"/>
      <c r="P59" s="83">
        <f t="shared" si="55"/>
        <v>0</v>
      </c>
      <c r="Q59" s="83">
        <f t="shared" si="52"/>
        <v>-8826000</v>
      </c>
      <c r="R59" s="83">
        <f t="shared" si="56"/>
        <v>0</v>
      </c>
      <c r="S59" s="83">
        <f t="shared" si="53"/>
        <v>-8826000</v>
      </c>
      <c r="T59" s="89">
        <f t="shared" si="57"/>
        <v>-1</v>
      </c>
      <c r="U59" s="70"/>
      <c r="V59" s="208">
        <f t="shared" si="58"/>
        <v>0</v>
      </c>
    </row>
    <row r="60" spans="1:22" x14ac:dyDescent="0.2">
      <c r="A60" s="14" t="s">
        <v>301</v>
      </c>
      <c r="B60" s="20" t="s">
        <v>302</v>
      </c>
      <c r="C60" s="73"/>
      <c r="D60" s="70"/>
      <c r="E60" s="70"/>
      <c r="F60" s="70"/>
      <c r="G60" s="70"/>
      <c r="H60" s="70"/>
      <c r="I60" s="70"/>
      <c r="J60" s="70"/>
      <c r="K60" s="70"/>
      <c r="L60" s="142"/>
      <c r="M60" s="142"/>
      <c r="N60" s="142"/>
      <c r="O60" s="70"/>
      <c r="P60" s="83">
        <f t="shared" si="55"/>
        <v>0</v>
      </c>
      <c r="Q60" s="83">
        <f t="shared" si="52"/>
        <v>0</v>
      </c>
      <c r="R60" s="83">
        <f t="shared" si="56"/>
        <v>0</v>
      </c>
      <c r="S60" s="83">
        <f t="shared" si="53"/>
        <v>0</v>
      </c>
      <c r="T60" s="89">
        <f t="shared" si="57"/>
        <v>0</v>
      </c>
      <c r="U60" s="70"/>
      <c r="V60" s="208">
        <f t="shared" si="58"/>
        <v>0</v>
      </c>
    </row>
    <row r="61" spans="1:22" x14ac:dyDescent="0.2">
      <c r="A61" s="14"/>
      <c r="B61" s="20" t="s">
        <v>303</v>
      </c>
      <c r="C61" s="73"/>
      <c r="D61" s="70"/>
      <c r="E61" s="70"/>
      <c r="F61" s="70"/>
      <c r="G61" s="70"/>
      <c r="H61" s="70"/>
      <c r="I61" s="70"/>
      <c r="J61" s="70"/>
      <c r="K61" s="70"/>
      <c r="L61" s="142"/>
      <c r="M61" s="142"/>
      <c r="N61" s="142"/>
      <c r="O61" s="70"/>
      <c r="P61" s="83">
        <f t="shared" si="55"/>
        <v>0</v>
      </c>
      <c r="Q61" s="83">
        <f t="shared" si="52"/>
        <v>0</v>
      </c>
      <c r="R61" s="83">
        <f t="shared" si="56"/>
        <v>0</v>
      </c>
      <c r="S61" s="83">
        <f t="shared" si="53"/>
        <v>0</v>
      </c>
      <c r="T61" s="89">
        <f t="shared" si="57"/>
        <v>0</v>
      </c>
      <c r="U61" s="70"/>
      <c r="V61" s="208">
        <f t="shared" si="58"/>
        <v>0</v>
      </c>
    </row>
    <row r="62" spans="1:22" x14ac:dyDescent="0.2">
      <c r="A62" s="14" t="s">
        <v>304</v>
      </c>
      <c r="B62" s="20" t="s">
        <v>305</v>
      </c>
      <c r="C62" s="73">
        <v>0</v>
      </c>
      <c r="D62" s="70">
        <v>0</v>
      </c>
      <c r="E62" s="70">
        <v>0</v>
      </c>
      <c r="F62" s="70"/>
      <c r="G62" s="70"/>
      <c r="H62" s="70">
        <v>2702340</v>
      </c>
      <c r="I62" s="70">
        <v>0</v>
      </c>
      <c r="J62" s="70"/>
      <c r="K62" s="70"/>
      <c r="L62" s="143" t="e">
        <f>+H62/C62</f>
        <v>#DIV/0!</v>
      </c>
      <c r="M62" s="143" t="e">
        <f>+I62/D62</f>
        <v>#DIV/0!</v>
      </c>
      <c r="N62" s="143" t="e">
        <f>+J62/E62</f>
        <v>#DIV/0!</v>
      </c>
      <c r="O62" s="70"/>
      <c r="P62" s="83">
        <f t="shared" si="55"/>
        <v>0</v>
      </c>
      <c r="Q62" s="83">
        <f t="shared" si="52"/>
        <v>0</v>
      </c>
      <c r="R62" s="83">
        <f t="shared" si="56"/>
        <v>0</v>
      </c>
      <c r="S62" s="83">
        <f t="shared" si="53"/>
        <v>0</v>
      </c>
      <c r="T62" s="89">
        <f t="shared" si="57"/>
        <v>0</v>
      </c>
      <c r="U62" s="70"/>
      <c r="V62" s="208">
        <f t="shared" si="58"/>
        <v>0</v>
      </c>
    </row>
    <row r="63" spans="1:22" x14ac:dyDescent="0.2">
      <c r="A63" s="14" t="s">
        <v>306</v>
      </c>
      <c r="B63" s="20" t="s">
        <v>307</v>
      </c>
      <c r="C63" s="73">
        <v>26000000</v>
      </c>
      <c r="D63" s="70">
        <v>26000000</v>
      </c>
      <c r="E63" s="70"/>
      <c r="F63" s="70"/>
      <c r="G63" s="70"/>
      <c r="H63" s="70"/>
      <c r="I63" s="70"/>
      <c r="J63" s="70"/>
      <c r="K63" s="70"/>
      <c r="L63" s="143"/>
      <c r="M63" s="143"/>
      <c r="N63" s="143"/>
      <c r="O63" s="70"/>
      <c r="P63" s="83">
        <f t="shared" si="55"/>
        <v>0</v>
      </c>
      <c r="Q63" s="83">
        <f t="shared" si="52"/>
        <v>-26000000</v>
      </c>
      <c r="R63" s="83">
        <f t="shared" si="56"/>
        <v>0</v>
      </c>
      <c r="S63" s="83">
        <f t="shared" si="53"/>
        <v>-26000000</v>
      </c>
      <c r="T63" s="89">
        <f t="shared" si="57"/>
        <v>-1</v>
      </c>
      <c r="U63" s="70"/>
      <c r="V63" s="208">
        <f t="shared" si="58"/>
        <v>0</v>
      </c>
    </row>
    <row r="64" spans="1:22" ht="52.5" customHeight="1" x14ac:dyDescent="0.2">
      <c r="A64" s="14"/>
      <c r="B64" s="20" t="s">
        <v>308</v>
      </c>
      <c r="C64" s="73"/>
      <c r="D64" s="70"/>
      <c r="E64" s="70"/>
      <c r="F64" s="70"/>
      <c r="G64" s="70"/>
      <c r="H64" s="70"/>
      <c r="I64" s="70"/>
      <c r="J64" s="70"/>
      <c r="K64" s="70"/>
      <c r="L64" s="143"/>
      <c r="M64" s="143"/>
      <c r="N64" s="143"/>
      <c r="O64" s="70"/>
      <c r="P64" s="83">
        <f t="shared" si="55"/>
        <v>0</v>
      </c>
      <c r="Q64" s="83">
        <f t="shared" si="52"/>
        <v>0</v>
      </c>
      <c r="R64" s="83">
        <f t="shared" si="56"/>
        <v>0</v>
      </c>
      <c r="S64" s="83">
        <f t="shared" si="53"/>
        <v>0</v>
      </c>
      <c r="T64" s="89">
        <f t="shared" si="57"/>
        <v>0</v>
      </c>
      <c r="U64" s="70"/>
      <c r="V64" s="208">
        <f t="shared" si="58"/>
        <v>0</v>
      </c>
    </row>
    <row r="65" spans="1:22" x14ac:dyDescent="0.2">
      <c r="A65" s="560" t="s">
        <v>389</v>
      </c>
      <c r="B65" s="20" t="s">
        <v>309</v>
      </c>
      <c r="C65" s="73">
        <v>0</v>
      </c>
      <c r="D65" s="70">
        <v>0</v>
      </c>
      <c r="E65" s="70">
        <v>0</v>
      </c>
      <c r="F65" s="70"/>
      <c r="G65" s="70"/>
      <c r="H65" s="70">
        <f>68400+24930274</f>
        <v>24998674</v>
      </c>
      <c r="I65" s="70">
        <v>0</v>
      </c>
      <c r="J65" s="70"/>
      <c r="K65" s="70"/>
      <c r="L65" s="143" t="e">
        <f>+H65/C65</f>
        <v>#DIV/0!</v>
      </c>
      <c r="M65" s="143" t="e">
        <f>+I65/D65</f>
        <v>#DIV/0!</v>
      </c>
      <c r="N65" s="143" t="e">
        <f>+J65/E65</f>
        <v>#DIV/0!</v>
      </c>
      <c r="O65" s="70"/>
      <c r="P65" s="83">
        <f t="shared" si="55"/>
        <v>0</v>
      </c>
      <c r="Q65" s="83">
        <f t="shared" si="52"/>
        <v>0</v>
      </c>
      <c r="R65" s="83">
        <f t="shared" si="56"/>
        <v>0</v>
      </c>
      <c r="S65" s="83">
        <f t="shared" si="53"/>
        <v>0</v>
      </c>
      <c r="T65" s="89">
        <f t="shared" si="57"/>
        <v>0</v>
      </c>
      <c r="U65" s="70"/>
      <c r="V65" s="208">
        <f t="shared" si="58"/>
        <v>0</v>
      </c>
    </row>
    <row r="66" spans="1:22" ht="39" customHeight="1" x14ac:dyDescent="0.2">
      <c r="A66" s="14"/>
      <c r="B66" s="20" t="s">
        <v>310</v>
      </c>
      <c r="C66" s="151"/>
      <c r="D66" s="152">
        <v>0</v>
      </c>
      <c r="E66" s="152"/>
      <c r="F66" s="152"/>
      <c r="G66" s="152"/>
      <c r="H66" s="152">
        <v>0</v>
      </c>
      <c r="I66" s="152"/>
      <c r="J66" s="152"/>
      <c r="K66" s="152"/>
      <c r="L66" s="143"/>
      <c r="M66" s="143"/>
      <c r="N66" s="143"/>
      <c r="O66" s="152"/>
      <c r="P66" s="83">
        <f t="shared" si="55"/>
        <v>0</v>
      </c>
      <c r="Q66" s="83">
        <f t="shared" si="52"/>
        <v>0</v>
      </c>
      <c r="R66" s="83">
        <f t="shared" si="56"/>
        <v>0</v>
      </c>
      <c r="S66" s="83">
        <f t="shared" si="53"/>
        <v>0</v>
      </c>
      <c r="T66" s="89">
        <f t="shared" si="57"/>
        <v>0</v>
      </c>
      <c r="U66" s="152"/>
      <c r="V66" s="208">
        <f t="shared" si="58"/>
        <v>0</v>
      </c>
    </row>
    <row r="67" spans="1:22" x14ac:dyDescent="0.2">
      <c r="A67" s="4" t="s">
        <v>311</v>
      </c>
      <c r="B67" s="3" t="s">
        <v>312</v>
      </c>
      <c r="C67" s="68">
        <f>SUM(C68:C71)</f>
        <v>72638000</v>
      </c>
      <c r="D67" s="69">
        <f>SUM(D68:D71)</f>
        <v>72638000</v>
      </c>
      <c r="E67" s="69">
        <f>SUM(E68:E71)</f>
        <v>0</v>
      </c>
      <c r="F67" s="69">
        <f>SUM(F68:F71)</f>
        <v>0</v>
      </c>
      <c r="G67" s="69"/>
      <c r="H67" s="69">
        <f t="shared" ref="H67" si="59">SUM(H68:H71)</f>
        <v>16435054</v>
      </c>
      <c r="I67" s="69">
        <f>SUM(I68:I71)</f>
        <v>0</v>
      </c>
      <c r="J67" s="69">
        <f>SUM(J68:J71)</f>
        <v>0</v>
      </c>
      <c r="K67" s="69"/>
      <c r="L67" s="143">
        <f>+H67/C67</f>
        <v>0.2262597263140505</v>
      </c>
      <c r="M67" s="143">
        <f>+I67/D67</f>
        <v>0</v>
      </c>
      <c r="N67" s="143" t="e">
        <f>+J67/E67</f>
        <v>#DIV/0!</v>
      </c>
      <c r="O67" s="69"/>
      <c r="P67" s="69">
        <f t="shared" ref="P67:S67" si="60">SUM(P68:P71)</f>
        <v>0</v>
      </c>
      <c r="Q67" s="69">
        <f t="shared" si="60"/>
        <v>-72638000</v>
      </c>
      <c r="R67" s="69">
        <f t="shared" si="60"/>
        <v>0</v>
      </c>
      <c r="S67" s="69">
        <f t="shared" si="60"/>
        <v>-72638000</v>
      </c>
      <c r="T67" s="89">
        <f t="shared" si="57"/>
        <v>-1</v>
      </c>
      <c r="U67" s="69"/>
      <c r="V67" s="208">
        <f t="shared" si="58"/>
        <v>0</v>
      </c>
    </row>
    <row r="68" spans="1:22" x14ac:dyDescent="0.2">
      <c r="A68" s="14" t="s">
        <v>313</v>
      </c>
      <c r="B68" s="20" t="s">
        <v>314</v>
      </c>
      <c r="C68" s="73"/>
      <c r="D68" s="70"/>
      <c r="E68" s="73"/>
      <c r="F68" s="73"/>
      <c r="G68" s="73"/>
      <c r="H68" s="73"/>
      <c r="I68" s="73"/>
      <c r="J68" s="73"/>
      <c r="K68" s="73"/>
      <c r="L68" s="143"/>
      <c r="M68" s="143"/>
      <c r="N68" s="143"/>
      <c r="O68" s="73"/>
      <c r="P68" s="83">
        <f t="shared" ref="P68:R71" si="61">+(D68-C68)*P$8</f>
        <v>0</v>
      </c>
      <c r="Q68" s="83">
        <f t="shared" si="61"/>
        <v>0</v>
      </c>
      <c r="R68" s="83">
        <f t="shared" si="61"/>
        <v>0</v>
      </c>
      <c r="S68" s="83">
        <f t="shared" ref="S68" si="62">SUM(P68:R68)</f>
        <v>0</v>
      </c>
      <c r="T68" s="89">
        <f t="shared" si="57"/>
        <v>0</v>
      </c>
      <c r="U68" s="73"/>
      <c r="V68" s="208">
        <f t="shared" si="58"/>
        <v>0</v>
      </c>
    </row>
    <row r="69" spans="1:22" x14ac:dyDescent="0.2">
      <c r="A69" s="14" t="s">
        <v>315</v>
      </c>
      <c r="B69" s="20" t="s">
        <v>316</v>
      </c>
      <c r="C69" s="73">
        <v>72638000</v>
      </c>
      <c r="D69" s="70">
        <v>72638000</v>
      </c>
      <c r="E69" s="70">
        <v>0</v>
      </c>
      <c r="F69" s="70"/>
      <c r="G69" s="70"/>
      <c r="H69" s="70">
        <v>16435054</v>
      </c>
      <c r="I69" s="70">
        <v>0</v>
      </c>
      <c r="J69" s="70"/>
      <c r="K69" s="70"/>
      <c r="L69" s="143">
        <f t="shared" ref="L69:N70" si="63">+H69/C69</f>
        <v>0.2262597263140505</v>
      </c>
      <c r="M69" s="143">
        <f t="shared" si="63"/>
        <v>0</v>
      </c>
      <c r="N69" s="143" t="e">
        <f t="shared" si="63"/>
        <v>#DIV/0!</v>
      </c>
      <c r="O69" s="70"/>
      <c r="P69" s="83">
        <f t="shared" si="61"/>
        <v>0</v>
      </c>
      <c r="Q69" s="83">
        <f t="shared" si="61"/>
        <v>-72638000</v>
      </c>
      <c r="R69" s="83">
        <f t="shared" si="61"/>
        <v>0</v>
      </c>
      <c r="S69" s="83">
        <f t="shared" ref="S69:S71" si="64">SUM(P69:R69)</f>
        <v>-72638000</v>
      </c>
      <c r="T69" s="89">
        <f t="shared" si="57"/>
        <v>-1</v>
      </c>
      <c r="U69" s="70"/>
      <c r="V69" s="208">
        <f t="shared" si="58"/>
        <v>0</v>
      </c>
    </row>
    <row r="70" spans="1:22" x14ac:dyDescent="0.2">
      <c r="A70" s="14" t="s">
        <v>317</v>
      </c>
      <c r="B70" s="20" t="s">
        <v>318</v>
      </c>
      <c r="C70" s="73">
        <v>0</v>
      </c>
      <c r="D70" s="70">
        <v>0</v>
      </c>
      <c r="E70" s="70">
        <v>0</v>
      </c>
      <c r="F70" s="70"/>
      <c r="G70" s="70"/>
      <c r="H70" s="70">
        <v>0</v>
      </c>
      <c r="I70" s="70">
        <v>0</v>
      </c>
      <c r="J70" s="70"/>
      <c r="K70" s="70"/>
      <c r="L70" s="143" t="e">
        <f t="shared" si="63"/>
        <v>#DIV/0!</v>
      </c>
      <c r="M70" s="143" t="e">
        <f t="shared" si="63"/>
        <v>#DIV/0!</v>
      </c>
      <c r="N70" s="143" t="e">
        <f t="shared" si="63"/>
        <v>#DIV/0!</v>
      </c>
      <c r="O70" s="70"/>
      <c r="P70" s="83">
        <f t="shared" si="61"/>
        <v>0</v>
      </c>
      <c r="Q70" s="83">
        <f t="shared" si="61"/>
        <v>0</v>
      </c>
      <c r="R70" s="83">
        <f t="shared" si="61"/>
        <v>0</v>
      </c>
      <c r="S70" s="83">
        <f t="shared" si="64"/>
        <v>0</v>
      </c>
      <c r="T70" s="89">
        <f t="shared" si="57"/>
        <v>0</v>
      </c>
      <c r="U70" s="70"/>
      <c r="V70" s="208">
        <f t="shared" si="58"/>
        <v>0</v>
      </c>
    </row>
    <row r="71" spans="1:22" x14ac:dyDescent="0.2">
      <c r="A71" s="14" t="s">
        <v>319</v>
      </c>
      <c r="B71" s="20" t="s">
        <v>320</v>
      </c>
      <c r="C71" s="73"/>
      <c r="D71" s="70"/>
      <c r="E71" s="73"/>
      <c r="F71" s="73"/>
      <c r="G71" s="73"/>
      <c r="H71" s="73"/>
      <c r="I71" s="73"/>
      <c r="J71" s="73"/>
      <c r="K71" s="73"/>
      <c r="L71" s="143"/>
      <c r="M71" s="143"/>
      <c r="N71" s="143"/>
      <c r="O71" s="73"/>
      <c r="P71" s="83">
        <f t="shared" si="61"/>
        <v>0</v>
      </c>
      <c r="Q71" s="83">
        <f t="shared" si="61"/>
        <v>0</v>
      </c>
      <c r="R71" s="83">
        <f t="shared" si="61"/>
        <v>0</v>
      </c>
      <c r="S71" s="83">
        <f t="shared" si="64"/>
        <v>0</v>
      </c>
      <c r="T71" s="89">
        <f t="shared" si="57"/>
        <v>0</v>
      </c>
      <c r="U71" s="73"/>
      <c r="V71" s="208">
        <f t="shared" si="58"/>
        <v>0</v>
      </c>
    </row>
    <row r="72" spans="1:22" x14ac:dyDescent="0.2">
      <c r="A72" s="4" t="s">
        <v>321</v>
      </c>
      <c r="B72" s="3" t="s">
        <v>322</v>
      </c>
      <c r="C72" s="68">
        <f t="shared" ref="C72" si="65">SUM(C73:C75)</f>
        <v>0</v>
      </c>
      <c r="D72" s="68">
        <f>SUM(D73:D75)</f>
        <v>0</v>
      </c>
      <c r="E72" s="68">
        <f>SUM(E73:E75)</f>
        <v>0</v>
      </c>
      <c r="F72" s="68">
        <f>SUM(F73:F75)</f>
        <v>0</v>
      </c>
      <c r="G72" s="68"/>
      <c r="H72" s="68">
        <f>SUM(H73:H75)</f>
        <v>100000</v>
      </c>
      <c r="I72" s="68">
        <f>SUM(I73:I75)</f>
        <v>0</v>
      </c>
      <c r="J72" s="68">
        <f>SUM(J73:J75)</f>
        <v>0</v>
      </c>
      <c r="K72" s="68"/>
      <c r="L72" s="143" t="e">
        <f>+H72/C72</f>
        <v>#DIV/0!</v>
      </c>
      <c r="M72" s="143" t="e">
        <f>+I72/D72</f>
        <v>#DIV/0!</v>
      </c>
      <c r="N72" s="143" t="e">
        <f>+J72/E72</f>
        <v>#DIV/0!</v>
      </c>
      <c r="O72" s="68"/>
      <c r="P72" s="68">
        <f t="shared" ref="P72:S72" si="66">SUM(P73:P75)</f>
        <v>0</v>
      </c>
      <c r="Q72" s="68">
        <f t="shared" si="66"/>
        <v>0</v>
      </c>
      <c r="R72" s="68">
        <f t="shared" si="66"/>
        <v>0</v>
      </c>
      <c r="S72" s="68">
        <f t="shared" si="66"/>
        <v>0</v>
      </c>
      <c r="T72" s="89">
        <f t="shared" si="57"/>
        <v>0</v>
      </c>
      <c r="U72" s="68"/>
      <c r="V72" s="208">
        <f t="shared" si="58"/>
        <v>0</v>
      </c>
    </row>
    <row r="73" spans="1:22" ht="26.1" customHeight="1" x14ac:dyDescent="0.2">
      <c r="A73" s="14" t="s">
        <v>323</v>
      </c>
      <c r="B73" s="20" t="s">
        <v>324</v>
      </c>
      <c r="C73" s="73"/>
      <c r="D73" s="70"/>
      <c r="E73" s="73"/>
      <c r="F73" s="73"/>
      <c r="G73" s="73"/>
      <c r="H73" s="73"/>
      <c r="I73" s="73"/>
      <c r="J73" s="73"/>
      <c r="K73" s="73"/>
      <c r="L73" s="143"/>
      <c r="M73" s="143"/>
      <c r="N73" s="143"/>
      <c r="O73" s="73"/>
      <c r="P73" s="83">
        <f t="shared" ref="P73:R75" si="67">+(D73-C73)*P$8</f>
        <v>0</v>
      </c>
      <c r="Q73" s="83">
        <f t="shared" si="67"/>
        <v>0</v>
      </c>
      <c r="R73" s="83">
        <f t="shared" si="67"/>
        <v>0</v>
      </c>
      <c r="S73" s="83">
        <f t="shared" ref="S73:S75" si="68">SUM(P73:R73)</f>
        <v>0</v>
      </c>
      <c r="T73" s="89">
        <f t="shared" si="57"/>
        <v>0</v>
      </c>
      <c r="U73" s="73"/>
      <c r="V73" s="208">
        <f t="shared" si="58"/>
        <v>0</v>
      </c>
    </row>
    <row r="74" spans="1:22" ht="26.1" customHeight="1" x14ac:dyDescent="0.2">
      <c r="A74" s="560" t="s">
        <v>559</v>
      </c>
      <c r="B74" s="513" t="s">
        <v>558</v>
      </c>
      <c r="C74" s="73"/>
      <c r="D74" s="70"/>
      <c r="E74" s="73"/>
      <c r="F74" s="73"/>
      <c r="G74" s="73"/>
      <c r="H74" s="73">
        <v>100000</v>
      </c>
      <c r="I74" s="73"/>
      <c r="J74" s="73"/>
      <c r="K74" s="73"/>
      <c r="L74" s="143"/>
      <c r="M74" s="143"/>
      <c r="N74" s="143"/>
      <c r="O74" s="73"/>
      <c r="P74" s="83">
        <f t="shared" si="67"/>
        <v>0</v>
      </c>
      <c r="Q74" s="83">
        <f t="shared" si="67"/>
        <v>0</v>
      </c>
      <c r="R74" s="83">
        <f t="shared" si="67"/>
        <v>0</v>
      </c>
      <c r="S74" s="83">
        <f t="shared" si="68"/>
        <v>0</v>
      </c>
      <c r="T74" s="89">
        <f t="shared" si="57"/>
        <v>0</v>
      </c>
      <c r="U74" s="73"/>
      <c r="V74" s="208">
        <f t="shared" si="58"/>
        <v>0</v>
      </c>
    </row>
    <row r="75" spans="1:22" ht="25.5" x14ac:dyDescent="0.2">
      <c r="A75" s="560" t="s">
        <v>472</v>
      </c>
      <c r="B75" s="45" t="s">
        <v>398</v>
      </c>
      <c r="C75" s="73">
        <v>0</v>
      </c>
      <c r="D75" s="70">
        <v>0</v>
      </c>
      <c r="E75" s="70">
        <v>0</v>
      </c>
      <c r="F75" s="70"/>
      <c r="G75" s="70"/>
      <c r="H75" s="70">
        <v>0</v>
      </c>
      <c r="I75" s="70">
        <v>0</v>
      </c>
      <c r="J75" s="70"/>
      <c r="K75" s="70"/>
      <c r="L75" s="143" t="e">
        <f t="shared" ref="L75:N76" si="69">+H75/C75</f>
        <v>#DIV/0!</v>
      </c>
      <c r="M75" s="143" t="e">
        <f t="shared" si="69"/>
        <v>#DIV/0!</v>
      </c>
      <c r="N75" s="143" t="e">
        <f t="shared" si="69"/>
        <v>#DIV/0!</v>
      </c>
      <c r="O75" s="70"/>
      <c r="P75" s="83">
        <f t="shared" si="67"/>
        <v>0</v>
      </c>
      <c r="Q75" s="83">
        <f t="shared" si="67"/>
        <v>0</v>
      </c>
      <c r="R75" s="83">
        <f t="shared" si="67"/>
        <v>0</v>
      </c>
      <c r="S75" s="83">
        <f t="shared" si="68"/>
        <v>0</v>
      </c>
      <c r="T75" s="89">
        <f t="shared" si="57"/>
        <v>0</v>
      </c>
      <c r="U75" s="70"/>
      <c r="V75" s="208">
        <f t="shared" si="58"/>
        <v>0</v>
      </c>
    </row>
    <row r="76" spans="1:22" ht="25.5" x14ac:dyDescent="0.2">
      <c r="A76" s="4" t="s">
        <v>326</v>
      </c>
      <c r="B76" s="3" t="s">
        <v>327</v>
      </c>
      <c r="C76" s="68">
        <f>SUM(C77:C78)</f>
        <v>0</v>
      </c>
      <c r="D76" s="68">
        <f>+D77+D78+D79</f>
        <v>0</v>
      </c>
      <c r="E76" s="68">
        <f>SUM(E77:E79)</f>
        <v>0</v>
      </c>
      <c r="F76" s="68">
        <f>SUM(F77:F79)</f>
        <v>0</v>
      </c>
      <c r="G76" s="68"/>
      <c r="H76" s="68">
        <f>+H77+H78+H79</f>
        <v>102000</v>
      </c>
      <c r="I76" s="68">
        <f>SUM(I77:I79)</f>
        <v>0</v>
      </c>
      <c r="J76" s="68">
        <f>SUM(J77:J79)</f>
        <v>0</v>
      </c>
      <c r="K76" s="68"/>
      <c r="L76" s="143" t="e">
        <f t="shared" si="69"/>
        <v>#DIV/0!</v>
      </c>
      <c r="M76" s="143" t="e">
        <f t="shared" si="69"/>
        <v>#DIV/0!</v>
      </c>
      <c r="N76" s="143" t="e">
        <f t="shared" si="69"/>
        <v>#DIV/0!</v>
      </c>
      <c r="O76" s="68"/>
      <c r="P76" s="68">
        <f t="shared" ref="P76:S76" si="70">+P77+P78+P79</f>
        <v>0</v>
      </c>
      <c r="Q76" s="68">
        <f t="shared" si="70"/>
        <v>0</v>
      </c>
      <c r="R76" s="68">
        <f t="shared" si="70"/>
        <v>0</v>
      </c>
      <c r="S76" s="68">
        <f t="shared" si="70"/>
        <v>0</v>
      </c>
      <c r="T76" s="89">
        <f t="shared" si="57"/>
        <v>0</v>
      </c>
      <c r="U76" s="68"/>
      <c r="V76" s="208">
        <f t="shared" si="58"/>
        <v>0</v>
      </c>
    </row>
    <row r="77" spans="1:22" ht="39.950000000000003" customHeight="1" x14ac:dyDescent="0.2">
      <c r="A77" s="14" t="s">
        <v>328</v>
      </c>
      <c r="B77" s="20" t="s">
        <v>329</v>
      </c>
      <c r="C77" s="73"/>
      <c r="D77" s="70"/>
      <c r="E77" s="73"/>
      <c r="F77" s="73"/>
      <c r="G77" s="73"/>
      <c r="H77" s="73"/>
      <c r="I77" s="73"/>
      <c r="J77" s="73"/>
      <c r="K77" s="73"/>
      <c r="L77" s="143"/>
      <c r="M77" s="143"/>
      <c r="N77" s="143"/>
      <c r="O77" s="73"/>
      <c r="P77" s="83">
        <f t="shared" ref="P77:R79" si="71">+(D77-C77)*P$8</f>
        <v>0</v>
      </c>
      <c r="Q77" s="83">
        <f t="shared" si="71"/>
        <v>0</v>
      </c>
      <c r="R77" s="83">
        <f t="shared" si="71"/>
        <v>0</v>
      </c>
      <c r="S77" s="83">
        <f t="shared" ref="S77:S79" si="72">SUM(P77:R77)</f>
        <v>0</v>
      </c>
      <c r="T77" s="89">
        <f t="shared" si="57"/>
        <v>0</v>
      </c>
      <c r="U77" s="73"/>
      <c r="V77" s="208">
        <f t="shared" si="58"/>
        <v>0</v>
      </c>
    </row>
    <row r="78" spans="1:22" ht="24" customHeight="1" x14ac:dyDescent="0.2">
      <c r="A78" s="14" t="s">
        <v>330</v>
      </c>
      <c r="B78" s="20" t="s">
        <v>331</v>
      </c>
      <c r="C78" s="73"/>
      <c r="D78" s="70"/>
      <c r="E78" s="73"/>
      <c r="F78" s="73"/>
      <c r="G78" s="73"/>
      <c r="H78" s="73"/>
      <c r="I78" s="73"/>
      <c r="J78" s="73"/>
      <c r="K78" s="73"/>
      <c r="L78" s="143"/>
      <c r="M78" s="143"/>
      <c r="N78" s="143"/>
      <c r="O78" s="73"/>
      <c r="P78" s="83">
        <f t="shared" si="71"/>
        <v>0</v>
      </c>
      <c r="Q78" s="83">
        <f t="shared" si="71"/>
        <v>0</v>
      </c>
      <c r="R78" s="83">
        <f t="shared" si="71"/>
        <v>0</v>
      </c>
      <c r="S78" s="83">
        <f t="shared" si="72"/>
        <v>0</v>
      </c>
      <c r="T78" s="89">
        <f t="shared" si="57"/>
        <v>0</v>
      </c>
      <c r="U78" s="73"/>
      <c r="V78" s="208">
        <f t="shared" si="58"/>
        <v>0</v>
      </c>
    </row>
    <row r="79" spans="1:22" x14ac:dyDescent="0.2">
      <c r="A79" s="14" t="s">
        <v>385</v>
      </c>
      <c r="B79" s="14" t="s">
        <v>332</v>
      </c>
      <c r="C79" s="73">
        <v>0</v>
      </c>
      <c r="D79" s="70">
        <v>0</v>
      </c>
      <c r="E79" s="150">
        <v>0</v>
      </c>
      <c r="F79" s="70"/>
      <c r="G79" s="70"/>
      <c r="H79" s="70">
        <v>102000</v>
      </c>
      <c r="I79" s="70">
        <v>0</v>
      </c>
      <c r="J79" s="70"/>
      <c r="K79" s="70"/>
      <c r="L79" s="143" t="e">
        <f t="shared" ref="L79:N80" si="73">+H79/C79</f>
        <v>#DIV/0!</v>
      </c>
      <c r="M79" s="143" t="e">
        <f t="shared" si="73"/>
        <v>#DIV/0!</v>
      </c>
      <c r="N79" s="143" t="e">
        <f t="shared" si="73"/>
        <v>#DIV/0!</v>
      </c>
      <c r="O79" s="70"/>
      <c r="P79" s="83">
        <f t="shared" si="71"/>
        <v>0</v>
      </c>
      <c r="Q79" s="83">
        <f t="shared" si="71"/>
        <v>0</v>
      </c>
      <c r="R79" s="83">
        <f t="shared" si="71"/>
        <v>0</v>
      </c>
      <c r="S79" s="83">
        <f t="shared" si="72"/>
        <v>0</v>
      </c>
      <c r="T79" s="89">
        <f t="shared" si="57"/>
        <v>0</v>
      </c>
      <c r="U79" s="70"/>
      <c r="V79" s="208">
        <f t="shared" si="58"/>
        <v>0</v>
      </c>
    </row>
    <row r="80" spans="1:22" x14ac:dyDescent="0.2">
      <c r="A80" s="4" t="s">
        <v>333</v>
      </c>
      <c r="B80" s="3" t="s">
        <v>334</v>
      </c>
      <c r="C80" s="68">
        <f>SUM(C81:C95)</f>
        <v>109560182</v>
      </c>
      <c r="D80" s="68">
        <f>SUM(D81:D94)</f>
        <v>126560182</v>
      </c>
      <c r="E80" s="68">
        <f>SUM(E81:E95)</f>
        <v>0</v>
      </c>
      <c r="F80" s="68">
        <f>SUM(F81:F95)</f>
        <v>0</v>
      </c>
      <c r="G80" s="68"/>
      <c r="H80" s="68">
        <f t="shared" ref="H80" si="74">SUM(H81:H94)</f>
        <v>109560182</v>
      </c>
      <c r="I80" s="68">
        <f>SUM(I81:I95)</f>
        <v>0</v>
      </c>
      <c r="J80" s="68">
        <f>SUM(J81:J95)</f>
        <v>0</v>
      </c>
      <c r="K80" s="68"/>
      <c r="L80" s="143">
        <f t="shared" si="73"/>
        <v>1</v>
      </c>
      <c r="M80" s="143">
        <f t="shared" si="73"/>
        <v>0</v>
      </c>
      <c r="N80" s="143" t="e">
        <f t="shared" si="73"/>
        <v>#DIV/0!</v>
      </c>
      <c r="O80" s="68"/>
      <c r="P80" s="68">
        <f t="shared" ref="P80:S80" si="75">SUM(P81:P94)</f>
        <v>17000000</v>
      </c>
      <c r="Q80" s="68">
        <f t="shared" si="75"/>
        <v>-126560182</v>
      </c>
      <c r="R80" s="68">
        <f t="shared" si="75"/>
        <v>0</v>
      </c>
      <c r="S80" s="68">
        <f t="shared" si="75"/>
        <v>-109560182</v>
      </c>
      <c r="T80" s="89">
        <f t="shared" si="57"/>
        <v>-1</v>
      </c>
      <c r="U80" s="68"/>
      <c r="V80" s="208">
        <f t="shared" si="58"/>
        <v>0</v>
      </c>
    </row>
    <row r="81" spans="1:22" x14ac:dyDescent="0.2">
      <c r="A81" s="14" t="s">
        <v>335</v>
      </c>
      <c r="B81" s="20" t="s">
        <v>336</v>
      </c>
      <c r="C81" s="73"/>
      <c r="D81" s="70"/>
      <c r="E81" s="73"/>
      <c r="F81" s="73"/>
      <c r="G81" s="73"/>
      <c r="H81" s="73"/>
      <c r="I81" s="73"/>
      <c r="J81" s="73"/>
      <c r="K81" s="73"/>
      <c r="L81" s="143"/>
      <c r="M81" s="143"/>
      <c r="N81" s="143"/>
      <c r="O81" s="73"/>
      <c r="P81" s="83">
        <f t="shared" ref="P81:P95" si="76">+(D81-C81)*P$8</f>
        <v>0</v>
      </c>
      <c r="Q81" s="83">
        <f t="shared" ref="Q81:Q95" si="77">+(E81-D81)*Q$8</f>
        <v>0</v>
      </c>
      <c r="R81" s="83">
        <f t="shared" ref="R81:R95" si="78">+(F81-E81)*R$8</f>
        <v>0</v>
      </c>
      <c r="S81" s="83">
        <f t="shared" ref="S81:S95" si="79">SUM(P81:R81)</f>
        <v>0</v>
      </c>
      <c r="T81" s="89">
        <f t="shared" si="57"/>
        <v>0</v>
      </c>
      <c r="U81" s="73"/>
      <c r="V81" s="208">
        <f t="shared" si="58"/>
        <v>0</v>
      </c>
    </row>
    <row r="82" spans="1:22" ht="25.5" x14ac:dyDescent="0.2">
      <c r="A82" s="14" t="s">
        <v>337</v>
      </c>
      <c r="B82" s="20" t="s">
        <v>338</v>
      </c>
      <c r="C82" s="73"/>
      <c r="D82" s="70"/>
      <c r="E82" s="73"/>
      <c r="F82" s="73"/>
      <c r="G82" s="73"/>
      <c r="H82" s="73"/>
      <c r="I82" s="73"/>
      <c r="J82" s="73"/>
      <c r="K82" s="73"/>
      <c r="L82" s="143"/>
      <c r="M82" s="143"/>
      <c r="N82" s="143"/>
      <c r="O82" s="73"/>
      <c r="P82" s="83">
        <f t="shared" si="76"/>
        <v>0</v>
      </c>
      <c r="Q82" s="83">
        <f t="shared" si="77"/>
        <v>0</v>
      </c>
      <c r="R82" s="83">
        <f t="shared" si="78"/>
        <v>0</v>
      </c>
      <c r="S82" s="83">
        <f t="shared" si="79"/>
        <v>0</v>
      </c>
      <c r="T82" s="89">
        <f t="shared" si="57"/>
        <v>0</v>
      </c>
      <c r="U82" s="73"/>
      <c r="V82" s="208">
        <f t="shared" si="58"/>
        <v>0</v>
      </c>
    </row>
    <row r="83" spans="1:22" ht="25.5" x14ac:dyDescent="0.2">
      <c r="A83" s="158" t="s">
        <v>339</v>
      </c>
      <c r="B83" s="156" t="s">
        <v>340</v>
      </c>
      <c r="C83" s="73"/>
      <c r="D83" s="70"/>
      <c r="E83" s="73"/>
      <c r="F83" s="73"/>
      <c r="G83" s="73"/>
      <c r="H83" s="73"/>
      <c r="I83" s="73"/>
      <c r="J83" s="73"/>
      <c r="K83" s="73"/>
      <c r="L83" s="143"/>
      <c r="M83" s="143"/>
      <c r="N83" s="143"/>
      <c r="O83" s="73"/>
      <c r="P83" s="83">
        <f t="shared" si="76"/>
        <v>0</v>
      </c>
      <c r="Q83" s="83">
        <f t="shared" si="77"/>
        <v>0</v>
      </c>
      <c r="R83" s="83">
        <f t="shared" si="78"/>
        <v>0</v>
      </c>
      <c r="S83" s="83">
        <f t="shared" si="79"/>
        <v>0</v>
      </c>
      <c r="T83" s="89">
        <f t="shared" si="57"/>
        <v>0</v>
      </c>
      <c r="U83" s="73"/>
      <c r="V83" s="208">
        <f t="shared" si="58"/>
        <v>0</v>
      </c>
    </row>
    <row r="84" spans="1:22" ht="14.25" customHeight="1" x14ac:dyDescent="0.2">
      <c r="A84" s="158" t="s">
        <v>341</v>
      </c>
      <c r="B84" s="156" t="s">
        <v>342</v>
      </c>
      <c r="C84" s="73"/>
      <c r="D84" s="70"/>
      <c r="E84" s="73"/>
      <c r="F84" s="73"/>
      <c r="G84" s="73"/>
      <c r="H84" s="73"/>
      <c r="I84" s="73"/>
      <c r="J84" s="73"/>
      <c r="K84" s="73"/>
      <c r="L84" s="143"/>
      <c r="M84" s="143"/>
      <c r="N84" s="143"/>
      <c r="O84" s="73"/>
      <c r="P84" s="83">
        <f t="shared" si="76"/>
        <v>0</v>
      </c>
      <c r="Q84" s="83">
        <f t="shared" si="77"/>
        <v>0</v>
      </c>
      <c r="R84" s="83">
        <f t="shared" si="78"/>
        <v>0</v>
      </c>
      <c r="S84" s="83">
        <f t="shared" si="79"/>
        <v>0</v>
      </c>
      <c r="T84" s="89">
        <f t="shared" si="57"/>
        <v>0</v>
      </c>
      <c r="U84" s="73"/>
      <c r="V84" s="208">
        <f t="shared" si="58"/>
        <v>0</v>
      </c>
    </row>
    <row r="85" spans="1:22" x14ac:dyDescent="0.2">
      <c r="A85" s="158" t="s">
        <v>343</v>
      </c>
      <c r="B85" s="156" t="s">
        <v>344</v>
      </c>
      <c r="C85" s="73"/>
      <c r="D85" s="70"/>
      <c r="E85" s="73"/>
      <c r="F85" s="73"/>
      <c r="G85" s="73"/>
      <c r="H85" s="73"/>
      <c r="I85" s="73"/>
      <c r="J85" s="73"/>
      <c r="K85" s="73"/>
      <c r="L85" s="143"/>
      <c r="M85" s="143"/>
      <c r="N85" s="143"/>
      <c r="O85" s="73"/>
      <c r="P85" s="83">
        <f t="shared" si="76"/>
        <v>0</v>
      </c>
      <c r="Q85" s="83">
        <f t="shared" si="77"/>
        <v>0</v>
      </c>
      <c r="R85" s="83">
        <f t="shared" si="78"/>
        <v>0</v>
      </c>
      <c r="S85" s="83">
        <f t="shared" si="79"/>
        <v>0</v>
      </c>
      <c r="T85" s="89">
        <f t="shared" si="57"/>
        <v>0</v>
      </c>
      <c r="U85" s="73"/>
      <c r="V85" s="208">
        <f t="shared" si="58"/>
        <v>0</v>
      </c>
    </row>
    <row r="86" spans="1:22" x14ac:dyDescent="0.2">
      <c r="A86" s="14" t="s">
        <v>345</v>
      </c>
      <c r="B86" s="20" t="s">
        <v>346</v>
      </c>
      <c r="C86" s="73"/>
      <c r="D86" s="70"/>
      <c r="E86" s="73"/>
      <c r="F86" s="73"/>
      <c r="G86" s="73"/>
      <c r="H86" s="73"/>
      <c r="I86" s="73"/>
      <c r="J86" s="73"/>
      <c r="K86" s="73"/>
      <c r="L86" s="143"/>
      <c r="M86" s="143"/>
      <c r="N86" s="143"/>
      <c r="O86" s="73"/>
      <c r="P86" s="83">
        <f t="shared" si="76"/>
        <v>0</v>
      </c>
      <c r="Q86" s="83">
        <f t="shared" si="77"/>
        <v>0</v>
      </c>
      <c r="R86" s="83">
        <f t="shared" si="78"/>
        <v>0</v>
      </c>
      <c r="S86" s="83">
        <f t="shared" si="79"/>
        <v>0</v>
      </c>
      <c r="T86" s="89">
        <f t="shared" si="57"/>
        <v>0</v>
      </c>
      <c r="U86" s="73"/>
      <c r="V86" s="208">
        <f t="shared" si="58"/>
        <v>0</v>
      </c>
    </row>
    <row r="87" spans="1:22" x14ac:dyDescent="0.2">
      <c r="A87" s="14" t="s">
        <v>347</v>
      </c>
      <c r="B87" s="20" t="s">
        <v>348</v>
      </c>
      <c r="C87" s="73">
        <v>0</v>
      </c>
      <c r="D87" s="70">
        <v>0</v>
      </c>
      <c r="E87" s="150">
        <v>0</v>
      </c>
      <c r="F87" s="70"/>
      <c r="G87" s="70"/>
      <c r="H87" s="70">
        <v>0</v>
      </c>
      <c r="I87" s="70">
        <v>0</v>
      </c>
      <c r="J87" s="70"/>
      <c r="K87" s="70"/>
      <c r="L87" s="143" t="e">
        <f>+H87/C87</f>
        <v>#DIV/0!</v>
      </c>
      <c r="M87" s="143" t="e">
        <f>+I87/D87</f>
        <v>#DIV/0!</v>
      </c>
      <c r="N87" s="143" t="e">
        <f>+J87/E87</f>
        <v>#DIV/0!</v>
      </c>
      <c r="O87" s="70"/>
      <c r="P87" s="83">
        <f t="shared" si="76"/>
        <v>0</v>
      </c>
      <c r="Q87" s="415">
        <f t="shared" si="77"/>
        <v>0</v>
      </c>
      <c r="R87" s="83">
        <f t="shared" si="78"/>
        <v>0</v>
      </c>
      <c r="S87" s="83">
        <f t="shared" si="79"/>
        <v>0</v>
      </c>
      <c r="T87" s="89">
        <f t="shared" si="57"/>
        <v>0</v>
      </c>
      <c r="U87" s="70"/>
      <c r="V87" s="208">
        <f t="shared" si="58"/>
        <v>0</v>
      </c>
    </row>
    <row r="88" spans="1:22" ht="25.5" x14ac:dyDescent="0.2">
      <c r="A88" s="158" t="s">
        <v>349</v>
      </c>
      <c r="B88" s="156" t="s">
        <v>350</v>
      </c>
      <c r="C88" s="151">
        <v>109560182</v>
      </c>
      <c r="D88" s="70">
        <v>109560182</v>
      </c>
      <c r="E88" s="73"/>
      <c r="F88" s="73"/>
      <c r="G88" s="73"/>
      <c r="H88" s="73">
        <v>109560182</v>
      </c>
      <c r="I88" s="73"/>
      <c r="J88" s="73"/>
      <c r="K88" s="73"/>
      <c r="L88" s="143"/>
      <c r="M88" s="143"/>
      <c r="N88" s="143"/>
      <c r="O88" s="73"/>
      <c r="P88" s="83">
        <f t="shared" si="76"/>
        <v>0</v>
      </c>
      <c r="Q88" s="83">
        <f t="shared" si="77"/>
        <v>-109560182</v>
      </c>
      <c r="R88" s="83">
        <f t="shared" si="78"/>
        <v>0</v>
      </c>
      <c r="S88" s="83">
        <f t="shared" si="79"/>
        <v>-109560182</v>
      </c>
      <c r="T88" s="89">
        <f t="shared" si="57"/>
        <v>-1</v>
      </c>
      <c r="U88" s="73"/>
      <c r="V88" s="208">
        <f t="shared" si="58"/>
        <v>0</v>
      </c>
    </row>
    <row r="89" spans="1:22" ht="25.5" x14ac:dyDescent="0.2">
      <c r="A89" s="158" t="s">
        <v>351</v>
      </c>
      <c r="B89" s="156" t="s">
        <v>352</v>
      </c>
      <c r="C89" s="73"/>
      <c r="D89" s="70"/>
      <c r="E89" s="73"/>
      <c r="F89" s="73"/>
      <c r="G89" s="73"/>
      <c r="H89" s="73"/>
      <c r="I89" s="73"/>
      <c r="J89" s="73"/>
      <c r="K89" s="73"/>
      <c r="L89" s="143"/>
      <c r="M89" s="143"/>
      <c r="N89" s="143"/>
      <c r="O89" s="73"/>
      <c r="P89" s="83">
        <f t="shared" si="76"/>
        <v>0</v>
      </c>
      <c r="Q89" s="83">
        <f t="shared" si="77"/>
        <v>0</v>
      </c>
      <c r="R89" s="83">
        <f t="shared" si="78"/>
        <v>0</v>
      </c>
      <c r="S89" s="83">
        <f t="shared" si="79"/>
        <v>0</v>
      </c>
      <c r="T89" s="89">
        <f t="shared" si="57"/>
        <v>0</v>
      </c>
      <c r="U89" s="73"/>
      <c r="V89" s="208">
        <f t="shared" si="58"/>
        <v>0</v>
      </c>
    </row>
    <row r="90" spans="1:22" x14ac:dyDescent="0.2">
      <c r="A90" s="14" t="s">
        <v>353</v>
      </c>
      <c r="B90" s="20" t="s">
        <v>354</v>
      </c>
      <c r="C90" s="73"/>
      <c r="D90" s="70">
        <v>17000000</v>
      </c>
      <c r="E90" s="73"/>
      <c r="F90" s="73"/>
      <c r="G90" s="73"/>
      <c r="H90" s="73"/>
      <c r="I90" s="73"/>
      <c r="J90" s="73"/>
      <c r="K90" s="73"/>
      <c r="L90" s="143"/>
      <c r="M90" s="143"/>
      <c r="N90" s="143"/>
      <c r="O90" s="73"/>
      <c r="P90" s="83">
        <f t="shared" si="76"/>
        <v>17000000</v>
      </c>
      <c r="Q90" s="83">
        <f t="shared" si="77"/>
        <v>-17000000</v>
      </c>
      <c r="R90" s="83">
        <f t="shared" si="78"/>
        <v>0</v>
      </c>
      <c r="S90" s="83">
        <f t="shared" si="79"/>
        <v>0</v>
      </c>
      <c r="T90" s="89">
        <f t="shared" si="57"/>
        <v>0</v>
      </c>
      <c r="U90" s="73"/>
      <c r="V90" s="208">
        <f t="shared" si="58"/>
        <v>0</v>
      </c>
    </row>
    <row r="91" spans="1:22" ht="25.5" x14ac:dyDescent="0.2">
      <c r="A91" s="14" t="s">
        <v>355</v>
      </c>
      <c r="B91" s="20" t="s">
        <v>356</v>
      </c>
      <c r="C91" s="73"/>
      <c r="D91" s="70"/>
      <c r="E91" s="73"/>
      <c r="F91" s="73"/>
      <c r="G91" s="73"/>
      <c r="H91" s="73"/>
      <c r="I91" s="73"/>
      <c r="J91" s="73"/>
      <c r="K91" s="73"/>
      <c r="L91" s="143"/>
      <c r="M91" s="143"/>
      <c r="N91" s="143"/>
      <c r="O91" s="73"/>
      <c r="P91" s="83">
        <f t="shared" si="76"/>
        <v>0</v>
      </c>
      <c r="Q91" s="83">
        <f t="shared" si="77"/>
        <v>0</v>
      </c>
      <c r="R91" s="83">
        <f t="shared" si="78"/>
        <v>0</v>
      </c>
      <c r="S91" s="83">
        <f t="shared" si="79"/>
        <v>0</v>
      </c>
      <c r="T91" s="89">
        <f t="shared" si="57"/>
        <v>0</v>
      </c>
      <c r="U91" s="73"/>
      <c r="V91" s="208">
        <f t="shared" si="58"/>
        <v>0</v>
      </c>
    </row>
    <row r="92" spans="1:22" x14ac:dyDescent="0.2">
      <c r="A92" s="14" t="s">
        <v>359</v>
      </c>
      <c r="B92" s="20" t="s">
        <v>357</v>
      </c>
      <c r="C92" s="73"/>
      <c r="D92" s="70"/>
      <c r="E92" s="73"/>
      <c r="F92" s="73"/>
      <c r="G92" s="73"/>
      <c r="H92" s="73"/>
      <c r="I92" s="73"/>
      <c r="J92" s="73"/>
      <c r="K92" s="73"/>
      <c r="L92" s="143"/>
      <c r="M92" s="143"/>
      <c r="N92" s="143"/>
      <c r="O92" s="73"/>
      <c r="P92" s="83">
        <f t="shared" si="76"/>
        <v>0</v>
      </c>
      <c r="Q92" s="83">
        <f t="shared" si="77"/>
        <v>0</v>
      </c>
      <c r="R92" s="83">
        <f t="shared" si="78"/>
        <v>0</v>
      </c>
      <c r="S92" s="83">
        <f t="shared" si="79"/>
        <v>0</v>
      </c>
      <c r="T92" s="89">
        <f t="shared" si="57"/>
        <v>0</v>
      </c>
      <c r="U92" s="73"/>
      <c r="V92" s="208">
        <f t="shared" si="58"/>
        <v>0</v>
      </c>
    </row>
    <row r="93" spans="1:22" ht="25.5" x14ac:dyDescent="0.2">
      <c r="A93" s="14"/>
      <c r="B93" s="20" t="s">
        <v>358</v>
      </c>
      <c r="C93" s="73"/>
      <c r="D93" s="70"/>
      <c r="E93" s="73"/>
      <c r="F93" s="73"/>
      <c r="G93" s="73"/>
      <c r="H93" s="73"/>
      <c r="I93" s="73"/>
      <c r="J93" s="73"/>
      <c r="K93" s="73"/>
      <c r="L93" s="143"/>
      <c r="M93" s="143"/>
      <c r="N93" s="143"/>
      <c r="O93" s="73"/>
      <c r="P93" s="83">
        <f t="shared" si="76"/>
        <v>0</v>
      </c>
      <c r="Q93" s="83">
        <f t="shared" si="77"/>
        <v>0</v>
      </c>
      <c r="R93" s="83">
        <f t="shared" si="78"/>
        <v>0</v>
      </c>
      <c r="S93" s="83">
        <f t="shared" si="79"/>
        <v>0</v>
      </c>
      <c r="T93" s="89">
        <f t="shared" si="57"/>
        <v>0</v>
      </c>
      <c r="U93" s="73"/>
      <c r="V93" s="208">
        <f t="shared" si="58"/>
        <v>0</v>
      </c>
    </row>
    <row r="94" spans="1:22" x14ac:dyDescent="0.2">
      <c r="A94" s="14" t="s">
        <v>360</v>
      </c>
      <c r="B94" s="20" t="s">
        <v>361</v>
      </c>
      <c r="C94" s="73">
        <v>0</v>
      </c>
      <c r="D94" s="70">
        <v>0</v>
      </c>
      <c r="E94" s="73"/>
      <c r="F94" s="73"/>
      <c r="G94" s="73"/>
      <c r="H94" s="73"/>
      <c r="I94" s="73"/>
      <c r="J94" s="73"/>
      <c r="K94" s="73"/>
      <c r="L94" s="143"/>
      <c r="M94" s="143"/>
      <c r="N94" s="143"/>
      <c r="O94" s="73"/>
      <c r="P94" s="83">
        <f t="shared" si="76"/>
        <v>0</v>
      </c>
      <c r="Q94" s="83">
        <f t="shared" si="77"/>
        <v>0</v>
      </c>
      <c r="R94" s="83">
        <f t="shared" si="78"/>
        <v>0</v>
      </c>
      <c r="S94" s="83">
        <f t="shared" si="79"/>
        <v>0</v>
      </c>
      <c r="T94" s="89">
        <f t="shared" si="57"/>
        <v>0</v>
      </c>
      <c r="U94" s="73"/>
      <c r="V94" s="208">
        <f t="shared" si="58"/>
        <v>0</v>
      </c>
    </row>
    <row r="95" spans="1:22" x14ac:dyDescent="0.2">
      <c r="A95" s="14"/>
      <c r="B95" s="14"/>
      <c r="C95" s="73"/>
      <c r="D95" s="70"/>
      <c r="E95" s="73"/>
      <c r="F95" s="73"/>
      <c r="G95" s="73"/>
      <c r="H95" s="73"/>
      <c r="I95" s="73"/>
      <c r="J95" s="73"/>
      <c r="K95" s="73"/>
      <c r="L95" s="143"/>
      <c r="M95" s="143"/>
      <c r="N95" s="143"/>
      <c r="O95" s="73"/>
      <c r="P95" s="83">
        <f t="shared" si="76"/>
        <v>0</v>
      </c>
      <c r="Q95" s="83">
        <f t="shared" si="77"/>
        <v>0</v>
      </c>
      <c r="R95" s="83">
        <f t="shared" si="78"/>
        <v>0</v>
      </c>
      <c r="S95" s="83">
        <f t="shared" si="79"/>
        <v>0</v>
      </c>
      <c r="T95" s="89">
        <f t="shared" si="57"/>
        <v>0</v>
      </c>
      <c r="U95" s="73"/>
      <c r="V95" s="208">
        <f t="shared" si="58"/>
        <v>0</v>
      </c>
    </row>
    <row r="96" spans="1:22" x14ac:dyDescent="0.2">
      <c r="A96" s="14"/>
      <c r="B96" s="3" t="s">
        <v>372</v>
      </c>
      <c r="C96" s="68">
        <f>C13+C30+C39+C50+C67+C72+C76+C80</f>
        <v>1203415087</v>
      </c>
      <c r="D96" s="68">
        <f>D13+D30+D39+D50+D67+D72+D76+D80</f>
        <v>1637706800</v>
      </c>
      <c r="E96" s="68">
        <f>E13+E30+E39+E50+E67+E72+E76+E80</f>
        <v>0</v>
      </c>
      <c r="F96" s="68">
        <f>F13+F30+F39+F50+F67+F72+F76+F80</f>
        <v>0</v>
      </c>
      <c r="G96" s="68"/>
      <c r="H96" s="68">
        <f>H13+H30+H39+H50+H67+H72+H76+H80</f>
        <v>1106942512</v>
      </c>
      <c r="I96" s="68">
        <f>I13+I30+I39+I50+I67+I72+I76+I80</f>
        <v>0</v>
      </c>
      <c r="J96" s="68">
        <f>J13+J30+J39+J50+J67+J72+J76+J80</f>
        <v>0</v>
      </c>
      <c r="K96" s="68"/>
      <c r="L96" s="89">
        <f>H96/C96</f>
        <v>0.91983433144377724</v>
      </c>
      <c r="M96" s="89">
        <f>I96/D96</f>
        <v>0</v>
      </c>
      <c r="N96" s="89" t="e">
        <f>J96/E96</f>
        <v>#DIV/0!</v>
      </c>
      <c r="O96" s="68"/>
      <c r="P96" s="68">
        <f t="shared" ref="P96:S96" si="80">P13+P30+P39+P50+P67+P72+P76+P80</f>
        <v>434291713</v>
      </c>
      <c r="Q96" s="68">
        <f t="shared" si="80"/>
        <v>-1637706800</v>
      </c>
      <c r="R96" s="68">
        <f t="shared" si="80"/>
        <v>0</v>
      </c>
      <c r="S96" s="68">
        <f t="shared" si="80"/>
        <v>-1203415087</v>
      </c>
      <c r="T96" s="89">
        <f t="shared" si="57"/>
        <v>-1</v>
      </c>
      <c r="U96" s="68"/>
      <c r="V96" s="209">
        <f t="shared" si="58"/>
        <v>0</v>
      </c>
    </row>
    <row r="97" spans="3:14" x14ac:dyDescent="0.2">
      <c r="L97" s="90"/>
      <c r="M97" s="90"/>
      <c r="N97" s="90"/>
    </row>
    <row r="98" spans="3:14" x14ac:dyDescent="0.2">
      <c r="C98" s="19"/>
      <c r="L98" s="90"/>
      <c r="M98" s="90"/>
      <c r="N98" s="90"/>
    </row>
    <row r="99" spans="3:14" x14ac:dyDescent="0.2">
      <c r="L99" s="90"/>
      <c r="M99" s="90"/>
      <c r="N99" s="90"/>
    </row>
    <row r="100" spans="3:14" x14ac:dyDescent="0.2">
      <c r="L100" s="154"/>
      <c r="M100" s="154"/>
      <c r="N100" s="154"/>
    </row>
    <row r="101" spans="3:14" x14ac:dyDescent="0.2">
      <c r="C101" s="19"/>
    </row>
    <row r="102" spans="3:14" x14ac:dyDescent="0.2">
      <c r="C102" s="19"/>
    </row>
    <row r="104" spans="3:14" x14ac:dyDescent="0.2">
      <c r="C104" s="19"/>
    </row>
    <row r="105" spans="3:14" x14ac:dyDescent="0.2">
      <c r="C105" s="19"/>
    </row>
    <row r="107" spans="3:14" x14ac:dyDescent="0.2">
      <c r="C107" s="19"/>
    </row>
  </sheetData>
  <mergeCells count="5">
    <mergeCell ref="H8:J8"/>
    <mergeCell ref="L8:N8"/>
    <mergeCell ref="H7:N7"/>
    <mergeCell ref="C7:F7"/>
    <mergeCell ref="P7:T7"/>
  </mergeCells>
  <phoneticPr fontId="2" type="noConversion"/>
  <printOptions horizontalCentered="1"/>
  <pageMargins left="0" right="0" top="0.94488188976377963" bottom="0.74803149606299213" header="0.31496062992125984" footer="0.31496062992125984"/>
  <pageSetup paperSize="8" scale="73" fitToHeight="0" orientation="landscape" r:id="rId1"/>
  <headerFooter alignWithMargins="0">
    <oddHeader>&amp;R&amp;"Arial,Félkövér dőlt"&amp;12&amp;A  /&amp;10
&amp;"Arial,Dőlt"&amp;F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1"/>
  <sheetViews>
    <sheetView zoomScaleNormal="100" workbookViewId="0">
      <pane ySplit="11" topLeftCell="A12" activePane="bottomLeft" state="frozen"/>
      <selection pane="bottomLeft" activeCell="C14" sqref="C14"/>
    </sheetView>
  </sheetViews>
  <sheetFormatPr defaultRowHeight="12.75" x14ac:dyDescent="0.2"/>
  <cols>
    <col min="1" max="1" width="6.42578125" style="14" bestFit="1" customWidth="1"/>
    <col min="2" max="2" width="53.5703125" style="14" customWidth="1"/>
    <col min="3" max="3" width="15.5703125" style="14" customWidth="1"/>
    <col min="4" max="4" width="15.5703125" style="16" customWidth="1"/>
    <col min="5" max="6" width="15.5703125" style="23" customWidth="1"/>
    <col min="7" max="7" width="0.85546875" style="23" customWidth="1"/>
    <col min="8" max="8" width="15.5703125" style="14" customWidth="1"/>
    <col min="9" max="10" width="15.5703125" style="23" customWidth="1"/>
    <col min="11" max="11" width="0.85546875" style="23" customWidth="1"/>
    <col min="12" max="12" width="14" style="14" customWidth="1"/>
    <col min="13" max="13" width="13.42578125" style="13" customWidth="1"/>
    <col min="14" max="14" width="13" style="13" customWidth="1"/>
    <col min="15" max="15" width="0.85546875" style="23" customWidth="1"/>
    <col min="16" max="18" width="14.5703125" style="14" customWidth="1"/>
    <col min="19" max="19" width="15.5703125" style="14" customWidth="1"/>
    <col min="20" max="20" width="10.5703125" style="13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453</v>
      </c>
      <c r="B1" s="249"/>
      <c r="C1" s="249"/>
      <c r="D1" s="249"/>
      <c r="E1" s="249"/>
      <c r="F1" s="83"/>
      <c r="G1" s="248"/>
      <c r="H1" s="247"/>
      <c r="I1" s="247"/>
      <c r="J1" s="245" t="str">
        <f>+'1. Sülysáp összesen'!J1</f>
        <v>2017. FÉLÉVES BESZÁMOLÓ</v>
      </c>
      <c r="K1" s="251" t="s">
        <v>430</v>
      </c>
      <c r="L1" s="251" t="s">
        <v>431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247"/>
    </row>
    <row r="3" spans="1:27" ht="20.25" hidden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47"/>
    </row>
    <row r="4" spans="1:27" x14ac:dyDescent="0.2">
      <c r="A4"/>
      <c r="B4"/>
      <c r="C4" s="63"/>
      <c r="D4" s="63"/>
      <c r="E4" s="63"/>
      <c r="F4" s="63"/>
      <c r="G4" s="63"/>
      <c r="H4" s="63"/>
      <c r="I4" s="63"/>
      <c r="J4" s="63"/>
      <c r="K4" s="67"/>
      <c r="L4" s="63"/>
      <c r="M4" s="63"/>
      <c r="N4" s="63"/>
      <c r="O4" s="63"/>
      <c r="P4" s="63"/>
      <c r="Q4" s="63"/>
      <c r="R4" s="63"/>
      <c r="S4" s="63"/>
      <c r="T4"/>
      <c r="U4"/>
    </row>
    <row r="5" spans="1:27" ht="14.1" hidden="1" customHeight="1" x14ac:dyDescent="0.25">
      <c r="A5"/>
      <c r="B5"/>
      <c r="C5" s="105"/>
      <c r="D5" s="106"/>
      <c r="E5" s="106"/>
      <c r="F5" s="107"/>
      <c r="G5" s="108"/>
      <c r="H5" s="109"/>
      <c r="I5" s="111"/>
      <c r="J5" s="111"/>
      <c r="K5" s="108"/>
      <c r="L5" s="110"/>
      <c r="M5" s="112"/>
      <c r="N5" s="113"/>
      <c r="O5" s="108"/>
      <c r="P5" s="109"/>
      <c r="Q5" s="111"/>
      <c r="R5" s="111"/>
      <c r="S5" s="111"/>
      <c r="T5" s="216"/>
      <c r="U5" s="290"/>
    </row>
    <row r="6" spans="1:27" ht="14.1" hidden="1" customHeight="1" x14ac:dyDescent="0.25">
      <c r="A6"/>
      <c r="B6"/>
      <c r="C6" s="114"/>
      <c r="D6" s="115"/>
      <c r="E6" s="115"/>
      <c r="F6" s="116"/>
      <c r="G6" s="117"/>
      <c r="H6" s="118"/>
      <c r="I6" s="120"/>
      <c r="J6" s="120"/>
      <c r="K6" s="117"/>
      <c r="L6" s="119"/>
      <c r="M6" s="121"/>
      <c r="N6" s="122"/>
      <c r="O6" s="117"/>
      <c r="P6" s="118"/>
      <c r="Q6" s="120"/>
      <c r="R6" s="120"/>
      <c r="S6" s="120"/>
      <c r="T6" s="122"/>
      <c r="U6" s="290"/>
    </row>
    <row r="7" spans="1:27" ht="15.75" x14ac:dyDescent="0.25">
      <c r="A7"/>
      <c r="B7"/>
      <c r="C7" s="716" t="s">
        <v>412</v>
      </c>
      <c r="D7" s="719"/>
      <c r="E7" s="719"/>
      <c r="F7" s="720"/>
      <c r="G7" s="165"/>
      <c r="H7" s="716" t="s">
        <v>411</v>
      </c>
      <c r="I7" s="717"/>
      <c r="J7" s="717"/>
      <c r="K7" s="717"/>
      <c r="L7" s="717"/>
      <c r="M7" s="717"/>
      <c r="N7" s="718"/>
      <c r="O7" s="165"/>
      <c r="P7" s="716" t="s">
        <v>408</v>
      </c>
      <c r="Q7" s="719"/>
      <c r="R7" s="719"/>
      <c r="S7" s="719"/>
      <c r="T7" s="720"/>
      <c r="U7"/>
    </row>
    <row r="8" spans="1:27" ht="15" x14ac:dyDescent="0.25">
      <c r="A8"/>
      <c r="B8"/>
      <c r="C8" s="130"/>
      <c r="D8" s="131"/>
      <c r="E8" s="131"/>
      <c r="F8" s="132"/>
      <c r="G8" s="81"/>
      <c r="H8" s="713" t="s">
        <v>425</v>
      </c>
      <c r="I8" s="714"/>
      <c r="J8" s="715"/>
      <c r="K8" s="140"/>
      <c r="L8" s="713" t="s">
        <v>424</v>
      </c>
      <c r="M8" s="714"/>
      <c r="N8" s="715"/>
      <c r="O8" s="81"/>
      <c r="P8" s="134">
        <f>+'1. Sülysáp összesen'!P8</f>
        <v>1</v>
      </c>
      <c r="Q8" s="134">
        <f>+' 2. Önk. Bevételek'!Q8</f>
        <v>1</v>
      </c>
      <c r="R8" s="134">
        <f>+'1. Sülysáp összesen'!R8</f>
        <v>0</v>
      </c>
      <c r="S8" s="131"/>
      <c r="T8" s="132"/>
      <c r="U8"/>
    </row>
    <row r="9" spans="1:27" ht="20.100000000000001" customHeight="1" x14ac:dyDescent="0.2">
      <c r="A9" s="78"/>
      <c r="B9" s="266" t="s">
        <v>378</v>
      </c>
      <c r="C9" s="267">
        <f>+C168</f>
        <v>1203415087</v>
      </c>
      <c r="D9" s="267">
        <f>+D168</f>
        <v>1637706800</v>
      </c>
      <c r="E9" s="267">
        <f>+E168</f>
        <v>0</v>
      </c>
      <c r="F9" s="267">
        <f>+F168</f>
        <v>0</v>
      </c>
      <c r="G9" s="267"/>
      <c r="H9" s="267">
        <f>+H168</f>
        <v>516926386</v>
      </c>
      <c r="I9" s="267">
        <f>+I168</f>
        <v>0</v>
      </c>
      <c r="J9" s="267">
        <f>+J168</f>
        <v>0</v>
      </c>
      <c r="K9" s="253"/>
      <c r="L9" s="270">
        <f>H9/C9</f>
        <v>0.42954953081787317</v>
      </c>
      <c r="M9" s="268">
        <f>I9/D9</f>
        <v>0</v>
      </c>
      <c r="N9" s="268" t="e">
        <f>+J9/E9</f>
        <v>#DIV/0!</v>
      </c>
      <c r="O9" s="253"/>
      <c r="P9" s="267">
        <f>IF(D9&gt;0,+D9-C9,0)</f>
        <v>434291713</v>
      </c>
      <c r="Q9" s="267">
        <f>IF(E9&gt;0,+E9-D9,0)</f>
        <v>0</v>
      </c>
      <c r="R9" s="267">
        <f>IF(F9&gt;0,+F9-E9,0)</f>
        <v>0</v>
      </c>
      <c r="S9" s="267">
        <f>SUM(P9:R9)</f>
        <v>434291713</v>
      </c>
      <c r="T9" s="268">
        <f>+S9/C9</f>
        <v>0.36088272258797099</v>
      </c>
      <c r="U9" s="271"/>
      <c r="V9" s="254">
        <f>+S9-E9+C9</f>
        <v>1637706800</v>
      </c>
    </row>
    <row r="10" spans="1:27" ht="15" x14ac:dyDescent="0.25">
      <c r="A10" s="79"/>
      <c r="B10" s="260"/>
      <c r="C10" s="81"/>
      <c r="D10" s="81"/>
      <c r="E10" s="81"/>
      <c r="F10" s="81"/>
      <c r="G10" s="81"/>
      <c r="H10" s="81"/>
      <c r="I10" s="81"/>
      <c r="J10" s="81"/>
      <c r="K10" s="81"/>
      <c r="L10" s="163"/>
      <c r="M10" s="261"/>
      <c r="N10" s="261"/>
      <c r="O10" s="81"/>
      <c r="P10" s="81"/>
      <c r="Q10" s="81"/>
      <c r="R10" s="81"/>
      <c r="S10" s="81"/>
      <c r="T10" s="261"/>
      <c r="U10" s="262"/>
      <c r="V10" s="263"/>
    </row>
    <row r="11" spans="1:27" s="1" customFormat="1" ht="64.5" customHeight="1" x14ac:dyDescent="0.2">
      <c r="A11" s="27" t="s">
        <v>373</v>
      </c>
      <c r="B11" s="27" t="s">
        <v>371</v>
      </c>
      <c r="C11" s="551" t="s">
        <v>483</v>
      </c>
      <c r="D11" s="388" t="s">
        <v>484</v>
      </c>
      <c r="E11" s="388" t="s">
        <v>485</v>
      </c>
      <c r="F11" s="552" t="s">
        <v>486</v>
      </c>
      <c r="G11" s="388"/>
      <c r="H11" s="525" t="s">
        <v>487</v>
      </c>
      <c r="I11" s="389" t="s">
        <v>488</v>
      </c>
      <c r="J11" s="389" t="s">
        <v>489</v>
      </c>
      <c r="K11" s="388"/>
      <c r="L11" s="390" t="s">
        <v>490</v>
      </c>
      <c r="M11" s="390" t="s">
        <v>494</v>
      </c>
      <c r="N11" s="526" t="s">
        <v>495</v>
      </c>
      <c r="O11" s="388"/>
      <c r="P11" s="525" t="s">
        <v>491</v>
      </c>
      <c r="Q11" s="389" t="s">
        <v>493</v>
      </c>
      <c r="R11" s="389" t="s">
        <v>492</v>
      </c>
      <c r="S11" s="389" t="s">
        <v>409</v>
      </c>
      <c r="T11" s="526" t="s">
        <v>410</v>
      </c>
      <c r="U11" s="202"/>
      <c r="V11" s="138" t="s">
        <v>414</v>
      </c>
    </row>
    <row r="12" spans="1:27" x14ac:dyDescent="0.2">
      <c r="A12" s="44"/>
      <c r="B12" s="20"/>
      <c r="C12" s="70"/>
      <c r="D12" s="71"/>
      <c r="E12" s="71"/>
      <c r="F12" s="71"/>
      <c r="G12" s="71"/>
      <c r="H12" s="83"/>
      <c r="I12" s="83"/>
      <c r="J12" s="83"/>
      <c r="K12" s="71"/>
      <c r="L12" s="163"/>
      <c r="M12" s="164"/>
      <c r="N12" s="164"/>
      <c r="O12" s="71"/>
      <c r="P12" s="83"/>
      <c r="Q12" s="83"/>
      <c r="R12" s="83"/>
      <c r="S12" s="83"/>
      <c r="T12" s="161"/>
      <c r="U12" s="204"/>
      <c r="V12" s="208"/>
    </row>
    <row r="13" spans="1:27" x14ac:dyDescent="0.2">
      <c r="A13" s="4" t="s">
        <v>0</v>
      </c>
      <c r="B13" s="3" t="s">
        <v>3</v>
      </c>
      <c r="C13" s="69">
        <f>+C14+C24</f>
        <v>107902000</v>
      </c>
      <c r="D13" s="69">
        <f t="shared" ref="D13:J13" si="0">+D14+D24</f>
        <v>107902000</v>
      </c>
      <c r="E13" s="69">
        <f t="shared" si="0"/>
        <v>0</v>
      </c>
      <c r="F13" s="69">
        <f t="shared" si="0"/>
        <v>0</v>
      </c>
      <c r="G13" s="69">
        <f t="shared" si="0"/>
        <v>0</v>
      </c>
      <c r="H13" s="69">
        <f t="shared" si="0"/>
        <v>50677066</v>
      </c>
      <c r="I13" s="69">
        <f t="shared" si="0"/>
        <v>0</v>
      </c>
      <c r="J13" s="69">
        <f t="shared" si="0"/>
        <v>0</v>
      </c>
      <c r="K13" s="69"/>
      <c r="L13" s="91">
        <f>H13/C13</f>
        <v>0.46965826398027838</v>
      </c>
      <c r="M13" s="87">
        <f>I13/D13</f>
        <v>0</v>
      </c>
      <c r="N13" s="87" t="e">
        <f>+J13/E13</f>
        <v>#DIV/0!</v>
      </c>
      <c r="O13" s="69"/>
      <c r="P13" s="82">
        <f>IF(D13&gt;0,+D13-C13,0)</f>
        <v>0</v>
      </c>
      <c r="Q13" s="82">
        <f>IF(E13&gt;0,+E13-D13,0)</f>
        <v>0</v>
      </c>
      <c r="R13" s="82">
        <f>IF(F13&gt;0,+F13-E13,0)</f>
        <v>0</v>
      </c>
      <c r="S13" s="82">
        <f>SUM(P13:R13)</f>
        <v>0</v>
      </c>
      <c r="T13" s="89">
        <f>IF(C13=0,0,+S13/C13)</f>
        <v>0</v>
      </c>
      <c r="U13" s="203"/>
      <c r="V13" s="208">
        <f t="shared" ref="V13:V44" si="1">+S13-E13+C13</f>
        <v>107902000</v>
      </c>
    </row>
    <row r="14" spans="1:27" x14ac:dyDescent="0.2">
      <c r="A14" s="39" t="s">
        <v>1</v>
      </c>
      <c r="B14" s="40"/>
      <c r="C14" s="101">
        <f>SUM(C15:C23)</f>
        <v>88022000</v>
      </c>
      <c r="D14" s="101">
        <f>SUM(D15:D23)</f>
        <v>87745000</v>
      </c>
      <c r="E14" s="101">
        <f t="shared" ref="E14:J14" si="2">SUM(E15:E23)</f>
        <v>0</v>
      </c>
      <c r="F14" s="101">
        <f t="shared" si="2"/>
        <v>0</v>
      </c>
      <c r="G14" s="101"/>
      <c r="H14" s="101">
        <f t="shared" si="2"/>
        <v>39629727</v>
      </c>
      <c r="I14" s="101">
        <f t="shared" si="2"/>
        <v>0</v>
      </c>
      <c r="J14" s="101">
        <f t="shared" si="2"/>
        <v>0</v>
      </c>
      <c r="K14" s="71"/>
      <c r="L14" s="163"/>
      <c r="M14" s="164"/>
      <c r="N14" s="164"/>
      <c r="O14" s="71"/>
      <c r="P14" s="83"/>
      <c r="Q14" s="83"/>
      <c r="R14" s="83"/>
      <c r="S14" s="83"/>
      <c r="T14" s="89"/>
      <c r="U14" s="204"/>
      <c r="V14" s="208">
        <f t="shared" si="1"/>
        <v>88022000</v>
      </c>
    </row>
    <row r="15" spans="1:27" x14ac:dyDescent="0.2">
      <c r="A15" s="44" t="s">
        <v>2</v>
      </c>
      <c r="B15" s="20" t="s">
        <v>362</v>
      </c>
      <c r="C15" s="70">
        <v>85857000</v>
      </c>
      <c r="D15" s="70">
        <v>85537000</v>
      </c>
      <c r="E15" s="71">
        <v>0</v>
      </c>
      <c r="F15" s="71"/>
      <c r="G15" s="71"/>
      <c r="H15" s="83">
        <v>38075004</v>
      </c>
      <c r="I15" s="83">
        <v>0</v>
      </c>
      <c r="J15" s="83"/>
      <c r="K15" s="71"/>
      <c r="L15" s="163">
        <f>H15/C15</f>
        <v>0.44347000244592755</v>
      </c>
      <c r="M15" s="164">
        <f>I15/D15</f>
        <v>0</v>
      </c>
      <c r="N15" s="164" t="e">
        <f>+J15/E15</f>
        <v>#DIV/0!</v>
      </c>
      <c r="O15" s="71"/>
      <c r="P15" s="83">
        <f t="shared" ref="P15:P23" si="3">+(D15-C15)*P$8</f>
        <v>-320000</v>
      </c>
      <c r="Q15" s="83">
        <f t="shared" ref="Q15:Q23" si="4">+(E15-D15)*Q$8</f>
        <v>-85537000</v>
      </c>
      <c r="R15" s="83">
        <f t="shared" ref="R15:R23" si="5">+(F15-E15)*R$8</f>
        <v>0</v>
      </c>
      <c r="S15" s="83">
        <f>SUM(P15:R15)</f>
        <v>-85857000</v>
      </c>
      <c r="T15" s="89">
        <f t="shared" ref="T15:T23" si="6">IF(C15=0,0,+S15/C15)</f>
        <v>-1</v>
      </c>
      <c r="U15" s="204"/>
      <c r="V15" s="208">
        <f t="shared" si="1"/>
        <v>0</v>
      </c>
    </row>
    <row r="16" spans="1:27" x14ac:dyDescent="0.2">
      <c r="A16" s="44" t="s">
        <v>12</v>
      </c>
      <c r="B16" s="20" t="s">
        <v>4</v>
      </c>
      <c r="C16" s="70">
        <v>200000</v>
      </c>
      <c r="D16" s="70">
        <v>200000</v>
      </c>
      <c r="E16" s="71">
        <v>0</v>
      </c>
      <c r="F16" s="71"/>
      <c r="G16" s="71"/>
      <c r="H16" s="83">
        <v>0</v>
      </c>
      <c r="I16" s="83">
        <v>0</v>
      </c>
      <c r="J16" s="83"/>
      <c r="K16" s="71"/>
      <c r="L16" s="163">
        <f>H16/C16</f>
        <v>0</v>
      </c>
      <c r="M16" s="164">
        <f>I16/D16</f>
        <v>0</v>
      </c>
      <c r="N16" s="164" t="e">
        <f>+J16/E16</f>
        <v>#DIV/0!</v>
      </c>
      <c r="O16" s="71"/>
      <c r="P16" s="83">
        <f t="shared" si="3"/>
        <v>0</v>
      </c>
      <c r="Q16" s="83">
        <f t="shared" si="4"/>
        <v>-200000</v>
      </c>
      <c r="R16" s="83">
        <f t="shared" si="5"/>
        <v>0</v>
      </c>
      <c r="S16" s="83">
        <f t="shared" ref="S16:S79" si="7">SUM(P16:R16)</f>
        <v>-200000</v>
      </c>
      <c r="T16" s="89">
        <f t="shared" si="6"/>
        <v>-1</v>
      </c>
      <c r="U16" s="204"/>
      <c r="V16" s="208">
        <f t="shared" si="1"/>
        <v>0</v>
      </c>
    </row>
    <row r="17" spans="1:22" x14ac:dyDescent="0.2">
      <c r="A17" s="44" t="s">
        <v>13</v>
      </c>
      <c r="B17" s="20" t="s">
        <v>5</v>
      </c>
      <c r="C17" s="70">
        <v>0</v>
      </c>
      <c r="D17" s="70">
        <v>0</v>
      </c>
      <c r="E17" s="71"/>
      <c r="F17" s="71"/>
      <c r="G17" s="71"/>
      <c r="H17" s="83">
        <v>0</v>
      </c>
      <c r="I17" s="83"/>
      <c r="J17" s="83"/>
      <c r="K17" s="71"/>
      <c r="L17" s="163"/>
      <c r="M17" s="164"/>
      <c r="N17" s="164"/>
      <c r="O17" s="71"/>
      <c r="P17" s="83">
        <f t="shared" si="3"/>
        <v>0</v>
      </c>
      <c r="Q17" s="83">
        <f t="shared" si="4"/>
        <v>0</v>
      </c>
      <c r="R17" s="83">
        <f t="shared" si="5"/>
        <v>0</v>
      </c>
      <c r="S17" s="83">
        <f t="shared" si="7"/>
        <v>0</v>
      </c>
      <c r="T17" s="89">
        <f t="shared" si="6"/>
        <v>0</v>
      </c>
      <c r="U17" s="204"/>
      <c r="V17" s="208">
        <f t="shared" si="1"/>
        <v>0</v>
      </c>
    </row>
    <row r="18" spans="1:22" x14ac:dyDescent="0.2">
      <c r="A18" s="560" t="s">
        <v>386</v>
      </c>
      <c r="B18" s="20" t="s">
        <v>6</v>
      </c>
      <c r="C18" s="70">
        <v>0</v>
      </c>
      <c r="D18" s="70"/>
      <c r="E18" s="71"/>
      <c r="F18" s="71"/>
      <c r="G18" s="71"/>
      <c r="H18" s="83"/>
      <c r="I18" s="83"/>
      <c r="J18" s="83"/>
      <c r="K18" s="71"/>
      <c r="L18" s="163"/>
      <c r="M18" s="164"/>
      <c r="N18" s="164"/>
      <c r="O18" s="71"/>
      <c r="P18" s="83">
        <f t="shared" si="3"/>
        <v>0</v>
      </c>
      <c r="Q18" s="83">
        <f t="shared" si="4"/>
        <v>0</v>
      </c>
      <c r="R18" s="83">
        <f t="shared" si="5"/>
        <v>0</v>
      </c>
      <c r="S18" s="83">
        <f t="shared" si="7"/>
        <v>0</v>
      </c>
      <c r="T18" s="89">
        <f t="shared" si="6"/>
        <v>0</v>
      </c>
      <c r="U18" s="204"/>
      <c r="V18" s="208">
        <f t="shared" si="1"/>
        <v>0</v>
      </c>
    </row>
    <row r="19" spans="1:22" x14ac:dyDescent="0.2">
      <c r="A19" s="44" t="s">
        <v>14</v>
      </c>
      <c r="B19" s="20" t="s">
        <v>7</v>
      </c>
      <c r="C19" s="70">
        <v>865000</v>
      </c>
      <c r="D19" s="70">
        <v>865000</v>
      </c>
      <c r="E19" s="71">
        <v>0</v>
      </c>
      <c r="F19" s="71"/>
      <c r="G19" s="71"/>
      <c r="H19" s="83">
        <v>557500</v>
      </c>
      <c r="I19" s="83">
        <v>0</v>
      </c>
      <c r="J19" s="83"/>
      <c r="K19" s="71"/>
      <c r="L19" s="163">
        <f>H19/C19</f>
        <v>0.6445086705202312</v>
      </c>
      <c r="M19" s="164">
        <f>I19/D19</f>
        <v>0</v>
      </c>
      <c r="N19" s="164" t="e">
        <f>+J19/E19</f>
        <v>#DIV/0!</v>
      </c>
      <c r="O19" s="71"/>
      <c r="P19" s="83">
        <f t="shared" si="3"/>
        <v>0</v>
      </c>
      <c r="Q19" s="83">
        <f t="shared" si="4"/>
        <v>-865000</v>
      </c>
      <c r="R19" s="83">
        <f t="shared" si="5"/>
        <v>0</v>
      </c>
      <c r="S19" s="83">
        <f t="shared" si="7"/>
        <v>-865000</v>
      </c>
      <c r="T19" s="89">
        <f t="shared" si="6"/>
        <v>-1</v>
      </c>
      <c r="U19" s="204"/>
      <c r="V19" s="208">
        <f t="shared" si="1"/>
        <v>0</v>
      </c>
    </row>
    <row r="20" spans="1:22" x14ac:dyDescent="0.2">
      <c r="A20" s="44" t="s">
        <v>15</v>
      </c>
      <c r="B20" s="20" t="s">
        <v>8</v>
      </c>
      <c r="C20" s="70"/>
      <c r="D20" s="70"/>
      <c r="E20" s="71"/>
      <c r="F20" s="71"/>
      <c r="G20" s="71"/>
      <c r="H20" s="83"/>
      <c r="I20" s="83"/>
      <c r="J20" s="83"/>
      <c r="K20" s="71"/>
      <c r="L20" s="163"/>
      <c r="M20" s="164"/>
      <c r="N20" s="164"/>
      <c r="O20" s="71"/>
      <c r="P20" s="83">
        <f t="shared" si="3"/>
        <v>0</v>
      </c>
      <c r="Q20" s="83">
        <f t="shared" si="4"/>
        <v>0</v>
      </c>
      <c r="R20" s="83">
        <f t="shared" si="5"/>
        <v>0</v>
      </c>
      <c r="S20" s="83">
        <f t="shared" si="7"/>
        <v>0</v>
      </c>
      <c r="T20" s="89">
        <f t="shared" si="6"/>
        <v>0</v>
      </c>
      <c r="U20" s="204"/>
      <c r="V20" s="208">
        <f t="shared" si="1"/>
        <v>0</v>
      </c>
    </row>
    <row r="21" spans="1:22" x14ac:dyDescent="0.2">
      <c r="A21" s="44" t="s">
        <v>16</v>
      </c>
      <c r="B21" s="20" t="s">
        <v>9</v>
      </c>
      <c r="C21" s="70">
        <v>0</v>
      </c>
      <c r="D21" s="70">
        <v>0</v>
      </c>
      <c r="E21" s="187"/>
      <c r="F21" s="71"/>
      <c r="G21" s="71"/>
      <c r="H21" s="83">
        <v>0</v>
      </c>
      <c r="I21" s="83"/>
      <c r="J21" s="83"/>
      <c r="K21" s="71"/>
      <c r="L21" s="163" t="e">
        <f>H21/C21</f>
        <v>#DIV/0!</v>
      </c>
      <c r="M21" s="164" t="e">
        <f>I21/D21</f>
        <v>#DIV/0!</v>
      </c>
      <c r="N21" s="164" t="e">
        <f>+J21/E21</f>
        <v>#DIV/0!</v>
      </c>
      <c r="O21" s="71"/>
      <c r="P21" s="83">
        <f t="shared" si="3"/>
        <v>0</v>
      </c>
      <c r="Q21" s="83">
        <f t="shared" si="4"/>
        <v>0</v>
      </c>
      <c r="R21" s="83">
        <f t="shared" si="5"/>
        <v>0</v>
      </c>
      <c r="S21" s="83">
        <f t="shared" si="7"/>
        <v>0</v>
      </c>
      <c r="T21" s="89">
        <f t="shared" si="6"/>
        <v>0</v>
      </c>
      <c r="U21" s="204"/>
      <c r="V21" s="208">
        <f t="shared" si="1"/>
        <v>0</v>
      </c>
    </row>
    <row r="22" spans="1:22" x14ac:dyDescent="0.2">
      <c r="A22" s="44" t="s">
        <v>17</v>
      </c>
      <c r="B22" s="20" t="s">
        <v>10</v>
      </c>
      <c r="C22" s="70">
        <v>0</v>
      </c>
      <c r="D22" s="70">
        <v>0</v>
      </c>
      <c r="E22" s="71">
        <v>0</v>
      </c>
      <c r="F22" s="71"/>
      <c r="G22" s="71"/>
      <c r="H22" s="83"/>
      <c r="I22" s="83"/>
      <c r="J22" s="83"/>
      <c r="K22" s="71"/>
      <c r="L22" s="163"/>
      <c r="M22" s="164"/>
      <c r="N22" s="164"/>
      <c r="O22" s="71"/>
      <c r="P22" s="83">
        <f t="shared" si="3"/>
        <v>0</v>
      </c>
      <c r="Q22" s="83">
        <f t="shared" si="4"/>
        <v>0</v>
      </c>
      <c r="R22" s="83">
        <f t="shared" si="5"/>
        <v>0</v>
      </c>
      <c r="S22" s="83">
        <f t="shared" si="7"/>
        <v>0</v>
      </c>
      <c r="T22" s="89">
        <f t="shared" si="6"/>
        <v>0</v>
      </c>
      <c r="U22" s="204"/>
      <c r="V22" s="208">
        <f t="shared" si="1"/>
        <v>0</v>
      </c>
    </row>
    <row r="23" spans="1:22" x14ac:dyDescent="0.2">
      <c r="A23" s="44" t="s">
        <v>18</v>
      </c>
      <c r="B23" s="20" t="s">
        <v>11</v>
      </c>
      <c r="C23" s="70">
        <v>1100000</v>
      </c>
      <c r="D23" s="70">
        <v>1143000</v>
      </c>
      <c r="E23" s="71">
        <v>0</v>
      </c>
      <c r="F23" s="71"/>
      <c r="G23" s="71"/>
      <c r="H23" s="83">
        <v>997223</v>
      </c>
      <c r="I23" s="83">
        <v>0</v>
      </c>
      <c r="J23" s="83"/>
      <c r="K23" s="71"/>
      <c r="L23" s="163"/>
      <c r="M23" s="164">
        <f>I23/D23</f>
        <v>0</v>
      </c>
      <c r="N23" s="164" t="e">
        <f>+J23/E23</f>
        <v>#DIV/0!</v>
      </c>
      <c r="O23" s="71"/>
      <c r="P23" s="83">
        <f t="shared" si="3"/>
        <v>43000</v>
      </c>
      <c r="Q23" s="83">
        <f t="shared" si="4"/>
        <v>-1143000</v>
      </c>
      <c r="R23" s="83">
        <f t="shared" si="5"/>
        <v>0</v>
      </c>
      <c r="S23" s="83">
        <f t="shared" si="7"/>
        <v>-1100000</v>
      </c>
      <c r="T23" s="89">
        <f t="shared" si="6"/>
        <v>-1</v>
      </c>
      <c r="U23" s="204"/>
      <c r="V23" s="208">
        <f t="shared" si="1"/>
        <v>0</v>
      </c>
    </row>
    <row r="24" spans="1:22" x14ac:dyDescent="0.2">
      <c r="A24" s="44" t="s">
        <v>19</v>
      </c>
      <c r="B24" s="20"/>
      <c r="C24" s="101">
        <f>SUM(C25:C27)</f>
        <v>19880000</v>
      </c>
      <c r="D24" s="101">
        <f>SUM(D25:D27)</f>
        <v>20157000</v>
      </c>
      <c r="E24" s="101">
        <f t="shared" ref="E24:J24" si="8">SUM(E25:E27)</f>
        <v>0</v>
      </c>
      <c r="F24" s="101">
        <f t="shared" si="8"/>
        <v>0</v>
      </c>
      <c r="G24" s="101"/>
      <c r="H24" s="101">
        <f t="shared" si="8"/>
        <v>11047339</v>
      </c>
      <c r="I24" s="101">
        <f t="shared" si="8"/>
        <v>0</v>
      </c>
      <c r="J24" s="101">
        <f t="shared" si="8"/>
        <v>0</v>
      </c>
      <c r="K24" s="71"/>
      <c r="L24" s="163"/>
      <c r="M24" s="164"/>
      <c r="N24" s="164"/>
      <c r="O24" s="71"/>
      <c r="P24" s="83"/>
      <c r="Q24" s="83"/>
      <c r="R24" s="83"/>
      <c r="S24" s="83"/>
      <c r="T24" s="89"/>
      <c r="U24" s="204"/>
      <c r="V24" s="208">
        <f t="shared" si="1"/>
        <v>19880000</v>
      </c>
    </row>
    <row r="25" spans="1:22" x14ac:dyDescent="0.2">
      <c r="A25" s="14" t="s">
        <v>20</v>
      </c>
      <c r="B25" s="20" t="s">
        <v>21</v>
      </c>
      <c r="C25" s="70">
        <v>18500000</v>
      </c>
      <c r="D25" s="70">
        <v>18500000</v>
      </c>
      <c r="E25" s="71">
        <v>0</v>
      </c>
      <c r="F25" s="71"/>
      <c r="G25" s="71"/>
      <c r="H25" s="83">
        <v>9894021</v>
      </c>
      <c r="I25" s="83">
        <v>0</v>
      </c>
      <c r="J25" s="83"/>
      <c r="K25" s="71"/>
      <c r="L25" s="163"/>
      <c r="M25" s="164"/>
      <c r="N25" s="164"/>
      <c r="O25" s="71"/>
      <c r="P25" s="83">
        <f t="shared" ref="P25:R27" si="9">+(D25-C25)*P$8</f>
        <v>0</v>
      </c>
      <c r="Q25" s="83">
        <f t="shared" si="9"/>
        <v>-18500000</v>
      </c>
      <c r="R25" s="83">
        <f t="shared" si="9"/>
        <v>0</v>
      </c>
      <c r="S25" s="83">
        <f t="shared" si="7"/>
        <v>-18500000</v>
      </c>
      <c r="T25" s="89">
        <f>IF(C25=0,0,+S25/C25)</f>
        <v>-1</v>
      </c>
      <c r="U25" s="204"/>
      <c r="V25" s="208">
        <f t="shared" si="1"/>
        <v>0</v>
      </c>
    </row>
    <row r="26" spans="1:22" x14ac:dyDescent="0.2">
      <c r="A26" s="14" t="s">
        <v>22</v>
      </c>
      <c r="B26" s="20" t="s">
        <v>23</v>
      </c>
      <c r="C26" s="70">
        <v>1380000</v>
      </c>
      <c r="D26" s="70">
        <v>1060000</v>
      </c>
      <c r="E26" s="71">
        <v>0</v>
      </c>
      <c r="F26" s="71"/>
      <c r="G26" s="71"/>
      <c r="H26" s="83">
        <v>917900</v>
      </c>
      <c r="I26" s="83">
        <v>0</v>
      </c>
      <c r="J26" s="83"/>
      <c r="K26" s="71"/>
      <c r="L26" s="163"/>
      <c r="M26" s="164"/>
      <c r="N26" s="164"/>
      <c r="O26" s="71"/>
      <c r="P26" s="83">
        <f t="shared" si="9"/>
        <v>-320000</v>
      </c>
      <c r="Q26" s="83">
        <f t="shared" si="9"/>
        <v>-1060000</v>
      </c>
      <c r="R26" s="83">
        <f t="shared" si="9"/>
        <v>0</v>
      </c>
      <c r="S26" s="83">
        <f t="shared" si="7"/>
        <v>-1380000</v>
      </c>
      <c r="T26" s="89">
        <f>IF(C26=0,0,+S26/C26)</f>
        <v>-1</v>
      </c>
      <c r="U26" s="204"/>
      <c r="V26" s="208">
        <f t="shared" si="1"/>
        <v>0</v>
      </c>
    </row>
    <row r="27" spans="1:22" x14ac:dyDescent="0.2">
      <c r="A27" s="14" t="s">
        <v>24</v>
      </c>
      <c r="B27" s="20" t="s">
        <v>25</v>
      </c>
      <c r="C27" s="70">
        <v>0</v>
      </c>
      <c r="D27" s="70">
        <v>597000</v>
      </c>
      <c r="E27" s="71">
        <v>0</v>
      </c>
      <c r="F27" s="71"/>
      <c r="G27" s="71"/>
      <c r="H27" s="83">
        <v>235418</v>
      </c>
      <c r="I27" s="83">
        <v>0</v>
      </c>
      <c r="J27" s="83"/>
      <c r="K27" s="71"/>
      <c r="L27" s="163" t="e">
        <f>H27/C27</f>
        <v>#DIV/0!</v>
      </c>
      <c r="M27" s="164">
        <f>I27/D27</f>
        <v>0</v>
      </c>
      <c r="N27" s="164" t="e">
        <f>+J27/E27</f>
        <v>#DIV/0!</v>
      </c>
      <c r="O27" s="71"/>
      <c r="P27" s="83">
        <f t="shared" si="9"/>
        <v>597000</v>
      </c>
      <c r="Q27" s="83">
        <f t="shared" si="9"/>
        <v>-597000</v>
      </c>
      <c r="R27" s="83">
        <f t="shared" si="9"/>
        <v>0</v>
      </c>
      <c r="S27" s="83">
        <f t="shared" si="7"/>
        <v>0</v>
      </c>
      <c r="T27" s="89">
        <f>IF(C27=0,0,+S27/C27)</f>
        <v>0</v>
      </c>
      <c r="U27" s="204"/>
      <c r="V27" s="208">
        <f t="shared" si="1"/>
        <v>0</v>
      </c>
    </row>
    <row r="28" spans="1:22" x14ac:dyDescent="0.2">
      <c r="C28" s="70"/>
      <c r="D28" s="71"/>
      <c r="E28" s="71"/>
      <c r="F28" s="71"/>
      <c r="G28" s="71"/>
      <c r="H28" s="83"/>
      <c r="I28" s="83"/>
      <c r="J28" s="83"/>
      <c r="K28" s="71"/>
      <c r="L28" s="163"/>
      <c r="M28" s="164"/>
      <c r="N28" s="164"/>
      <c r="O28" s="71"/>
      <c r="P28" s="83"/>
      <c r="Q28" s="83"/>
      <c r="R28" s="83"/>
      <c r="S28" s="83"/>
      <c r="T28" s="89"/>
      <c r="U28" s="204"/>
      <c r="V28" s="208">
        <f t="shared" si="1"/>
        <v>0</v>
      </c>
    </row>
    <row r="29" spans="1:22" x14ac:dyDescent="0.2">
      <c r="A29" s="4" t="s">
        <v>26</v>
      </c>
      <c r="B29" s="3" t="s">
        <v>27</v>
      </c>
      <c r="C29" s="72">
        <f t="shared" ref="C29" si="10">SUM(C30:C31)</f>
        <v>15219000</v>
      </c>
      <c r="D29" s="72">
        <f>SUM(D30:D31)</f>
        <v>15219000</v>
      </c>
      <c r="E29" s="72">
        <f>SUM(E30:E31)</f>
        <v>0</v>
      </c>
      <c r="F29" s="72">
        <f>SUM(F30:F31)</f>
        <v>0</v>
      </c>
      <c r="G29" s="72"/>
      <c r="H29" s="84">
        <f t="shared" ref="H29" si="11">SUM(H30:H31)</f>
        <v>8759313</v>
      </c>
      <c r="I29" s="84">
        <f>SUM(I30:I31)</f>
        <v>0</v>
      </c>
      <c r="J29" s="84">
        <f t="shared" ref="J29" si="12">SUM(J30:J31)</f>
        <v>0</v>
      </c>
      <c r="K29" s="72"/>
      <c r="L29" s="91">
        <f>H29/C29</f>
        <v>0.57555115316380845</v>
      </c>
      <c r="M29" s="87">
        <f>I29/D29</f>
        <v>0</v>
      </c>
      <c r="N29" s="87" t="e">
        <f>+J29/E29</f>
        <v>#DIV/0!</v>
      </c>
      <c r="O29" s="72"/>
      <c r="P29" s="84">
        <f>IF(D29&gt;0,+D29-C29,0)</f>
        <v>0</v>
      </c>
      <c r="Q29" s="84">
        <f>IF(E29&gt;0,+E29-D29,0)</f>
        <v>0</v>
      </c>
      <c r="R29" s="84">
        <f>IF(F29&gt;0,+F29-E29,0)</f>
        <v>0</v>
      </c>
      <c r="S29" s="84">
        <f t="shared" si="7"/>
        <v>0</v>
      </c>
      <c r="T29" s="89">
        <f>IF(C29=0,0,+S29/C29)</f>
        <v>0</v>
      </c>
      <c r="U29" s="205"/>
      <c r="V29" s="208">
        <f t="shared" si="1"/>
        <v>15219000</v>
      </c>
    </row>
    <row r="30" spans="1:22" x14ac:dyDescent="0.2">
      <c r="B30" s="20" t="s">
        <v>28</v>
      </c>
      <c r="C30" s="73">
        <v>15219000</v>
      </c>
      <c r="D30" s="73">
        <v>15219000</v>
      </c>
      <c r="E30" s="71">
        <v>0</v>
      </c>
      <c r="F30" s="71"/>
      <c r="G30" s="71"/>
      <c r="H30" s="83">
        <v>8759313</v>
      </c>
      <c r="I30" s="83">
        <v>0</v>
      </c>
      <c r="J30" s="83"/>
      <c r="K30" s="71"/>
      <c r="L30" s="163">
        <f>H30/C30</f>
        <v>0.57555115316380845</v>
      </c>
      <c r="M30" s="164">
        <f>I30/D30</f>
        <v>0</v>
      </c>
      <c r="N30" s="164" t="e">
        <f>+J30/E30</f>
        <v>#DIV/0!</v>
      </c>
      <c r="O30" s="71"/>
      <c r="P30" s="83">
        <f>+(D30-C30)*P$8</f>
        <v>0</v>
      </c>
      <c r="Q30" s="83">
        <f>+(E30-D30)*Q$8</f>
        <v>-15219000</v>
      </c>
      <c r="R30" s="83">
        <f>+(F30-E30)*R$8</f>
        <v>0</v>
      </c>
      <c r="S30" s="83">
        <f t="shared" si="7"/>
        <v>-15219000</v>
      </c>
      <c r="T30" s="89">
        <f>IF(C30=0,0,+S30/C30)</f>
        <v>-1</v>
      </c>
      <c r="U30" s="204"/>
      <c r="V30" s="208">
        <f t="shared" si="1"/>
        <v>0</v>
      </c>
    </row>
    <row r="31" spans="1:22" x14ac:dyDescent="0.2">
      <c r="C31" s="73"/>
      <c r="D31" s="71"/>
      <c r="E31" s="71"/>
      <c r="F31" s="71"/>
      <c r="G31" s="71"/>
      <c r="H31" s="83"/>
      <c r="I31" s="83"/>
      <c r="J31" s="83"/>
      <c r="K31" s="71"/>
      <c r="L31" s="163"/>
      <c r="M31" s="164"/>
      <c r="N31" s="164"/>
      <c r="O31" s="71"/>
      <c r="P31" s="83"/>
      <c r="Q31" s="83"/>
      <c r="R31" s="83"/>
      <c r="S31" s="83"/>
      <c r="T31" s="89"/>
      <c r="U31" s="204"/>
      <c r="V31" s="208">
        <f t="shared" si="1"/>
        <v>0</v>
      </c>
    </row>
    <row r="32" spans="1:22" x14ac:dyDescent="0.2">
      <c r="A32" s="4" t="s">
        <v>29</v>
      </c>
      <c r="B32" s="3" t="s">
        <v>30</v>
      </c>
      <c r="C32" s="68">
        <f t="shared" ref="C32" si="13">SUM(C33:C80)</f>
        <v>112191000</v>
      </c>
      <c r="D32" s="68">
        <f>SUM(D33:D80)</f>
        <v>153139000</v>
      </c>
      <c r="E32" s="68">
        <f>SUM(E33:E80)</f>
        <v>0</v>
      </c>
      <c r="F32" s="68">
        <f>SUM(F33:F80)</f>
        <v>0</v>
      </c>
      <c r="G32" s="68"/>
      <c r="H32" s="85">
        <f t="shared" ref="H32" si="14">SUM(H33:H80)</f>
        <v>85708192</v>
      </c>
      <c r="I32" s="85">
        <f>SUM(I33:I80)</f>
        <v>0</v>
      </c>
      <c r="J32" s="85">
        <f>SUM(J33:J80)</f>
        <v>0</v>
      </c>
      <c r="K32" s="68"/>
      <c r="L32" s="91">
        <f>H32/C32</f>
        <v>0.76394890855772746</v>
      </c>
      <c r="M32" s="87">
        <f>I32/D32</f>
        <v>0</v>
      </c>
      <c r="N32" s="87" t="e">
        <f>+J32/E32</f>
        <v>#DIV/0!</v>
      </c>
      <c r="O32" s="68"/>
      <c r="P32" s="85">
        <f>IF(D32&gt;0,+D32-C32,0)</f>
        <v>40948000</v>
      </c>
      <c r="Q32" s="85">
        <f>IF(E32&gt;0,+E32-D32,0)</f>
        <v>0</v>
      </c>
      <c r="R32" s="85">
        <f>IF(F32&gt;0,+F32-E32,0)</f>
        <v>0</v>
      </c>
      <c r="S32" s="85">
        <f t="shared" si="7"/>
        <v>40948000</v>
      </c>
      <c r="T32" s="89">
        <f t="shared" ref="T32:T79" si="15">IF(C32=0,0,+S32/C32)</f>
        <v>0.36498471356882461</v>
      </c>
      <c r="U32" s="206"/>
      <c r="V32" s="208">
        <f t="shared" si="1"/>
        <v>153139000</v>
      </c>
    </row>
    <row r="33" spans="1:22" x14ac:dyDescent="0.2">
      <c r="A33" s="14" t="s">
        <v>31</v>
      </c>
      <c r="B33" s="20" t="s">
        <v>32</v>
      </c>
      <c r="C33" s="73"/>
      <c r="D33" s="71"/>
      <c r="E33" s="71">
        <v>0</v>
      </c>
      <c r="F33" s="71"/>
      <c r="G33" s="71"/>
      <c r="H33" s="83"/>
      <c r="I33" s="83"/>
      <c r="J33" s="83"/>
      <c r="K33" s="71"/>
      <c r="L33" s="163"/>
      <c r="M33" s="164"/>
      <c r="N33" s="164"/>
      <c r="O33" s="71"/>
      <c r="P33" s="83">
        <f t="shared" ref="P33:P79" si="16">+(D33-C33)*P$8</f>
        <v>0</v>
      </c>
      <c r="Q33" s="83">
        <f t="shared" ref="Q33:Q79" si="17">+(E33-D33)*Q$8</f>
        <v>0</v>
      </c>
      <c r="R33" s="83">
        <f t="shared" ref="R33:R79" si="18">+(F33-E33)*R$8</f>
        <v>0</v>
      </c>
      <c r="S33" s="83">
        <f t="shared" si="7"/>
        <v>0</v>
      </c>
      <c r="T33" s="89">
        <f t="shared" si="15"/>
        <v>0</v>
      </c>
      <c r="U33" s="204"/>
      <c r="V33" s="208">
        <f t="shared" si="1"/>
        <v>0</v>
      </c>
    </row>
    <row r="34" spans="1:22" x14ac:dyDescent="0.2">
      <c r="A34" s="14" t="s">
        <v>33</v>
      </c>
      <c r="B34" s="20" t="s">
        <v>35</v>
      </c>
      <c r="C34" s="73">
        <v>750000</v>
      </c>
      <c r="D34" s="73">
        <v>1513000</v>
      </c>
      <c r="E34" s="71">
        <v>0</v>
      </c>
      <c r="F34" s="71"/>
      <c r="G34" s="71"/>
      <c r="H34" s="83">
        <v>1132690</v>
      </c>
      <c r="I34" s="83">
        <v>0</v>
      </c>
      <c r="J34" s="83"/>
      <c r="K34" s="71"/>
      <c r="L34" s="163">
        <f>H34/C34</f>
        <v>1.5102533333333332</v>
      </c>
      <c r="M34" s="164">
        <f>I34/D34</f>
        <v>0</v>
      </c>
      <c r="N34" s="164" t="e">
        <f>+J34/E34</f>
        <v>#DIV/0!</v>
      </c>
      <c r="O34" s="71"/>
      <c r="P34" s="83">
        <f t="shared" si="16"/>
        <v>763000</v>
      </c>
      <c r="Q34" s="83">
        <f t="shared" si="17"/>
        <v>-1513000</v>
      </c>
      <c r="R34" s="83">
        <f t="shared" si="18"/>
        <v>0</v>
      </c>
      <c r="S34" s="83">
        <f t="shared" si="7"/>
        <v>-750000</v>
      </c>
      <c r="T34" s="89">
        <f t="shared" si="15"/>
        <v>-1</v>
      </c>
      <c r="U34" s="204"/>
      <c r="V34" s="208">
        <f t="shared" si="1"/>
        <v>0</v>
      </c>
    </row>
    <row r="35" spans="1:22" x14ac:dyDescent="0.2">
      <c r="B35" s="20" t="s">
        <v>364</v>
      </c>
      <c r="C35" s="73"/>
      <c r="D35" s="73"/>
      <c r="E35" s="71">
        <v>0</v>
      </c>
      <c r="F35" s="71"/>
      <c r="G35" s="71"/>
      <c r="H35" s="83"/>
      <c r="I35" s="83"/>
      <c r="J35" s="83"/>
      <c r="K35" s="71"/>
      <c r="L35" s="163"/>
      <c r="M35" s="164"/>
      <c r="N35" s="164"/>
      <c r="O35" s="71"/>
      <c r="P35" s="83">
        <f t="shared" si="16"/>
        <v>0</v>
      </c>
      <c r="Q35" s="83">
        <f t="shared" si="17"/>
        <v>0</v>
      </c>
      <c r="R35" s="83">
        <f t="shared" si="18"/>
        <v>0</v>
      </c>
      <c r="S35" s="83">
        <f t="shared" si="7"/>
        <v>0</v>
      </c>
      <c r="T35" s="89">
        <f t="shared" si="15"/>
        <v>0</v>
      </c>
      <c r="U35" s="204"/>
      <c r="V35" s="208">
        <f t="shared" si="1"/>
        <v>0</v>
      </c>
    </row>
    <row r="36" spans="1:22" x14ac:dyDescent="0.2">
      <c r="A36" s="14" t="s">
        <v>34</v>
      </c>
      <c r="B36" s="20" t="s">
        <v>36</v>
      </c>
      <c r="C36" s="73">
        <v>9954000</v>
      </c>
      <c r="D36" s="73">
        <v>9307000</v>
      </c>
      <c r="E36" s="71">
        <v>0</v>
      </c>
      <c r="F36" s="71"/>
      <c r="G36" s="71"/>
      <c r="H36" s="83">
        <v>3027197</v>
      </c>
      <c r="I36" s="83">
        <v>0</v>
      </c>
      <c r="J36" s="83"/>
      <c r="K36" s="71"/>
      <c r="L36" s="163">
        <f>H36/C36</f>
        <v>0.30411864577054448</v>
      </c>
      <c r="M36" s="164">
        <f>I36/D36</f>
        <v>0</v>
      </c>
      <c r="N36" s="164" t="e">
        <f>+J36/E36</f>
        <v>#DIV/0!</v>
      </c>
      <c r="O36" s="71"/>
      <c r="P36" s="83">
        <f t="shared" si="16"/>
        <v>-647000</v>
      </c>
      <c r="Q36" s="83">
        <f t="shared" si="17"/>
        <v>-9307000</v>
      </c>
      <c r="R36" s="83">
        <f t="shared" si="18"/>
        <v>0</v>
      </c>
      <c r="S36" s="83">
        <f t="shared" si="7"/>
        <v>-9954000</v>
      </c>
      <c r="T36" s="89">
        <f t="shared" si="15"/>
        <v>-1</v>
      </c>
      <c r="U36" s="204"/>
      <c r="V36" s="208">
        <f t="shared" si="1"/>
        <v>0</v>
      </c>
    </row>
    <row r="37" spans="1:22" ht="17.25" customHeight="1" x14ac:dyDescent="0.2">
      <c r="B37" s="20" t="s">
        <v>365</v>
      </c>
      <c r="C37" s="73"/>
      <c r="D37" s="73"/>
      <c r="E37" s="71"/>
      <c r="F37" s="71"/>
      <c r="G37" s="71"/>
      <c r="H37" s="83"/>
      <c r="I37" s="83"/>
      <c r="J37" s="83"/>
      <c r="K37" s="71"/>
      <c r="L37" s="163"/>
      <c r="M37" s="164"/>
      <c r="N37" s="164"/>
      <c r="O37" s="71"/>
      <c r="P37" s="83">
        <f t="shared" si="16"/>
        <v>0</v>
      </c>
      <c r="Q37" s="83">
        <f t="shared" si="17"/>
        <v>0</v>
      </c>
      <c r="R37" s="83">
        <f t="shared" si="18"/>
        <v>0</v>
      </c>
      <c r="S37" s="83">
        <f t="shared" si="7"/>
        <v>0</v>
      </c>
      <c r="T37" s="89">
        <f t="shared" si="15"/>
        <v>0</v>
      </c>
      <c r="U37" s="204"/>
      <c r="V37" s="208">
        <f t="shared" si="1"/>
        <v>0</v>
      </c>
    </row>
    <row r="38" spans="1:22" x14ac:dyDescent="0.2">
      <c r="B38" s="20" t="s">
        <v>108</v>
      </c>
      <c r="C38" s="73"/>
      <c r="D38" s="73"/>
      <c r="E38" s="71"/>
      <c r="F38" s="71"/>
      <c r="G38" s="71"/>
      <c r="H38" s="83"/>
      <c r="I38" s="83"/>
      <c r="J38" s="83"/>
      <c r="K38" s="71"/>
      <c r="L38" s="163"/>
      <c r="M38" s="164"/>
      <c r="N38" s="164"/>
      <c r="O38" s="71"/>
      <c r="P38" s="83">
        <f t="shared" si="16"/>
        <v>0</v>
      </c>
      <c r="Q38" s="83">
        <f t="shared" si="17"/>
        <v>0</v>
      </c>
      <c r="R38" s="83">
        <f t="shared" si="18"/>
        <v>0</v>
      </c>
      <c r="S38" s="83">
        <f t="shared" si="7"/>
        <v>0</v>
      </c>
      <c r="T38" s="89">
        <f t="shared" si="15"/>
        <v>0</v>
      </c>
      <c r="U38" s="204"/>
      <c r="V38" s="208">
        <f t="shared" si="1"/>
        <v>0</v>
      </c>
    </row>
    <row r="39" spans="1:22" x14ac:dyDescent="0.2">
      <c r="A39" s="14" t="s">
        <v>37</v>
      </c>
      <c r="B39" s="20" t="s">
        <v>38</v>
      </c>
      <c r="C39" s="73"/>
      <c r="D39" s="73"/>
      <c r="E39" s="71"/>
      <c r="F39" s="71"/>
      <c r="G39" s="71"/>
      <c r="H39" s="83"/>
      <c r="I39" s="83"/>
      <c r="J39" s="83"/>
      <c r="K39" s="71"/>
      <c r="L39" s="163"/>
      <c r="M39" s="164"/>
      <c r="N39" s="164"/>
      <c r="O39" s="71"/>
      <c r="P39" s="83">
        <f t="shared" si="16"/>
        <v>0</v>
      </c>
      <c r="Q39" s="83">
        <f t="shared" si="17"/>
        <v>0</v>
      </c>
      <c r="R39" s="83">
        <f t="shared" si="18"/>
        <v>0</v>
      </c>
      <c r="S39" s="83">
        <f t="shared" si="7"/>
        <v>0</v>
      </c>
      <c r="T39" s="89">
        <f t="shared" si="15"/>
        <v>0</v>
      </c>
      <c r="U39" s="204"/>
      <c r="V39" s="208">
        <f t="shared" si="1"/>
        <v>0</v>
      </c>
    </row>
    <row r="40" spans="1:22" x14ac:dyDescent="0.2">
      <c r="A40" s="14" t="s">
        <v>39</v>
      </c>
      <c r="B40" s="20" t="s">
        <v>40</v>
      </c>
      <c r="C40" s="73">
        <v>743000</v>
      </c>
      <c r="D40" s="73">
        <v>743000</v>
      </c>
      <c r="E40" s="71">
        <v>0</v>
      </c>
      <c r="F40" s="71"/>
      <c r="G40" s="71"/>
      <c r="H40" s="83">
        <v>287350</v>
      </c>
      <c r="I40" s="83">
        <v>0</v>
      </c>
      <c r="J40" s="83"/>
      <c r="K40" s="71"/>
      <c r="L40" s="163">
        <f>H40/C40</f>
        <v>0.38674293405114402</v>
      </c>
      <c r="M40" s="164">
        <f>I40/D40</f>
        <v>0</v>
      </c>
      <c r="N40" s="164" t="e">
        <f>+J40/E40</f>
        <v>#DIV/0!</v>
      </c>
      <c r="O40" s="71"/>
      <c r="P40" s="83">
        <f t="shared" si="16"/>
        <v>0</v>
      </c>
      <c r="Q40" s="83">
        <f t="shared" si="17"/>
        <v>-743000</v>
      </c>
      <c r="R40" s="83">
        <f t="shared" si="18"/>
        <v>0</v>
      </c>
      <c r="S40" s="83">
        <f t="shared" si="7"/>
        <v>-743000</v>
      </c>
      <c r="T40" s="89">
        <f t="shared" si="15"/>
        <v>-1</v>
      </c>
      <c r="U40" s="204"/>
      <c r="V40" s="208">
        <f t="shared" si="1"/>
        <v>0</v>
      </c>
    </row>
    <row r="41" spans="1:22" ht="25.5" x14ac:dyDescent="0.2">
      <c r="B41" s="20" t="s">
        <v>41</v>
      </c>
      <c r="C41" s="73"/>
      <c r="D41" s="73"/>
      <c r="E41" s="71"/>
      <c r="F41" s="71"/>
      <c r="G41" s="71"/>
      <c r="H41" s="83"/>
      <c r="I41" s="83"/>
      <c r="J41" s="83"/>
      <c r="K41" s="71"/>
      <c r="L41" s="163"/>
      <c r="M41" s="164"/>
      <c r="N41" s="164"/>
      <c r="O41" s="71"/>
      <c r="P41" s="83">
        <f t="shared" si="16"/>
        <v>0</v>
      </c>
      <c r="Q41" s="83">
        <f t="shared" si="17"/>
        <v>0</v>
      </c>
      <c r="R41" s="83">
        <f t="shared" si="18"/>
        <v>0</v>
      </c>
      <c r="S41" s="83">
        <f t="shared" si="7"/>
        <v>0</v>
      </c>
      <c r="T41" s="89">
        <f t="shared" si="15"/>
        <v>0</v>
      </c>
      <c r="U41" s="204"/>
      <c r="V41" s="208">
        <f t="shared" si="1"/>
        <v>0</v>
      </c>
    </row>
    <row r="42" spans="1:22" x14ac:dyDescent="0.2">
      <c r="B42" s="20" t="s">
        <v>42</v>
      </c>
      <c r="C42" s="73"/>
      <c r="D42" s="73"/>
      <c r="E42" s="71"/>
      <c r="F42" s="71"/>
      <c r="G42" s="71"/>
      <c r="H42" s="83"/>
      <c r="I42" s="83"/>
      <c r="J42" s="83"/>
      <c r="K42" s="71"/>
      <c r="L42" s="163"/>
      <c r="M42" s="164"/>
      <c r="N42" s="164"/>
      <c r="O42" s="71"/>
      <c r="P42" s="83">
        <f t="shared" si="16"/>
        <v>0</v>
      </c>
      <c r="Q42" s="83">
        <f t="shared" si="17"/>
        <v>0</v>
      </c>
      <c r="R42" s="83">
        <f t="shared" si="18"/>
        <v>0</v>
      </c>
      <c r="S42" s="83">
        <f t="shared" si="7"/>
        <v>0</v>
      </c>
      <c r="T42" s="89">
        <f t="shared" si="15"/>
        <v>0</v>
      </c>
      <c r="U42" s="204"/>
      <c r="V42" s="208">
        <f t="shared" si="1"/>
        <v>0</v>
      </c>
    </row>
    <row r="43" spans="1:22" x14ac:dyDescent="0.2">
      <c r="B43" s="20" t="s">
        <v>43</v>
      </c>
      <c r="C43" s="73"/>
      <c r="D43" s="73"/>
      <c r="E43" s="71"/>
      <c r="F43" s="71"/>
      <c r="G43" s="71"/>
      <c r="H43" s="83"/>
      <c r="I43" s="83"/>
      <c r="J43" s="83"/>
      <c r="K43" s="71"/>
      <c r="L43" s="163"/>
      <c r="M43" s="164"/>
      <c r="N43" s="164"/>
      <c r="O43" s="71"/>
      <c r="P43" s="83">
        <f t="shared" si="16"/>
        <v>0</v>
      </c>
      <c r="Q43" s="83">
        <f t="shared" si="17"/>
        <v>0</v>
      </c>
      <c r="R43" s="83">
        <f t="shared" si="18"/>
        <v>0</v>
      </c>
      <c r="S43" s="83">
        <f t="shared" si="7"/>
        <v>0</v>
      </c>
      <c r="T43" s="89">
        <f t="shared" si="15"/>
        <v>0</v>
      </c>
      <c r="U43" s="204"/>
      <c r="V43" s="208">
        <f t="shared" si="1"/>
        <v>0</v>
      </c>
    </row>
    <row r="44" spans="1:22" x14ac:dyDescent="0.2">
      <c r="A44" s="14" t="s">
        <v>44</v>
      </c>
      <c r="B44" s="20" t="s">
        <v>45</v>
      </c>
      <c r="C44" s="73">
        <v>2116000</v>
      </c>
      <c r="D44" s="73">
        <v>3282000</v>
      </c>
      <c r="E44" s="71">
        <v>0</v>
      </c>
      <c r="F44" s="71"/>
      <c r="G44" s="71"/>
      <c r="H44" s="83">
        <v>1235714</v>
      </c>
      <c r="I44" s="83">
        <v>0</v>
      </c>
      <c r="J44" s="83"/>
      <c r="K44" s="71"/>
      <c r="L44" s="163">
        <f>H44/C44</f>
        <v>0.58398582230623819</v>
      </c>
      <c r="M44" s="164">
        <f>I44/D44</f>
        <v>0</v>
      </c>
      <c r="N44" s="164" t="e">
        <f>+J44/E44</f>
        <v>#DIV/0!</v>
      </c>
      <c r="O44" s="71"/>
      <c r="P44" s="83">
        <f t="shared" si="16"/>
        <v>1166000</v>
      </c>
      <c r="Q44" s="83">
        <f t="shared" si="17"/>
        <v>-3282000</v>
      </c>
      <c r="R44" s="83">
        <f t="shared" si="18"/>
        <v>0</v>
      </c>
      <c r="S44" s="83">
        <f t="shared" si="7"/>
        <v>-2116000</v>
      </c>
      <c r="T44" s="89">
        <f t="shared" si="15"/>
        <v>-1</v>
      </c>
      <c r="U44" s="204"/>
      <c r="V44" s="208">
        <f t="shared" si="1"/>
        <v>0</v>
      </c>
    </row>
    <row r="45" spans="1:22" x14ac:dyDescent="0.2">
      <c r="B45" s="20" t="s">
        <v>46</v>
      </c>
      <c r="C45" s="73"/>
      <c r="D45" s="73"/>
      <c r="E45" s="71"/>
      <c r="F45" s="71"/>
      <c r="G45" s="71"/>
      <c r="H45" s="83"/>
      <c r="I45" s="83"/>
      <c r="J45" s="83"/>
      <c r="K45" s="71"/>
      <c r="L45" s="163"/>
      <c r="M45" s="164"/>
      <c r="N45" s="164"/>
      <c r="O45" s="71"/>
      <c r="P45" s="83">
        <f t="shared" si="16"/>
        <v>0</v>
      </c>
      <c r="Q45" s="83">
        <f t="shared" si="17"/>
        <v>0</v>
      </c>
      <c r="R45" s="83">
        <f t="shared" si="18"/>
        <v>0</v>
      </c>
      <c r="S45" s="83">
        <f t="shared" si="7"/>
        <v>0</v>
      </c>
      <c r="T45" s="89">
        <f t="shared" si="15"/>
        <v>0</v>
      </c>
      <c r="U45" s="204"/>
      <c r="V45" s="208">
        <f t="shared" ref="V45:V76" si="19">+S45-E45+C45</f>
        <v>0</v>
      </c>
    </row>
    <row r="46" spans="1:22" x14ac:dyDescent="0.2">
      <c r="A46" s="14" t="s">
        <v>47</v>
      </c>
      <c r="B46" s="20" t="s">
        <v>48</v>
      </c>
      <c r="C46" s="73"/>
      <c r="D46" s="71"/>
      <c r="E46" s="71"/>
      <c r="F46" s="71"/>
      <c r="G46" s="71"/>
      <c r="H46" s="83"/>
      <c r="I46" s="83"/>
      <c r="J46" s="83"/>
      <c r="K46" s="71"/>
      <c r="L46" s="163"/>
      <c r="M46" s="164"/>
      <c r="N46" s="164"/>
      <c r="O46" s="71"/>
      <c r="P46" s="83">
        <f t="shared" si="16"/>
        <v>0</v>
      </c>
      <c r="Q46" s="83">
        <f t="shared" si="17"/>
        <v>0</v>
      </c>
      <c r="R46" s="83">
        <f t="shared" si="18"/>
        <v>0</v>
      </c>
      <c r="S46" s="83">
        <f t="shared" si="7"/>
        <v>0</v>
      </c>
      <c r="T46" s="89">
        <f t="shared" si="15"/>
        <v>0</v>
      </c>
      <c r="U46" s="204"/>
      <c r="V46" s="208">
        <f t="shared" si="19"/>
        <v>0</v>
      </c>
    </row>
    <row r="47" spans="1:22" x14ac:dyDescent="0.2">
      <c r="A47" s="14" t="s">
        <v>49</v>
      </c>
      <c r="B47" s="20" t="s">
        <v>50</v>
      </c>
      <c r="C47" s="73">
        <v>14800000</v>
      </c>
      <c r="D47" s="71">
        <v>38495000</v>
      </c>
      <c r="E47" s="71">
        <v>0</v>
      </c>
      <c r="F47" s="71"/>
      <c r="G47" s="71"/>
      <c r="H47" s="83">
        <v>19179540</v>
      </c>
      <c r="I47" s="83">
        <v>0</v>
      </c>
      <c r="J47" s="83"/>
      <c r="K47" s="71"/>
      <c r="L47" s="163">
        <f>H47/C47</f>
        <v>1.2959148648648648</v>
      </c>
      <c r="M47" s="164">
        <f>I47/D47</f>
        <v>0</v>
      </c>
      <c r="N47" s="164" t="e">
        <f>+J47/E47</f>
        <v>#DIV/0!</v>
      </c>
      <c r="O47" s="71"/>
      <c r="P47" s="83">
        <f t="shared" si="16"/>
        <v>23695000</v>
      </c>
      <c r="Q47" s="83">
        <f t="shared" si="17"/>
        <v>-38495000</v>
      </c>
      <c r="R47" s="83">
        <f t="shared" si="18"/>
        <v>0</v>
      </c>
      <c r="S47" s="83">
        <f t="shared" si="7"/>
        <v>-14800000</v>
      </c>
      <c r="T47" s="89">
        <f t="shared" si="15"/>
        <v>-1</v>
      </c>
      <c r="U47" s="204"/>
      <c r="V47" s="208">
        <f t="shared" si="19"/>
        <v>0</v>
      </c>
    </row>
    <row r="48" spans="1:22" x14ac:dyDescent="0.2">
      <c r="B48" s="20" t="s">
        <v>97</v>
      </c>
      <c r="C48" s="73"/>
      <c r="D48" s="71"/>
      <c r="E48" s="71">
        <v>0</v>
      </c>
      <c r="F48" s="71"/>
      <c r="G48" s="71"/>
      <c r="H48" s="83"/>
      <c r="I48" s="83"/>
      <c r="J48" s="83"/>
      <c r="K48" s="71"/>
      <c r="L48" s="163"/>
      <c r="M48" s="164"/>
      <c r="N48" s="164"/>
      <c r="O48" s="71"/>
      <c r="P48" s="83">
        <f t="shared" si="16"/>
        <v>0</v>
      </c>
      <c r="Q48" s="83">
        <f t="shared" si="17"/>
        <v>0</v>
      </c>
      <c r="R48" s="83">
        <f t="shared" si="18"/>
        <v>0</v>
      </c>
      <c r="S48" s="83">
        <f t="shared" si="7"/>
        <v>0</v>
      </c>
      <c r="T48" s="89">
        <f t="shared" si="15"/>
        <v>0</v>
      </c>
      <c r="U48" s="204"/>
      <c r="V48" s="208">
        <f t="shared" si="19"/>
        <v>0</v>
      </c>
    </row>
    <row r="49" spans="1:22" x14ac:dyDescent="0.2">
      <c r="B49" s="20" t="s">
        <v>98</v>
      </c>
      <c r="C49" s="73"/>
      <c r="D49" s="71"/>
      <c r="E49" s="71">
        <v>0</v>
      </c>
      <c r="F49" s="71"/>
      <c r="G49" s="71"/>
      <c r="H49" s="83"/>
      <c r="I49" s="83"/>
      <c r="J49" s="83"/>
      <c r="K49" s="71"/>
      <c r="L49" s="163"/>
      <c r="M49" s="164"/>
      <c r="N49" s="164"/>
      <c r="O49" s="71"/>
      <c r="P49" s="83">
        <f t="shared" si="16"/>
        <v>0</v>
      </c>
      <c r="Q49" s="83">
        <f t="shared" si="17"/>
        <v>0</v>
      </c>
      <c r="R49" s="83">
        <f t="shared" si="18"/>
        <v>0</v>
      </c>
      <c r="S49" s="83">
        <f t="shared" si="7"/>
        <v>0</v>
      </c>
      <c r="T49" s="89">
        <f t="shared" si="15"/>
        <v>0</v>
      </c>
      <c r="U49" s="204"/>
      <c r="V49" s="208">
        <f t="shared" si="19"/>
        <v>0</v>
      </c>
    </row>
    <row r="50" spans="1:22" x14ac:dyDescent="0.2">
      <c r="B50" s="20" t="s">
        <v>99</v>
      </c>
      <c r="C50" s="73"/>
      <c r="D50" s="71"/>
      <c r="E50" s="71">
        <v>0</v>
      </c>
      <c r="F50" s="71"/>
      <c r="G50" s="71"/>
      <c r="H50" s="83"/>
      <c r="I50" s="83"/>
      <c r="J50" s="83"/>
      <c r="K50" s="71"/>
      <c r="L50" s="163"/>
      <c r="M50" s="164"/>
      <c r="N50" s="164"/>
      <c r="O50" s="71"/>
      <c r="P50" s="83">
        <f t="shared" si="16"/>
        <v>0</v>
      </c>
      <c r="Q50" s="83">
        <f t="shared" si="17"/>
        <v>0</v>
      </c>
      <c r="R50" s="83">
        <f t="shared" si="18"/>
        <v>0</v>
      </c>
      <c r="S50" s="83">
        <f t="shared" si="7"/>
        <v>0</v>
      </c>
      <c r="T50" s="89">
        <f t="shared" si="15"/>
        <v>0</v>
      </c>
      <c r="U50" s="204"/>
      <c r="V50" s="208">
        <f t="shared" si="19"/>
        <v>0</v>
      </c>
    </row>
    <row r="51" spans="1:22" x14ac:dyDescent="0.2">
      <c r="A51" s="14" t="s">
        <v>51</v>
      </c>
      <c r="B51" s="20" t="s">
        <v>52</v>
      </c>
      <c r="C51" s="73">
        <v>0</v>
      </c>
      <c r="D51" s="73">
        <v>0</v>
      </c>
      <c r="E51" s="71">
        <v>0</v>
      </c>
      <c r="F51" s="71"/>
      <c r="G51" s="71"/>
      <c r="H51" s="83">
        <v>0</v>
      </c>
      <c r="I51" s="83">
        <v>0</v>
      </c>
      <c r="J51" s="83"/>
      <c r="K51" s="71"/>
      <c r="L51" s="163" t="e">
        <f>H51/C51</f>
        <v>#DIV/0!</v>
      </c>
      <c r="M51" s="164" t="e">
        <f>I51/D51</f>
        <v>#DIV/0!</v>
      </c>
      <c r="N51" s="164" t="e">
        <f>+J51/E51</f>
        <v>#DIV/0!</v>
      </c>
      <c r="O51" s="71"/>
      <c r="P51" s="83">
        <f t="shared" si="16"/>
        <v>0</v>
      </c>
      <c r="Q51" s="83">
        <f t="shared" si="17"/>
        <v>0</v>
      </c>
      <c r="R51" s="83">
        <f t="shared" si="18"/>
        <v>0</v>
      </c>
      <c r="S51" s="83">
        <f t="shared" si="7"/>
        <v>0</v>
      </c>
      <c r="T51" s="89">
        <f t="shared" si="15"/>
        <v>0</v>
      </c>
      <c r="U51" s="204"/>
      <c r="V51" s="208">
        <f t="shared" si="19"/>
        <v>0</v>
      </c>
    </row>
    <row r="52" spans="1:22" x14ac:dyDescent="0.2">
      <c r="B52" s="20" t="s">
        <v>90</v>
      </c>
      <c r="C52" s="73"/>
      <c r="D52" s="71"/>
      <c r="E52" s="71">
        <v>0</v>
      </c>
      <c r="F52" s="71"/>
      <c r="G52" s="71"/>
      <c r="H52" s="83"/>
      <c r="I52" s="83"/>
      <c r="J52" s="83"/>
      <c r="K52" s="71"/>
      <c r="L52" s="163"/>
      <c r="M52" s="164"/>
      <c r="N52" s="164"/>
      <c r="O52" s="71"/>
      <c r="P52" s="83">
        <f t="shared" si="16"/>
        <v>0</v>
      </c>
      <c r="Q52" s="83">
        <f t="shared" si="17"/>
        <v>0</v>
      </c>
      <c r="R52" s="83">
        <f t="shared" si="18"/>
        <v>0</v>
      </c>
      <c r="S52" s="83">
        <f t="shared" si="7"/>
        <v>0</v>
      </c>
      <c r="T52" s="89">
        <f t="shared" si="15"/>
        <v>0</v>
      </c>
      <c r="U52" s="204"/>
      <c r="V52" s="208">
        <f t="shared" si="19"/>
        <v>0</v>
      </c>
    </row>
    <row r="53" spans="1:22" x14ac:dyDescent="0.2">
      <c r="B53" s="20" t="s">
        <v>53</v>
      </c>
      <c r="C53" s="73"/>
      <c r="D53" s="71"/>
      <c r="E53" s="71">
        <v>0</v>
      </c>
      <c r="F53" s="71"/>
      <c r="G53" s="71"/>
      <c r="H53" s="83"/>
      <c r="I53" s="83"/>
      <c r="J53" s="83"/>
      <c r="K53" s="71"/>
      <c r="L53" s="163"/>
      <c r="M53" s="164"/>
      <c r="N53" s="164"/>
      <c r="O53" s="71"/>
      <c r="P53" s="83">
        <f t="shared" si="16"/>
        <v>0</v>
      </c>
      <c r="Q53" s="83">
        <f t="shared" si="17"/>
        <v>0</v>
      </c>
      <c r="R53" s="83">
        <f t="shared" si="18"/>
        <v>0</v>
      </c>
      <c r="S53" s="83">
        <f t="shared" si="7"/>
        <v>0</v>
      </c>
      <c r="T53" s="89">
        <f t="shared" si="15"/>
        <v>0</v>
      </c>
      <c r="U53" s="204"/>
      <c r="V53" s="208">
        <f t="shared" si="19"/>
        <v>0</v>
      </c>
    </row>
    <row r="54" spans="1:22" x14ac:dyDescent="0.2">
      <c r="A54" s="14" t="s">
        <v>54</v>
      </c>
      <c r="B54" s="20" t="s">
        <v>55</v>
      </c>
      <c r="C54" s="73">
        <v>3098000</v>
      </c>
      <c r="D54" s="71">
        <v>1421000</v>
      </c>
      <c r="E54" s="71">
        <v>0</v>
      </c>
      <c r="F54" s="71"/>
      <c r="G54" s="71"/>
      <c r="H54" s="83">
        <v>400000</v>
      </c>
      <c r="I54" s="83">
        <v>0</v>
      </c>
      <c r="J54" s="83"/>
      <c r="K54" s="71"/>
      <c r="L54" s="163"/>
      <c r="M54" s="164">
        <f>I54/D54</f>
        <v>0</v>
      </c>
      <c r="N54" s="164" t="e">
        <f>+J54/E54</f>
        <v>#DIV/0!</v>
      </c>
      <c r="O54" s="71"/>
      <c r="P54" s="83">
        <f t="shared" si="16"/>
        <v>-1677000</v>
      </c>
      <c r="Q54" s="83">
        <f t="shared" si="17"/>
        <v>-1421000</v>
      </c>
      <c r="R54" s="83">
        <f t="shared" si="18"/>
        <v>0</v>
      </c>
      <c r="S54" s="83">
        <f t="shared" si="7"/>
        <v>-3098000</v>
      </c>
      <c r="T54" s="89">
        <f t="shared" si="15"/>
        <v>-1</v>
      </c>
      <c r="U54" s="204"/>
      <c r="V54" s="208">
        <f t="shared" si="19"/>
        <v>0</v>
      </c>
    </row>
    <row r="55" spans="1:22" x14ac:dyDescent="0.2">
      <c r="B55" s="20" t="s">
        <v>56</v>
      </c>
      <c r="C55" s="73"/>
      <c r="D55" s="71"/>
      <c r="E55" s="71">
        <v>0</v>
      </c>
      <c r="F55" s="71"/>
      <c r="G55" s="71"/>
      <c r="H55" s="83"/>
      <c r="I55" s="83"/>
      <c r="J55" s="83"/>
      <c r="K55" s="71"/>
      <c r="L55" s="163"/>
      <c r="M55" s="164"/>
      <c r="N55" s="164"/>
      <c r="O55" s="71"/>
      <c r="P55" s="83">
        <f t="shared" si="16"/>
        <v>0</v>
      </c>
      <c r="Q55" s="83">
        <f t="shared" si="17"/>
        <v>0</v>
      </c>
      <c r="R55" s="83">
        <f t="shared" si="18"/>
        <v>0</v>
      </c>
      <c r="S55" s="83">
        <f t="shared" si="7"/>
        <v>0</v>
      </c>
      <c r="T55" s="89">
        <f t="shared" si="15"/>
        <v>0</v>
      </c>
      <c r="U55" s="204"/>
      <c r="V55" s="208">
        <f t="shared" si="19"/>
        <v>0</v>
      </c>
    </row>
    <row r="56" spans="1:22" x14ac:dyDescent="0.2">
      <c r="A56" s="14" t="s">
        <v>57</v>
      </c>
      <c r="B56" s="20" t="s">
        <v>91</v>
      </c>
      <c r="C56" s="73">
        <v>4011000</v>
      </c>
      <c r="D56" s="71">
        <v>919000</v>
      </c>
      <c r="E56" s="71">
        <v>0</v>
      </c>
      <c r="F56" s="71"/>
      <c r="G56" s="71"/>
      <c r="H56" s="83">
        <v>767916</v>
      </c>
      <c r="I56" s="83">
        <v>0</v>
      </c>
      <c r="J56" s="83"/>
      <c r="K56" s="71"/>
      <c r="L56" s="163">
        <f>H56/C56</f>
        <v>0.19145250560957366</v>
      </c>
      <c r="M56" s="164">
        <f>I56/D56</f>
        <v>0</v>
      </c>
      <c r="N56" s="164" t="e">
        <f>+J56/E56</f>
        <v>#DIV/0!</v>
      </c>
      <c r="O56" s="71"/>
      <c r="P56" s="83">
        <f t="shared" si="16"/>
        <v>-3092000</v>
      </c>
      <c r="Q56" s="83">
        <f t="shared" si="17"/>
        <v>-919000</v>
      </c>
      <c r="R56" s="83">
        <f t="shared" si="18"/>
        <v>0</v>
      </c>
      <c r="S56" s="83">
        <f t="shared" si="7"/>
        <v>-4011000</v>
      </c>
      <c r="T56" s="89">
        <f t="shared" si="15"/>
        <v>-1</v>
      </c>
      <c r="U56" s="204"/>
      <c r="V56" s="208">
        <f t="shared" si="19"/>
        <v>0</v>
      </c>
    </row>
    <row r="57" spans="1:22" x14ac:dyDescent="0.2">
      <c r="B57" s="20" t="s">
        <v>58</v>
      </c>
      <c r="C57" s="73"/>
      <c r="D57" s="71"/>
      <c r="E57" s="71">
        <v>0</v>
      </c>
      <c r="F57" s="71"/>
      <c r="G57" s="71"/>
      <c r="H57" s="83"/>
      <c r="I57" s="83"/>
      <c r="J57" s="83"/>
      <c r="K57" s="71"/>
      <c r="L57" s="163"/>
      <c r="M57" s="164"/>
      <c r="N57" s="164"/>
      <c r="O57" s="71"/>
      <c r="P57" s="83">
        <f t="shared" si="16"/>
        <v>0</v>
      </c>
      <c r="Q57" s="83">
        <f t="shared" si="17"/>
        <v>0</v>
      </c>
      <c r="R57" s="83">
        <f t="shared" si="18"/>
        <v>0</v>
      </c>
      <c r="S57" s="83">
        <f t="shared" si="7"/>
        <v>0</v>
      </c>
      <c r="T57" s="89">
        <f t="shared" si="15"/>
        <v>0</v>
      </c>
      <c r="U57" s="204"/>
      <c r="V57" s="208">
        <f t="shared" si="19"/>
        <v>0</v>
      </c>
    </row>
    <row r="58" spans="1:22" x14ac:dyDescent="0.2">
      <c r="A58" s="14" t="s">
        <v>59</v>
      </c>
      <c r="B58" s="20" t="s">
        <v>60</v>
      </c>
      <c r="C58" s="73">
        <v>4206000</v>
      </c>
      <c r="D58" s="73">
        <v>12441000</v>
      </c>
      <c r="E58" s="71">
        <v>0</v>
      </c>
      <c r="F58" s="71"/>
      <c r="G58" s="71"/>
      <c r="H58" s="83">
        <v>6662286</v>
      </c>
      <c r="I58" s="83">
        <v>0</v>
      </c>
      <c r="J58" s="83"/>
      <c r="K58" s="71"/>
      <c r="L58" s="163">
        <f>H58/C58</f>
        <v>1.5839957203994295</v>
      </c>
      <c r="M58" s="164">
        <f>I58/D58</f>
        <v>0</v>
      </c>
      <c r="N58" s="164" t="e">
        <f>+J58/E58</f>
        <v>#DIV/0!</v>
      </c>
      <c r="O58" s="71"/>
      <c r="P58" s="83">
        <f t="shared" si="16"/>
        <v>8235000</v>
      </c>
      <c r="Q58" s="83">
        <f t="shared" si="17"/>
        <v>-12441000</v>
      </c>
      <c r="R58" s="83">
        <f t="shared" si="18"/>
        <v>0</v>
      </c>
      <c r="S58" s="83">
        <f t="shared" si="7"/>
        <v>-4206000</v>
      </c>
      <c r="T58" s="89">
        <f t="shared" si="15"/>
        <v>-1</v>
      </c>
      <c r="U58" s="204"/>
      <c r="V58" s="208">
        <f t="shared" si="19"/>
        <v>0</v>
      </c>
    </row>
    <row r="59" spans="1:22" ht="25.5" x14ac:dyDescent="0.2">
      <c r="A59" s="20"/>
      <c r="B59" s="20" t="s">
        <v>61</v>
      </c>
      <c r="C59" s="73"/>
      <c r="D59" s="71"/>
      <c r="E59" s="71"/>
      <c r="F59" s="71"/>
      <c r="G59" s="71"/>
      <c r="H59" s="83"/>
      <c r="I59" s="83"/>
      <c r="J59" s="83"/>
      <c r="K59" s="71"/>
      <c r="L59" s="163"/>
      <c r="M59" s="164"/>
      <c r="N59" s="164"/>
      <c r="O59" s="71"/>
      <c r="P59" s="83">
        <f t="shared" si="16"/>
        <v>0</v>
      </c>
      <c r="Q59" s="83">
        <f t="shared" si="17"/>
        <v>0</v>
      </c>
      <c r="R59" s="83">
        <f t="shared" si="18"/>
        <v>0</v>
      </c>
      <c r="S59" s="83">
        <f t="shared" si="7"/>
        <v>0</v>
      </c>
      <c r="T59" s="89">
        <f t="shared" si="15"/>
        <v>0</v>
      </c>
      <c r="U59" s="204"/>
      <c r="V59" s="208">
        <f t="shared" si="19"/>
        <v>0</v>
      </c>
    </row>
    <row r="60" spans="1:22" x14ac:dyDescent="0.2">
      <c r="A60" s="14" t="s">
        <v>62</v>
      </c>
      <c r="B60" s="20" t="s">
        <v>63</v>
      </c>
      <c r="C60" s="73">
        <v>2127000</v>
      </c>
      <c r="D60" s="73">
        <v>1451000</v>
      </c>
      <c r="E60" s="71">
        <v>0</v>
      </c>
      <c r="F60" s="71"/>
      <c r="G60" s="71"/>
      <c r="H60" s="83">
        <v>930050</v>
      </c>
      <c r="I60" s="83">
        <v>0</v>
      </c>
      <c r="J60" s="83"/>
      <c r="K60" s="71"/>
      <c r="L60" s="163">
        <f>H60/C60</f>
        <v>0.43725905030559475</v>
      </c>
      <c r="M60" s="164">
        <f>I60/D60</f>
        <v>0</v>
      </c>
      <c r="N60" s="164" t="e">
        <f>+J60/E60</f>
        <v>#DIV/0!</v>
      </c>
      <c r="O60" s="71"/>
      <c r="P60" s="83">
        <f t="shared" si="16"/>
        <v>-676000</v>
      </c>
      <c r="Q60" s="83">
        <f t="shared" si="17"/>
        <v>-1451000</v>
      </c>
      <c r="R60" s="83">
        <f t="shared" si="18"/>
        <v>0</v>
      </c>
      <c r="S60" s="83">
        <f t="shared" si="7"/>
        <v>-2127000</v>
      </c>
      <c r="T60" s="89">
        <f t="shared" si="15"/>
        <v>-1</v>
      </c>
      <c r="U60" s="204"/>
      <c r="V60" s="208">
        <f t="shared" si="19"/>
        <v>0</v>
      </c>
    </row>
    <row r="61" spans="1:22" ht="63.75" x14ac:dyDescent="0.2">
      <c r="B61" s="20" t="s">
        <v>363</v>
      </c>
      <c r="C61" s="73"/>
      <c r="D61" s="71"/>
      <c r="E61" s="71">
        <v>0</v>
      </c>
      <c r="F61" s="71"/>
      <c r="G61" s="71"/>
      <c r="H61" s="83"/>
      <c r="I61" s="83"/>
      <c r="J61" s="83"/>
      <c r="K61" s="71"/>
      <c r="L61" s="163"/>
      <c r="M61" s="164"/>
      <c r="N61" s="164"/>
      <c r="O61" s="71"/>
      <c r="P61" s="83">
        <f t="shared" si="16"/>
        <v>0</v>
      </c>
      <c r="Q61" s="83">
        <f t="shared" si="17"/>
        <v>0</v>
      </c>
      <c r="R61" s="83">
        <f t="shared" si="18"/>
        <v>0</v>
      </c>
      <c r="S61" s="83">
        <f t="shared" si="7"/>
        <v>0</v>
      </c>
      <c r="T61" s="89">
        <f t="shared" si="15"/>
        <v>0</v>
      </c>
      <c r="U61" s="204"/>
      <c r="V61" s="208">
        <f t="shared" si="19"/>
        <v>0</v>
      </c>
    </row>
    <row r="62" spans="1:22" x14ac:dyDescent="0.2">
      <c r="A62" s="14" t="s">
        <v>64</v>
      </c>
      <c r="B62" s="20" t="s">
        <v>65</v>
      </c>
      <c r="C62" s="73">
        <v>24700000</v>
      </c>
      <c r="D62" s="71">
        <v>38893000</v>
      </c>
      <c r="E62" s="71">
        <v>0</v>
      </c>
      <c r="F62" s="71"/>
      <c r="G62" s="71"/>
      <c r="H62" s="83">
        <v>25513990</v>
      </c>
      <c r="I62" s="83">
        <v>0</v>
      </c>
      <c r="J62" s="83"/>
      <c r="K62" s="71"/>
      <c r="L62" s="163">
        <f>H62/C62</f>
        <v>1.032955060728745</v>
      </c>
      <c r="M62" s="164">
        <f>I62/D62</f>
        <v>0</v>
      </c>
      <c r="N62" s="164" t="e">
        <f>+J62/E62</f>
        <v>#DIV/0!</v>
      </c>
      <c r="O62" s="71"/>
      <c r="P62" s="83">
        <f t="shared" si="16"/>
        <v>14193000</v>
      </c>
      <c r="Q62" s="83">
        <f t="shared" si="17"/>
        <v>-38893000</v>
      </c>
      <c r="R62" s="83">
        <f t="shared" si="18"/>
        <v>0</v>
      </c>
      <c r="S62" s="83">
        <f t="shared" si="7"/>
        <v>-24700000</v>
      </c>
      <c r="T62" s="89">
        <f t="shared" si="15"/>
        <v>-1</v>
      </c>
      <c r="U62" s="204"/>
      <c r="V62" s="208">
        <f t="shared" si="19"/>
        <v>0</v>
      </c>
    </row>
    <row r="63" spans="1:22" ht="51" x14ac:dyDescent="0.2">
      <c r="B63" s="20" t="s">
        <v>66</v>
      </c>
      <c r="C63" s="73"/>
      <c r="D63" s="71"/>
      <c r="E63" s="71"/>
      <c r="F63" s="71"/>
      <c r="G63" s="71"/>
      <c r="H63" s="83"/>
      <c r="I63" s="83"/>
      <c r="J63" s="83"/>
      <c r="K63" s="71"/>
      <c r="L63" s="163"/>
      <c r="M63" s="164"/>
      <c r="N63" s="164"/>
      <c r="O63" s="71"/>
      <c r="P63" s="83">
        <f t="shared" si="16"/>
        <v>0</v>
      </c>
      <c r="Q63" s="83">
        <f t="shared" si="17"/>
        <v>0</v>
      </c>
      <c r="R63" s="83">
        <f t="shared" si="18"/>
        <v>0</v>
      </c>
      <c r="S63" s="83">
        <f t="shared" si="7"/>
        <v>0</v>
      </c>
      <c r="T63" s="89">
        <f t="shared" si="15"/>
        <v>0</v>
      </c>
      <c r="U63" s="204"/>
      <c r="V63" s="208">
        <f t="shared" si="19"/>
        <v>0</v>
      </c>
    </row>
    <row r="64" spans="1:22" x14ac:dyDescent="0.2">
      <c r="A64" s="14" t="s">
        <v>67</v>
      </c>
      <c r="B64" s="20" t="s">
        <v>68</v>
      </c>
      <c r="C64" s="73"/>
      <c r="D64" s="71"/>
      <c r="E64" s="71">
        <v>0</v>
      </c>
      <c r="F64" s="71"/>
      <c r="G64" s="71"/>
      <c r="H64" s="83">
        <v>0</v>
      </c>
      <c r="I64" s="83">
        <v>0</v>
      </c>
      <c r="J64" s="83"/>
      <c r="K64" s="71"/>
      <c r="L64" s="163"/>
      <c r="M64" s="164"/>
      <c r="N64" s="164" t="e">
        <f>+J64/E64</f>
        <v>#DIV/0!</v>
      </c>
      <c r="O64" s="71"/>
      <c r="P64" s="83">
        <f t="shared" si="16"/>
        <v>0</v>
      </c>
      <c r="Q64" s="83">
        <f t="shared" si="17"/>
        <v>0</v>
      </c>
      <c r="R64" s="83">
        <f t="shared" si="18"/>
        <v>0</v>
      </c>
      <c r="S64" s="83">
        <f t="shared" si="7"/>
        <v>0</v>
      </c>
      <c r="T64" s="89">
        <f t="shared" si="15"/>
        <v>0</v>
      </c>
      <c r="U64" s="204"/>
      <c r="V64" s="208">
        <f t="shared" si="19"/>
        <v>0</v>
      </c>
    </row>
    <row r="65" spans="1:22" x14ac:dyDescent="0.2">
      <c r="A65" s="14" t="s">
        <v>69</v>
      </c>
      <c r="B65" s="20" t="s">
        <v>70</v>
      </c>
      <c r="C65" s="73"/>
      <c r="D65" s="71">
        <v>204000</v>
      </c>
      <c r="E65" s="71">
        <v>0</v>
      </c>
      <c r="F65" s="71"/>
      <c r="G65" s="71"/>
      <c r="H65" s="83">
        <v>150505</v>
      </c>
      <c r="I65" s="83"/>
      <c r="J65" s="83"/>
      <c r="K65" s="71"/>
      <c r="L65" s="163"/>
      <c r="M65" s="164"/>
      <c r="N65" s="164"/>
      <c r="O65" s="71"/>
      <c r="P65" s="83">
        <f t="shared" si="16"/>
        <v>204000</v>
      </c>
      <c r="Q65" s="83">
        <f t="shared" si="17"/>
        <v>-204000</v>
      </c>
      <c r="R65" s="83">
        <f t="shared" si="18"/>
        <v>0</v>
      </c>
      <c r="S65" s="83">
        <f t="shared" si="7"/>
        <v>0</v>
      </c>
      <c r="T65" s="89">
        <f t="shared" si="15"/>
        <v>0</v>
      </c>
      <c r="U65" s="204"/>
      <c r="V65" s="208">
        <f t="shared" si="19"/>
        <v>0</v>
      </c>
    </row>
    <row r="66" spans="1:22" ht="38.25" x14ac:dyDescent="0.2">
      <c r="B66" s="20" t="s">
        <v>71</v>
      </c>
      <c r="C66" s="73"/>
      <c r="D66" s="71"/>
      <c r="E66" s="71">
        <v>0</v>
      </c>
      <c r="F66" s="71"/>
      <c r="G66" s="71"/>
      <c r="H66" s="83"/>
      <c r="I66" s="83"/>
      <c r="J66" s="83"/>
      <c r="K66" s="71"/>
      <c r="L66" s="163"/>
      <c r="M66" s="164"/>
      <c r="N66" s="164"/>
      <c r="O66" s="71"/>
      <c r="P66" s="83">
        <f t="shared" si="16"/>
        <v>0</v>
      </c>
      <c r="Q66" s="83">
        <f t="shared" si="17"/>
        <v>0</v>
      </c>
      <c r="R66" s="83">
        <f t="shared" si="18"/>
        <v>0</v>
      </c>
      <c r="S66" s="83">
        <f t="shared" si="7"/>
        <v>0</v>
      </c>
      <c r="T66" s="89">
        <f t="shared" si="15"/>
        <v>0</v>
      </c>
      <c r="U66" s="204"/>
      <c r="V66" s="208">
        <f t="shared" si="19"/>
        <v>0</v>
      </c>
    </row>
    <row r="67" spans="1:22" x14ac:dyDescent="0.2">
      <c r="A67" s="14" t="s">
        <v>72</v>
      </c>
      <c r="B67" s="20" t="s">
        <v>109</v>
      </c>
      <c r="C67" s="73">
        <v>350000</v>
      </c>
      <c r="D67" s="71">
        <v>181000</v>
      </c>
      <c r="E67" s="71">
        <v>0</v>
      </c>
      <c r="F67" s="71"/>
      <c r="G67" s="71"/>
      <c r="H67" s="83">
        <v>0</v>
      </c>
      <c r="I67" s="83">
        <v>0</v>
      </c>
      <c r="J67" s="83"/>
      <c r="K67" s="71"/>
      <c r="L67" s="163">
        <f>H67/C67</f>
        <v>0</v>
      </c>
      <c r="M67" s="164">
        <f>I67/D67</f>
        <v>0</v>
      </c>
      <c r="N67" s="164" t="e">
        <f>+J67/E67</f>
        <v>#DIV/0!</v>
      </c>
      <c r="O67" s="71"/>
      <c r="P67" s="83">
        <f t="shared" si="16"/>
        <v>-169000</v>
      </c>
      <c r="Q67" s="83">
        <f t="shared" si="17"/>
        <v>-181000</v>
      </c>
      <c r="R67" s="83">
        <f t="shared" si="18"/>
        <v>0</v>
      </c>
      <c r="S67" s="83">
        <f t="shared" si="7"/>
        <v>-350000</v>
      </c>
      <c r="T67" s="89">
        <f t="shared" si="15"/>
        <v>-1</v>
      </c>
      <c r="U67" s="204"/>
      <c r="V67" s="208">
        <f t="shared" si="19"/>
        <v>0</v>
      </c>
    </row>
    <row r="68" spans="1:22" ht="38.25" x14ac:dyDescent="0.2">
      <c r="B68" s="20" t="s">
        <v>73</v>
      </c>
      <c r="C68" s="73"/>
      <c r="D68" s="71"/>
      <c r="E68" s="71">
        <v>0</v>
      </c>
      <c r="F68" s="71"/>
      <c r="G68" s="71"/>
      <c r="H68" s="83"/>
      <c r="I68" s="83"/>
      <c r="J68" s="83"/>
      <c r="K68" s="71"/>
      <c r="L68" s="163"/>
      <c r="M68" s="164"/>
      <c r="N68" s="164"/>
      <c r="O68" s="71"/>
      <c r="P68" s="83">
        <f t="shared" si="16"/>
        <v>0</v>
      </c>
      <c r="Q68" s="83">
        <f t="shared" si="17"/>
        <v>0</v>
      </c>
      <c r="R68" s="83">
        <f t="shared" si="18"/>
        <v>0</v>
      </c>
      <c r="S68" s="83">
        <f t="shared" si="7"/>
        <v>0</v>
      </c>
      <c r="T68" s="89">
        <f t="shared" si="15"/>
        <v>0</v>
      </c>
      <c r="U68" s="204"/>
      <c r="V68" s="208">
        <f t="shared" si="19"/>
        <v>0</v>
      </c>
    </row>
    <row r="69" spans="1:22" x14ac:dyDescent="0.2">
      <c r="A69" s="14" t="s">
        <v>74</v>
      </c>
      <c r="B69" s="20" t="s">
        <v>75</v>
      </c>
      <c r="C69" s="73"/>
      <c r="D69" s="71"/>
      <c r="E69" s="71">
        <v>0</v>
      </c>
      <c r="F69" s="71"/>
      <c r="G69" s="71"/>
      <c r="H69" s="83"/>
      <c r="I69" s="83"/>
      <c r="J69" s="83"/>
      <c r="K69" s="71"/>
      <c r="L69" s="163"/>
      <c r="M69" s="164"/>
      <c r="N69" s="164"/>
      <c r="O69" s="71"/>
      <c r="P69" s="83">
        <f t="shared" si="16"/>
        <v>0</v>
      </c>
      <c r="Q69" s="83">
        <f t="shared" si="17"/>
        <v>0</v>
      </c>
      <c r="R69" s="83">
        <f t="shared" si="18"/>
        <v>0</v>
      </c>
      <c r="S69" s="83">
        <f t="shared" si="7"/>
        <v>0</v>
      </c>
      <c r="T69" s="89">
        <f t="shared" si="15"/>
        <v>0</v>
      </c>
      <c r="U69" s="204"/>
      <c r="V69" s="208">
        <f t="shared" si="19"/>
        <v>0</v>
      </c>
    </row>
    <row r="70" spans="1:22" x14ac:dyDescent="0.2">
      <c r="A70" s="14" t="s">
        <v>76</v>
      </c>
      <c r="B70" s="20" t="s">
        <v>77</v>
      </c>
      <c r="C70" s="73">
        <v>23570000</v>
      </c>
      <c r="D70" s="71">
        <v>23187000</v>
      </c>
      <c r="E70" s="71">
        <v>0</v>
      </c>
      <c r="F70" s="71"/>
      <c r="G70" s="71"/>
      <c r="H70" s="83">
        <v>12156891</v>
      </c>
      <c r="I70" s="83">
        <v>0</v>
      </c>
      <c r="J70" s="83"/>
      <c r="K70" s="71"/>
      <c r="L70" s="163">
        <f>H70/C70</f>
        <v>0.51577815019092066</v>
      </c>
      <c r="M70" s="164">
        <f>I70/D70</f>
        <v>0</v>
      </c>
      <c r="N70" s="164" t="e">
        <f>+J70/E70</f>
        <v>#DIV/0!</v>
      </c>
      <c r="O70" s="71"/>
      <c r="P70" s="83">
        <f t="shared" si="16"/>
        <v>-383000</v>
      </c>
      <c r="Q70" s="83">
        <f t="shared" si="17"/>
        <v>-23187000</v>
      </c>
      <c r="R70" s="83">
        <f t="shared" si="18"/>
        <v>0</v>
      </c>
      <c r="S70" s="83">
        <f t="shared" si="7"/>
        <v>-23570000</v>
      </c>
      <c r="T70" s="89">
        <f t="shared" si="15"/>
        <v>-1</v>
      </c>
      <c r="U70" s="204"/>
      <c r="V70" s="208">
        <f t="shared" si="19"/>
        <v>0</v>
      </c>
    </row>
    <row r="71" spans="1:22" x14ac:dyDescent="0.2">
      <c r="B71" s="20" t="s">
        <v>78</v>
      </c>
      <c r="C71" s="73"/>
      <c r="D71" s="71"/>
      <c r="E71" s="71">
        <v>0</v>
      </c>
      <c r="F71" s="71"/>
      <c r="G71" s="71"/>
      <c r="H71" s="83"/>
      <c r="I71" s="83"/>
      <c r="J71" s="83"/>
      <c r="K71" s="71"/>
      <c r="L71" s="163"/>
      <c r="M71" s="164"/>
      <c r="N71" s="164"/>
      <c r="O71" s="71"/>
      <c r="P71" s="83">
        <f t="shared" si="16"/>
        <v>0</v>
      </c>
      <c r="Q71" s="83">
        <f t="shared" si="17"/>
        <v>0</v>
      </c>
      <c r="R71" s="83">
        <f t="shared" si="18"/>
        <v>0</v>
      </c>
      <c r="S71" s="83">
        <f t="shared" si="7"/>
        <v>0</v>
      </c>
      <c r="T71" s="89">
        <f t="shared" si="15"/>
        <v>0</v>
      </c>
      <c r="U71" s="204"/>
      <c r="V71" s="208">
        <f t="shared" si="19"/>
        <v>0</v>
      </c>
    </row>
    <row r="72" spans="1:22" x14ac:dyDescent="0.2">
      <c r="A72" s="14" t="s">
        <v>79</v>
      </c>
      <c r="B72" s="20" t="s">
        <v>80</v>
      </c>
      <c r="C72" s="73">
        <v>21426000</v>
      </c>
      <c r="D72" s="71">
        <v>11427000</v>
      </c>
      <c r="E72" s="71">
        <v>0</v>
      </c>
      <c r="F72" s="71"/>
      <c r="G72" s="71"/>
      <c r="H72" s="83">
        <v>6102000</v>
      </c>
      <c r="I72" s="83">
        <v>0</v>
      </c>
      <c r="J72" s="83"/>
      <c r="K72" s="71"/>
      <c r="L72" s="163"/>
      <c r="M72" s="164">
        <f>I72/D72</f>
        <v>0</v>
      </c>
      <c r="N72" s="164" t="e">
        <f>+J72/E72</f>
        <v>#DIV/0!</v>
      </c>
      <c r="O72" s="71"/>
      <c r="P72" s="83">
        <f t="shared" si="16"/>
        <v>-9999000</v>
      </c>
      <c r="Q72" s="83">
        <f t="shared" si="17"/>
        <v>-11427000</v>
      </c>
      <c r="R72" s="83">
        <f t="shared" si="18"/>
        <v>0</v>
      </c>
      <c r="S72" s="83">
        <f t="shared" si="7"/>
        <v>-21426000</v>
      </c>
      <c r="T72" s="89">
        <f t="shared" si="15"/>
        <v>-1</v>
      </c>
      <c r="U72" s="204"/>
      <c r="V72" s="208">
        <f t="shared" si="19"/>
        <v>0</v>
      </c>
    </row>
    <row r="73" spans="1:22" ht="25.5" x14ac:dyDescent="0.2">
      <c r="B73" s="20" t="s">
        <v>110</v>
      </c>
      <c r="C73" s="73"/>
      <c r="D73" s="71"/>
      <c r="E73" s="71">
        <v>0</v>
      </c>
      <c r="F73" s="71"/>
      <c r="G73" s="71"/>
      <c r="H73" s="83"/>
      <c r="I73" s="83"/>
      <c r="J73" s="83"/>
      <c r="K73" s="71"/>
      <c r="L73" s="163"/>
      <c r="M73" s="164"/>
      <c r="N73" s="164"/>
      <c r="O73" s="71"/>
      <c r="P73" s="83">
        <f t="shared" si="16"/>
        <v>0</v>
      </c>
      <c r="Q73" s="83">
        <f t="shared" si="17"/>
        <v>0</v>
      </c>
      <c r="R73" s="83">
        <f t="shared" si="18"/>
        <v>0</v>
      </c>
      <c r="S73" s="83">
        <f t="shared" si="7"/>
        <v>0</v>
      </c>
      <c r="T73" s="89">
        <f t="shared" si="15"/>
        <v>0</v>
      </c>
      <c r="U73" s="204"/>
      <c r="V73" s="208">
        <f t="shared" si="19"/>
        <v>0</v>
      </c>
    </row>
    <row r="74" spans="1:22" x14ac:dyDescent="0.2">
      <c r="A74" s="14" t="s">
        <v>81</v>
      </c>
      <c r="B74" s="20" t="s">
        <v>82</v>
      </c>
      <c r="C74" s="73"/>
      <c r="D74" s="71">
        <v>1000</v>
      </c>
      <c r="E74" s="71">
        <v>0</v>
      </c>
      <c r="F74" s="71"/>
      <c r="G74" s="71"/>
      <c r="H74" s="83">
        <v>0</v>
      </c>
      <c r="I74" s="83"/>
      <c r="J74" s="83"/>
      <c r="K74" s="71"/>
      <c r="L74" s="163"/>
      <c r="M74" s="164"/>
      <c r="N74" s="164"/>
      <c r="O74" s="71"/>
      <c r="P74" s="83">
        <f t="shared" si="16"/>
        <v>1000</v>
      </c>
      <c r="Q74" s="83">
        <f t="shared" si="17"/>
        <v>-1000</v>
      </c>
      <c r="R74" s="83">
        <f t="shared" si="18"/>
        <v>0</v>
      </c>
      <c r="S74" s="83">
        <f t="shared" si="7"/>
        <v>0</v>
      </c>
      <c r="T74" s="89">
        <f t="shared" si="15"/>
        <v>0</v>
      </c>
      <c r="U74" s="204"/>
      <c r="V74" s="208">
        <f t="shared" si="19"/>
        <v>0</v>
      </c>
    </row>
    <row r="75" spans="1:22" ht="38.25" x14ac:dyDescent="0.2">
      <c r="B75" s="20" t="s">
        <v>83</v>
      </c>
      <c r="C75" s="73"/>
      <c r="D75" s="71"/>
      <c r="E75" s="71">
        <v>0</v>
      </c>
      <c r="F75" s="71"/>
      <c r="G75" s="71"/>
      <c r="H75" s="83"/>
      <c r="I75" s="83"/>
      <c r="J75" s="83"/>
      <c r="K75" s="71"/>
      <c r="L75" s="163"/>
      <c r="M75" s="164"/>
      <c r="N75" s="164"/>
      <c r="O75" s="71"/>
      <c r="P75" s="83">
        <f t="shared" si="16"/>
        <v>0</v>
      </c>
      <c r="Q75" s="83">
        <f t="shared" si="17"/>
        <v>0</v>
      </c>
      <c r="R75" s="83">
        <f t="shared" si="18"/>
        <v>0</v>
      </c>
      <c r="S75" s="83">
        <f t="shared" si="7"/>
        <v>0</v>
      </c>
      <c r="T75" s="89">
        <f t="shared" si="15"/>
        <v>0</v>
      </c>
      <c r="U75" s="204"/>
      <c r="V75" s="208">
        <f t="shared" si="19"/>
        <v>0</v>
      </c>
    </row>
    <row r="76" spans="1:22" x14ac:dyDescent="0.2">
      <c r="A76" s="14" t="s">
        <v>84</v>
      </c>
      <c r="B76" s="20" t="s">
        <v>85</v>
      </c>
      <c r="C76" s="73"/>
      <c r="D76" s="71"/>
      <c r="E76" s="71">
        <v>0</v>
      </c>
      <c r="F76" s="71"/>
      <c r="G76" s="71"/>
      <c r="H76" s="83"/>
      <c r="I76" s="83"/>
      <c r="J76" s="83"/>
      <c r="K76" s="71"/>
      <c r="L76" s="163"/>
      <c r="M76" s="164"/>
      <c r="N76" s="164"/>
      <c r="O76" s="71"/>
      <c r="P76" s="83">
        <f t="shared" si="16"/>
        <v>0</v>
      </c>
      <c r="Q76" s="83">
        <f t="shared" si="17"/>
        <v>0</v>
      </c>
      <c r="R76" s="83">
        <f t="shared" si="18"/>
        <v>0</v>
      </c>
      <c r="S76" s="83">
        <f t="shared" si="7"/>
        <v>0</v>
      </c>
      <c r="T76" s="89">
        <f t="shared" si="15"/>
        <v>0</v>
      </c>
      <c r="U76" s="204"/>
      <c r="V76" s="208">
        <f t="shared" si="19"/>
        <v>0</v>
      </c>
    </row>
    <row r="77" spans="1:22" x14ac:dyDescent="0.2">
      <c r="B77" s="20" t="s">
        <v>86</v>
      </c>
      <c r="C77" s="73"/>
      <c r="D77" s="71"/>
      <c r="E77" s="71">
        <v>0</v>
      </c>
      <c r="F77" s="71"/>
      <c r="G77" s="71"/>
      <c r="H77" s="83"/>
      <c r="I77" s="83"/>
      <c r="J77" s="83"/>
      <c r="K77" s="71"/>
      <c r="L77" s="163"/>
      <c r="M77" s="164"/>
      <c r="N77" s="164"/>
      <c r="O77" s="71"/>
      <c r="P77" s="83">
        <f t="shared" si="16"/>
        <v>0</v>
      </c>
      <c r="Q77" s="83">
        <f t="shared" si="17"/>
        <v>0</v>
      </c>
      <c r="R77" s="83">
        <f t="shared" si="18"/>
        <v>0</v>
      </c>
      <c r="S77" s="83">
        <f t="shared" si="7"/>
        <v>0</v>
      </c>
      <c r="T77" s="89">
        <f t="shared" si="15"/>
        <v>0</v>
      </c>
      <c r="U77" s="204"/>
      <c r="V77" s="208">
        <f t="shared" ref="V77:V104" si="20">+S77-E77+C77</f>
        <v>0</v>
      </c>
    </row>
    <row r="78" spans="1:22" x14ac:dyDescent="0.2">
      <c r="A78" s="14" t="s">
        <v>87</v>
      </c>
      <c r="B78" s="20" t="s">
        <v>88</v>
      </c>
      <c r="C78" s="73">
        <v>340000</v>
      </c>
      <c r="D78" s="71">
        <v>9674000</v>
      </c>
      <c r="E78" s="71">
        <v>0</v>
      </c>
      <c r="F78" s="71"/>
      <c r="G78" s="71"/>
      <c r="H78" s="83">
        <v>8162063</v>
      </c>
      <c r="I78" s="83">
        <v>0</v>
      </c>
      <c r="J78" s="83"/>
      <c r="K78" s="71"/>
      <c r="L78" s="163">
        <f>H78/C78</f>
        <v>24.006067647058824</v>
      </c>
      <c r="M78" s="164">
        <f>I78/D78</f>
        <v>0</v>
      </c>
      <c r="N78" s="164" t="e">
        <f>+J78/E78</f>
        <v>#DIV/0!</v>
      </c>
      <c r="O78" s="71"/>
      <c r="P78" s="83">
        <f t="shared" si="16"/>
        <v>9334000</v>
      </c>
      <c r="Q78" s="83">
        <f t="shared" si="17"/>
        <v>-9674000</v>
      </c>
      <c r="R78" s="83">
        <f t="shared" si="18"/>
        <v>0</v>
      </c>
      <c r="S78" s="83">
        <f t="shared" si="7"/>
        <v>-340000</v>
      </c>
      <c r="T78" s="89">
        <f t="shared" si="15"/>
        <v>-1</v>
      </c>
      <c r="U78" s="204"/>
      <c r="V78" s="208">
        <f t="shared" si="20"/>
        <v>0</v>
      </c>
    </row>
    <row r="79" spans="1:22" ht="63.75" x14ac:dyDescent="0.2">
      <c r="B79" s="20" t="s">
        <v>92</v>
      </c>
      <c r="C79" s="73"/>
      <c r="D79" s="71"/>
      <c r="E79" s="71">
        <v>0</v>
      </c>
      <c r="F79" s="71"/>
      <c r="G79" s="71"/>
      <c r="H79" s="83"/>
      <c r="I79" s="83"/>
      <c r="J79" s="83"/>
      <c r="K79" s="71"/>
      <c r="L79" s="163"/>
      <c r="M79" s="164"/>
      <c r="N79" s="164"/>
      <c r="O79" s="71"/>
      <c r="P79" s="83">
        <f t="shared" si="16"/>
        <v>0</v>
      </c>
      <c r="Q79" s="83">
        <f t="shared" si="17"/>
        <v>0</v>
      </c>
      <c r="R79" s="83">
        <f t="shared" si="18"/>
        <v>0</v>
      </c>
      <c r="S79" s="83">
        <f t="shared" si="7"/>
        <v>0</v>
      </c>
      <c r="T79" s="89">
        <f t="shared" si="15"/>
        <v>0</v>
      </c>
      <c r="U79" s="204"/>
      <c r="V79" s="208">
        <f t="shared" si="20"/>
        <v>0</v>
      </c>
    </row>
    <row r="80" spans="1:22" x14ac:dyDescent="0.2">
      <c r="A80" s="29"/>
      <c r="B80" s="21"/>
      <c r="C80" s="73"/>
      <c r="D80" s="71"/>
      <c r="E80" s="71"/>
      <c r="F80" s="71"/>
      <c r="G80" s="71"/>
      <c r="H80" s="83"/>
      <c r="I80" s="83"/>
      <c r="J80" s="83"/>
      <c r="K80" s="71"/>
      <c r="L80" s="163"/>
      <c r="M80" s="164"/>
      <c r="N80" s="164"/>
      <c r="O80" s="71"/>
      <c r="P80" s="83"/>
      <c r="Q80" s="83"/>
      <c r="R80" s="83"/>
      <c r="S80" s="83"/>
      <c r="T80" s="89"/>
      <c r="U80" s="204"/>
      <c r="V80" s="208">
        <f t="shared" si="20"/>
        <v>0</v>
      </c>
    </row>
    <row r="81" spans="1:22" x14ac:dyDescent="0.2">
      <c r="A81" s="4" t="s">
        <v>111</v>
      </c>
      <c r="B81" s="3" t="s">
        <v>112</v>
      </c>
      <c r="C81" s="68">
        <f t="shared" ref="C81" si="21">SUM(C82:C105)</f>
        <v>19500000</v>
      </c>
      <c r="D81" s="68">
        <f>SUM(D82:D105)</f>
        <v>20000000</v>
      </c>
      <c r="E81" s="68">
        <f>SUM(E82:E105)</f>
        <v>0</v>
      </c>
      <c r="F81" s="68">
        <f>SUM(F82:F105)</f>
        <v>0</v>
      </c>
      <c r="G81" s="68"/>
      <c r="H81" s="85">
        <f>SUM(H82:H105)</f>
        <v>8657425</v>
      </c>
      <c r="I81" s="85">
        <f>SUM(I82:I105)</f>
        <v>0</v>
      </c>
      <c r="J81" s="85">
        <f>SUM(J82:J105)</f>
        <v>0</v>
      </c>
      <c r="K81" s="68"/>
      <c r="L81" s="91">
        <f>H81/C81</f>
        <v>0.44397051282051281</v>
      </c>
      <c r="M81" s="87">
        <f>I81/D81</f>
        <v>0</v>
      </c>
      <c r="N81" s="87" t="e">
        <f>+J81/E81</f>
        <v>#DIV/0!</v>
      </c>
      <c r="O81" s="68"/>
      <c r="P81" s="85">
        <f t="shared" ref="P81:R82" si="22">IF(D81&gt;0,+D81-C81,0)</f>
        <v>500000</v>
      </c>
      <c r="Q81" s="85">
        <f t="shared" si="22"/>
        <v>0</v>
      </c>
      <c r="R81" s="85">
        <f t="shared" si="22"/>
        <v>0</v>
      </c>
      <c r="S81" s="85">
        <f t="shared" ref="S81:S143" si="23">SUM(P81:R81)</f>
        <v>500000</v>
      </c>
      <c r="T81" s="89">
        <f t="shared" ref="T81:T104" si="24">IF(C81=0,0,+S81/C81)</f>
        <v>2.564102564102564E-2</v>
      </c>
      <c r="U81" s="206"/>
      <c r="V81" s="208">
        <f t="shared" si="20"/>
        <v>20000000</v>
      </c>
    </row>
    <row r="82" spans="1:22" x14ac:dyDescent="0.2">
      <c r="A82" s="14" t="s">
        <v>113</v>
      </c>
      <c r="B82" s="20" t="s">
        <v>114</v>
      </c>
      <c r="C82" s="73">
        <v>3500000</v>
      </c>
      <c r="D82" s="71">
        <v>3000000</v>
      </c>
      <c r="E82" s="292">
        <v>0</v>
      </c>
      <c r="F82" s="71"/>
      <c r="G82" s="71"/>
      <c r="H82" s="83">
        <v>0</v>
      </c>
      <c r="I82" s="83">
        <v>0</v>
      </c>
      <c r="J82" s="83"/>
      <c r="K82" s="71"/>
      <c r="L82" s="163">
        <f>H82/C82</f>
        <v>0</v>
      </c>
      <c r="M82" s="164">
        <f>I82/D82</f>
        <v>0</v>
      </c>
      <c r="N82" s="164" t="e">
        <f>+J82/E82</f>
        <v>#DIV/0!</v>
      </c>
      <c r="O82" s="71"/>
      <c r="P82" s="83">
        <f t="shared" si="22"/>
        <v>-500000</v>
      </c>
      <c r="Q82" s="83">
        <f t="shared" si="22"/>
        <v>0</v>
      </c>
      <c r="R82" s="83">
        <f t="shared" si="22"/>
        <v>0</v>
      </c>
      <c r="S82" s="83">
        <f t="shared" si="23"/>
        <v>-500000</v>
      </c>
      <c r="T82" s="89">
        <f t="shared" si="24"/>
        <v>-0.14285714285714285</v>
      </c>
      <c r="U82" s="204"/>
      <c r="V82" s="208">
        <f t="shared" si="20"/>
        <v>3000000</v>
      </c>
    </row>
    <row r="83" spans="1:22" ht="76.5" customHeight="1" x14ac:dyDescent="0.2">
      <c r="B83" s="20" t="s">
        <v>366</v>
      </c>
      <c r="C83" s="73"/>
      <c r="D83" s="71">
        <v>0</v>
      </c>
      <c r="E83" s="71">
        <v>0</v>
      </c>
      <c r="F83" s="71"/>
      <c r="G83" s="71"/>
      <c r="H83" s="83">
        <v>0</v>
      </c>
      <c r="I83" s="83">
        <v>0</v>
      </c>
      <c r="J83" s="83"/>
      <c r="K83" s="71"/>
      <c r="L83" s="163"/>
      <c r="M83" s="164" t="e">
        <f>I83/D83</f>
        <v>#DIV/0!</v>
      </c>
      <c r="N83" s="164" t="e">
        <f>+J83/E83</f>
        <v>#DIV/0!</v>
      </c>
      <c r="O83" s="71"/>
      <c r="P83" s="83">
        <f t="shared" ref="P83:P104" si="25">+(D83-C83)*P$8</f>
        <v>0</v>
      </c>
      <c r="Q83" s="83">
        <f t="shared" ref="Q83:Q104" si="26">+(E83-D83)*Q$8</f>
        <v>0</v>
      </c>
      <c r="R83" s="83">
        <f t="shared" ref="R83:R104" si="27">+(F83-E83)*R$8</f>
        <v>0</v>
      </c>
      <c r="S83" s="83">
        <f t="shared" si="23"/>
        <v>0</v>
      </c>
      <c r="T83" s="89">
        <f t="shared" si="24"/>
        <v>0</v>
      </c>
      <c r="U83" s="204"/>
      <c r="V83" s="208">
        <f t="shared" si="20"/>
        <v>0</v>
      </c>
    </row>
    <row r="84" spans="1:22" x14ac:dyDescent="0.2">
      <c r="A84" s="14" t="s">
        <v>115</v>
      </c>
      <c r="B84" s="20" t="s">
        <v>116</v>
      </c>
      <c r="C84" s="73"/>
      <c r="D84" s="71">
        <v>0</v>
      </c>
      <c r="E84" s="71">
        <f>I84*1.13</f>
        <v>0</v>
      </c>
      <c r="F84" s="71"/>
      <c r="G84" s="71"/>
      <c r="H84" s="83">
        <v>0</v>
      </c>
      <c r="I84" s="83"/>
      <c r="J84" s="83"/>
      <c r="K84" s="71"/>
      <c r="L84" s="163"/>
      <c r="M84" s="164"/>
      <c r="N84" s="164"/>
      <c r="O84" s="71"/>
      <c r="P84" s="83">
        <f t="shared" si="25"/>
        <v>0</v>
      </c>
      <c r="Q84" s="83">
        <f t="shared" si="26"/>
        <v>0</v>
      </c>
      <c r="R84" s="83">
        <f t="shared" si="27"/>
        <v>0</v>
      </c>
      <c r="S84" s="83">
        <f t="shared" si="23"/>
        <v>0</v>
      </c>
      <c r="T84" s="89">
        <f t="shared" si="24"/>
        <v>0</v>
      </c>
      <c r="U84" s="204"/>
      <c r="V84" s="208">
        <f t="shared" si="20"/>
        <v>0</v>
      </c>
    </row>
    <row r="85" spans="1:22" x14ac:dyDescent="0.2">
      <c r="B85" s="20" t="s">
        <v>117</v>
      </c>
      <c r="C85" s="73"/>
      <c r="D85" s="71"/>
      <c r="E85" s="71">
        <f>I85*1.13</f>
        <v>0</v>
      </c>
      <c r="F85" s="71"/>
      <c r="G85" s="71"/>
      <c r="H85" s="83"/>
      <c r="I85" s="83"/>
      <c r="J85" s="83"/>
      <c r="K85" s="71"/>
      <c r="L85" s="163"/>
      <c r="M85" s="164"/>
      <c r="N85" s="164"/>
      <c r="O85" s="71"/>
      <c r="P85" s="83">
        <f t="shared" si="25"/>
        <v>0</v>
      </c>
      <c r="Q85" s="83">
        <f t="shared" si="26"/>
        <v>0</v>
      </c>
      <c r="R85" s="83">
        <f t="shared" si="27"/>
        <v>0</v>
      </c>
      <c r="S85" s="83">
        <f t="shared" si="23"/>
        <v>0</v>
      </c>
      <c r="T85" s="89">
        <f t="shared" si="24"/>
        <v>0</v>
      </c>
      <c r="U85" s="204"/>
      <c r="V85" s="208">
        <f t="shared" si="20"/>
        <v>0</v>
      </c>
    </row>
    <row r="86" spans="1:22" x14ac:dyDescent="0.2">
      <c r="B86" s="20" t="s">
        <v>118</v>
      </c>
      <c r="C86" s="73"/>
      <c r="D86" s="71"/>
      <c r="E86" s="71">
        <f>I86*1.13</f>
        <v>0</v>
      </c>
      <c r="F86" s="71"/>
      <c r="G86" s="71"/>
      <c r="H86" s="83">
        <v>0</v>
      </c>
      <c r="I86" s="83"/>
      <c r="J86" s="83"/>
      <c r="K86" s="71"/>
      <c r="L86" s="163"/>
      <c r="M86" s="164"/>
      <c r="N86" s="164"/>
      <c r="O86" s="71"/>
      <c r="P86" s="83">
        <f t="shared" si="25"/>
        <v>0</v>
      </c>
      <c r="Q86" s="83">
        <f t="shared" si="26"/>
        <v>0</v>
      </c>
      <c r="R86" s="83">
        <f t="shared" si="27"/>
        <v>0</v>
      </c>
      <c r="S86" s="83">
        <f t="shared" si="23"/>
        <v>0</v>
      </c>
      <c r="T86" s="89">
        <f t="shared" si="24"/>
        <v>0</v>
      </c>
      <c r="U86" s="204"/>
      <c r="V86" s="208">
        <f t="shared" si="20"/>
        <v>0</v>
      </c>
    </row>
    <row r="87" spans="1:22" x14ac:dyDescent="0.2">
      <c r="B87" s="20" t="s">
        <v>119</v>
      </c>
      <c r="C87" s="73"/>
      <c r="D87" s="71">
        <v>0</v>
      </c>
      <c r="E87" s="71">
        <v>0</v>
      </c>
      <c r="F87" s="71"/>
      <c r="G87" s="71"/>
      <c r="H87" s="83">
        <v>0</v>
      </c>
      <c r="I87" s="83">
        <v>0</v>
      </c>
      <c r="J87" s="83"/>
      <c r="K87" s="71"/>
      <c r="L87" s="163"/>
      <c r="M87" s="164" t="e">
        <f>I87/D87</f>
        <v>#DIV/0!</v>
      </c>
      <c r="N87" s="164" t="e">
        <f>+J87/E87</f>
        <v>#DIV/0!</v>
      </c>
      <c r="O87" s="71"/>
      <c r="P87" s="83">
        <f t="shared" si="25"/>
        <v>0</v>
      </c>
      <c r="Q87" s="83">
        <f t="shared" si="26"/>
        <v>0</v>
      </c>
      <c r="R87" s="83">
        <f t="shared" si="27"/>
        <v>0</v>
      </c>
      <c r="S87" s="83">
        <f t="shared" si="23"/>
        <v>0</v>
      </c>
      <c r="T87" s="89">
        <f t="shared" si="24"/>
        <v>0</v>
      </c>
      <c r="U87" s="204"/>
      <c r="V87" s="208">
        <f t="shared" si="20"/>
        <v>0</v>
      </c>
    </row>
    <row r="88" spans="1:22" x14ac:dyDescent="0.2">
      <c r="A88" s="14" t="s">
        <v>120</v>
      </c>
      <c r="B88" s="20" t="s">
        <v>121</v>
      </c>
      <c r="C88" s="73"/>
      <c r="D88" s="71">
        <v>0</v>
      </c>
      <c r="E88" s="71">
        <v>0</v>
      </c>
      <c r="F88" s="71"/>
      <c r="G88" s="71"/>
      <c r="H88" s="83">
        <v>0</v>
      </c>
      <c r="I88" s="83">
        <v>0</v>
      </c>
      <c r="J88" s="83"/>
      <c r="K88" s="71"/>
      <c r="L88" s="163"/>
      <c r="M88" s="164" t="e">
        <f>I88/D88</f>
        <v>#DIV/0!</v>
      </c>
      <c r="N88" s="164" t="e">
        <f>+J88/E88</f>
        <v>#DIV/0!</v>
      </c>
      <c r="O88" s="71"/>
      <c r="P88" s="83">
        <f t="shared" si="25"/>
        <v>0</v>
      </c>
      <c r="Q88" s="83">
        <f t="shared" si="26"/>
        <v>0</v>
      </c>
      <c r="R88" s="83">
        <f t="shared" si="27"/>
        <v>0</v>
      </c>
      <c r="S88" s="83">
        <f t="shared" si="23"/>
        <v>0</v>
      </c>
      <c r="T88" s="89">
        <f t="shared" si="24"/>
        <v>0</v>
      </c>
      <c r="U88" s="204"/>
      <c r="V88" s="208">
        <f t="shared" si="20"/>
        <v>0</v>
      </c>
    </row>
    <row r="89" spans="1:22" x14ac:dyDescent="0.2">
      <c r="B89" s="20" t="s">
        <v>122</v>
      </c>
      <c r="C89" s="73"/>
      <c r="D89" s="71"/>
      <c r="E89" s="71"/>
      <c r="F89" s="71"/>
      <c r="G89" s="71"/>
      <c r="H89" s="83"/>
      <c r="I89" s="83"/>
      <c r="J89" s="83"/>
      <c r="K89" s="71"/>
      <c r="L89" s="163"/>
      <c r="M89" s="164"/>
      <c r="N89" s="164"/>
      <c r="O89" s="71"/>
      <c r="P89" s="83">
        <f t="shared" si="25"/>
        <v>0</v>
      </c>
      <c r="Q89" s="83">
        <f t="shared" si="26"/>
        <v>0</v>
      </c>
      <c r="R89" s="83">
        <f t="shared" si="27"/>
        <v>0</v>
      </c>
      <c r="S89" s="83">
        <f t="shared" si="23"/>
        <v>0</v>
      </c>
      <c r="T89" s="89">
        <f t="shared" si="24"/>
        <v>0</v>
      </c>
      <c r="U89" s="204"/>
      <c r="V89" s="208">
        <f t="shared" si="20"/>
        <v>0</v>
      </c>
    </row>
    <row r="90" spans="1:22" x14ac:dyDescent="0.2">
      <c r="A90" s="14" t="s">
        <v>123</v>
      </c>
      <c r="B90" s="20" t="s">
        <v>124</v>
      </c>
      <c r="C90" s="73"/>
      <c r="D90" s="71"/>
      <c r="E90" s="71">
        <v>0</v>
      </c>
      <c r="F90" s="71"/>
      <c r="G90" s="71"/>
      <c r="H90" s="83"/>
      <c r="I90" s="83">
        <v>0</v>
      </c>
      <c r="J90" s="83"/>
      <c r="K90" s="71"/>
      <c r="L90" s="163"/>
      <c r="M90" s="164"/>
      <c r="N90" s="164" t="e">
        <f>+J90/E90</f>
        <v>#DIV/0!</v>
      </c>
      <c r="O90" s="71"/>
      <c r="P90" s="83">
        <f t="shared" si="25"/>
        <v>0</v>
      </c>
      <c r="Q90" s="83">
        <f t="shared" si="26"/>
        <v>0</v>
      </c>
      <c r="R90" s="83">
        <f t="shared" si="27"/>
        <v>0</v>
      </c>
      <c r="S90" s="83">
        <f t="shared" si="23"/>
        <v>0</v>
      </c>
      <c r="T90" s="89">
        <f t="shared" si="24"/>
        <v>0</v>
      </c>
      <c r="U90" s="204"/>
      <c r="V90" s="208">
        <f t="shared" si="20"/>
        <v>0</v>
      </c>
    </row>
    <row r="91" spans="1:22" x14ac:dyDescent="0.2">
      <c r="B91" s="20" t="s">
        <v>125</v>
      </c>
      <c r="C91" s="73"/>
      <c r="D91" s="71"/>
      <c r="E91" s="71">
        <v>0</v>
      </c>
      <c r="F91" s="71"/>
      <c r="G91" s="71"/>
      <c r="H91" s="83">
        <v>0</v>
      </c>
      <c r="I91" s="83">
        <v>0</v>
      </c>
      <c r="J91" s="83"/>
      <c r="K91" s="71"/>
      <c r="L91" s="163"/>
      <c r="M91" s="164" t="e">
        <f>I91/D91</f>
        <v>#DIV/0!</v>
      </c>
      <c r="N91" s="164" t="e">
        <f>+J91/E91</f>
        <v>#DIV/0!</v>
      </c>
      <c r="O91" s="71"/>
      <c r="P91" s="83">
        <f t="shared" si="25"/>
        <v>0</v>
      </c>
      <c r="Q91" s="83">
        <f t="shared" si="26"/>
        <v>0</v>
      </c>
      <c r="R91" s="83">
        <f t="shared" si="27"/>
        <v>0</v>
      </c>
      <c r="S91" s="83">
        <f t="shared" si="23"/>
        <v>0</v>
      </c>
      <c r="T91" s="89">
        <f t="shared" si="24"/>
        <v>0</v>
      </c>
      <c r="U91" s="204"/>
      <c r="V91" s="208">
        <f t="shared" si="20"/>
        <v>0</v>
      </c>
    </row>
    <row r="92" spans="1:22" x14ac:dyDescent="0.2">
      <c r="A92" s="14" t="s">
        <v>126</v>
      </c>
      <c r="B92" s="20" t="s">
        <v>127</v>
      </c>
      <c r="C92" s="73">
        <v>16000000</v>
      </c>
      <c r="D92" s="71">
        <v>17000000</v>
      </c>
      <c r="E92" s="71">
        <v>0</v>
      </c>
      <c r="F92" s="71"/>
      <c r="G92" s="71"/>
      <c r="H92" s="83">
        <v>8657425</v>
      </c>
      <c r="I92" s="83">
        <v>0</v>
      </c>
      <c r="J92" s="83"/>
      <c r="K92" s="71"/>
      <c r="L92" s="163"/>
      <c r="M92" s="164">
        <f>I92/D92</f>
        <v>0</v>
      </c>
      <c r="N92" s="164" t="e">
        <f>+J92/E92</f>
        <v>#DIV/0!</v>
      </c>
      <c r="O92" s="71"/>
      <c r="P92" s="83">
        <f t="shared" si="25"/>
        <v>1000000</v>
      </c>
      <c r="Q92" s="83">
        <f t="shared" si="26"/>
        <v>-17000000</v>
      </c>
      <c r="R92" s="83">
        <f t="shared" si="27"/>
        <v>0</v>
      </c>
      <c r="S92" s="83">
        <f t="shared" si="23"/>
        <v>-16000000</v>
      </c>
      <c r="T92" s="89">
        <f t="shared" si="24"/>
        <v>-1</v>
      </c>
      <c r="U92" s="204"/>
      <c r="V92" s="208">
        <f t="shared" si="20"/>
        <v>0</v>
      </c>
    </row>
    <row r="93" spans="1:22" ht="38.25" x14ac:dyDescent="0.2">
      <c r="B93" s="20" t="s">
        <v>128</v>
      </c>
      <c r="C93" s="149" t="s">
        <v>481</v>
      </c>
      <c r="D93" s="71"/>
      <c r="E93" s="71"/>
      <c r="F93" s="71"/>
      <c r="G93" s="71"/>
      <c r="H93" s="83"/>
      <c r="I93" s="83"/>
      <c r="J93" s="83"/>
      <c r="K93" s="71"/>
      <c r="L93" s="163"/>
      <c r="M93" s="164"/>
      <c r="N93" s="164"/>
      <c r="O93" s="71"/>
      <c r="P93" s="83" t="e">
        <f t="shared" si="25"/>
        <v>#VALUE!</v>
      </c>
      <c r="Q93" s="83">
        <f t="shared" si="26"/>
        <v>0</v>
      </c>
      <c r="R93" s="83">
        <f t="shared" si="27"/>
        <v>0</v>
      </c>
      <c r="S93" s="83" t="e">
        <f t="shared" si="23"/>
        <v>#VALUE!</v>
      </c>
      <c r="T93" s="89" t="e">
        <f t="shared" si="24"/>
        <v>#VALUE!</v>
      </c>
      <c r="U93" s="204"/>
      <c r="V93" s="208" t="e">
        <f t="shared" si="20"/>
        <v>#VALUE!</v>
      </c>
    </row>
    <row r="94" spans="1:22" x14ac:dyDescent="0.2">
      <c r="B94" s="20" t="s">
        <v>129</v>
      </c>
      <c r="C94" s="73"/>
      <c r="D94" s="71"/>
      <c r="E94" s="71"/>
      <c r="F94" s="71"/>
      <c r="G94" s="71"/>
      <c r="H94" s="83"/>
      <c r="I94" s="83"/>
      <c r="J94" s="83"/>
      <c r="K94" s="71"/>
      <c r="L94" s="163"/>
      <c r="M94" s="164"/>
      <c r="N94" s="164"/>
      <c r="O94" s="71"/>
      <c r="P94" s="83">
        <f t="shared" si="25"/>
        <v>0</v>
      </c>
      <c r="Q94" s="83">
        <f t="shared" si="26"/>
        <v>0</v>
      </c>
      <c r="R94" s="83">
        <f t="shared" si="27"/>
        <v>0</v>
      </c>
      <c r="S94" s="83">
        <f t="shared" si="23"/>
        <v>0</v>
      </c>
      <c r="T94" s="89">
        <f t="shared" si="24"/>
        <v>0</v>
      </c>
      <c r="U94" s="204"/>
      <c r="V94" s="208">
        <f t="shared" si="20"/>
        <v>0</v>
      </c>
    </row>
    <row r="95" spans="1:22" x14ac:dyDescent="0.2">
      <c r="B95" s="20" t="s">
        <v>130</v>
      </c>
      <c r="C95" s="73"/>
      <c r="D95" s="71"/>
      <c r="E95" s="71"/>
      <c r="F95" s="71"/>
      <c r="G95" s="71"/>
      <c r="H95" s="83"/>
      <c r="I95" s="83"/>
      <c r="J95" s="83"/>
      <c r="K95" s="71"/>
      <c r="L95" s="163"/>
      <c r="M95" s="164"/>
      <c r="N95" s="164"/>
      <c r="O95" s="71"/>
      <c r="P95" s="83">
        <f t="shared" si="25"/>
        <v>0</v>
      </c>
      <c r="Q95" s="83">
        <f t="shared" si="26"/>
        <v>0</v>
      </c>
      <c r="R95" s="83">
        <f t="shared" si="27"/>
        <v>0</v>
      </c>
      <c r="S95" s="83">
        <f t="shared" si="23"/>
        <v>0</v>
      </c>
      <c r="T95" s="89">
        <f t="shared" si="24"/>
        <v>0</v>
      </c>
      <c r="U95" s="204"/>
      <c r="V95" s="208">
        <f t="shared" si="20"/>
        <v>0</v>
      </c>
    </row>
    <row r="96" spans="1:22" x14ac:dyDescent="0.2">
      <c r="B96" s="20" t="s">
        <v>131</v>
      </c>
      <c r="C96" s="73"/>
      <c r="D96" s="71"/>
      <c r="E96" s="71"/>
      <c r="F96" s="71"/>
      <c r="G96" s="71"/>
      <c r="H96" s="83"/>
      <c r="I96" s="83"/>
      <c r="J96" s="83"/>
      <c r="K96" s="71"/>
      <c r="L96" s="163"/>
      <c r="M96" s="164"/>
      <c r="N96" s="164"/>
      <c r="O96" s="71"/>
      <c r="P96" s="83">
        <f t="shared" si="25"/>
        <v>0</v>
      </c>
      <c r="Q96" s="83">
        <f t="shared" si="26"/>
        <v>0</v>
      </c>
      <c r="R96" s="83">
        <f t="shared" si="27"/>
        <v>0</v>
      </c>
      <c r="S96" s="83">
        <f t="shared" si="23"/>
        <v>0</v>
      </c>
      <c r="T96" s="89">
        <f t="shared" si="24"/>
        <v>0</v>
      </c>
      <c r="U96" s="204"/>
      <c r="V96" s="208">
        <f t="shared" si="20"/>
        <v>0</v>
      </c>
    </row>
    <row r="97" spans="1:22" x14ac:dyDescent="0.2">
      <c r="B97" s="20" t="s">
        <v>132</v>
      </c>
      <c r="C97" s="73"/>
      <c r="D97" s="71"/>
      <c r="E97" s="71"/>
      <c r="F97" s="71"/>
      <c r="G97" s="71"/>
      <c r="H97" s="83"/>
      <c r="I97" s="83"/>
      <c r="J97" s="83"/>
      <c r="K97" s="71"/>
      <c r="L97" s="163"/>
      <c r="M97" s="164"/>
      <c r="N97" s="164"/>
      <c r="O97" s="71"/>
      <c r="P97" s="83">
        <f t="shared" si="25"/>
        <v>0</v>
      </c>
      <c r="Q97" s="83">
        <f t="shared" si="26"/>
        <v>0</v>
      </c>
      <c r="R97" s="83">
        <f t="shared" si="27"/>
        <v>0</v>
      </c>
      <c r="S97" s="83">
        <f t="shared" si="23"/>
        <v>0</v>
      </c>
      <c r="T97" s="89">
        <f t="shared" si="24"/>
        <v>0</v>
      </c>
      <c r="U97" s="204"/>
      <c r="V97" s="208">
        <f t="shared" si="20"/>
        <v>0</v>
      </c>
    </row>
    <row r="98" spans="1:22" x14ac:dyDescent="0.2">
      <c r="B98" s="20" t="s">
        <v>133</v>
      </c>
      <c r="C98" s="73"/>
      <c r="D98" s="71"/>
      <c r="E98" s="71"/>
      <c r="F98" s="71"/>
      <c r="G98" s="71"/>
      <c r="H98" s="83"/>
      <c r="I98" s="83"/>
      <c r="J98" s="83"/>
      <c r="K98" s="71"/>
      <c r="L98" s="163"/>
      <c r="M98" s="164"/>
      <c r="N98" s="164"/>
      <c r="O98" s="71"/>
      <c r="P98" s="83">
        <f t="shared" si="25"/>
        <v>0</v>
      </c>
      <c r="Q98" s="83">
        <f t="shared" si="26"/>
        <v>0</v>
      </c>
      <c r="R98" s="83">
        <f t="shared" si="27"/>
        <v>0</v>
      </c>
      <c r="S98" s="83">
        <f t="shared" si="23"/>
        <v>0</v>
      </c>
      <c r="T98" s="89">
        <f t="shared" si="24"/>
        <v>0</v>
      </c>
      <c r="U98" s="204"/>
      <c r="V98" s="208">
        <f t="shared" si="20"/>
        <v>0</v>
      </c>
    </row>
    <row r="99" spans="1:22" x14ac:dyDescent="0.2">
      <c r="B99" s="20" t="s">
        <v>134</v>
      </c>
      <c r="C99" s="73"/>
      <c r="D99" s="71"/>
      <c r="E99" s="71"/>
      <c r="F99" s="71"/>
      <c r="G99" s="71"/>
      <c r="H99" s="83"/>
      <c r="I99" s="83"/>
      <c r="J99" s="83"/>
      <c r="K99" s="71"/>
      <c r="L99" s="163"/>
      <c r="M99" s="164"/>
      <c r="N99" s="164"/>
      <c r="O99" s="71"/>
      <c r="P99" s="83">
        <f t="shared" si="25"/>
        <v>0</v>
      </c>
      <c r="Q99" s="83">
        <f t="shared" si="26"/>
        <v>0</v>
      </c>
      <c r="R99" s="83">
        <f t="shared" si="27"/>
        <v>0</v>
      </c>
      <c r="S99" s="83">
        <f t="shared" si="23"/>
        <v>0</v>
      </c>
      <c r="T99" s="89">
        <f t="shared" si="24"/>
        <v>0</v>
      </c>
      <c r="U99" s="204"/>
      <c r="V99" s="208">
        <f t="shared" si="20"/>
        <v>0</v>
      </c>
    </row>
    <row r="100" spans="1:22" x14ac:dyDescent="0.2">
      <c r="B100" s="20" t="s">
        <v>135</v>
      </c>
      <c r="C100" s="73"/>
      <c r="D100" s="71"/>
      <c r="E100" s="71"/>
      <c r="F100" s="71"/>
      <c r="G100" s="71"/>
      <c r="H100" s="83"/>
      <c r="I100" s="83"/>
      <c r="J100" s="83"/>
      <c r="K100" s="71"/>
      <c r="L100" s="163"/>
      <c r="M100" s="164"/>
      <c r="N100" s="164"/>
      <c r="O100" s="71"/>
      <c r="P100" s="83">
        <f t="shared" si="25"/>
        <v>0</v>
      </c>
      <c r="Q100" s="83">
        <f t="shared" si="26"/>
        <v>0</v>
      </c>
      <c r="R100" s="83">
        <f t="shared" si="27"/>
        <v>0</v>
      </c>
      <c r="S100" s="83">
        <f t="shared" si="23"/>
        <v>0</v>
      </c>
      <c r="T100" s="89">
        <f t="shared" si="24"/>
        <v>0</v>
      </c>
      <c r="U100" s="204"/>
      <c r="V100" s="208">
        <f t="shared" si="20"/>
        <v>0</v>
      </c>
    </row>
    <row r="101" spans="1:22" x14ac:dyDescent="0.2">
      <c r="B101" s="20" t="s">
        <v>136</v>
      </c>
      <c r="C101" s="73"/>
      <c r="D101" s="71"/>
      <c r="E101" s="71"/>
      <c r="F101" s="71"/>
      <c r="G101" s="71"/>
      <c r="H101" s="83"/>
      <c r="I101" s="83"/>
      <c r="J101" s="83"/>
      <c r="K101" s="71"/>
      <c r="L101" s="163"/>
      <c r="M101" s="164"/>
      <c r="N101" s="164"/>
      <c r="O101" s="71"/>
      <c r="P101" s="83">
        <f t="shared" si="25"/>
        <v>0</v>
      </c>
      <c r="Q101" s="83">
        <f t="shared" si="26"/>
        <v>0</v>
      </c>
      <c r="R101" s="83">
        <f t="shared" si="27"/>
        <v>0</v>
      </c>
      <c r="S101" s="83">
        <f t="shared" si="23"/>
        <v>0</v>
      </c>
      <c r="T101" s="89">
        <f t="shared" si="24"/>
        <v>0</v>
      </c>
      <c r="U101" s="204"/>
      <c r="V101" s="208">
        <f t="shared" si="20"/>
        <v>0</v>
      </c>
    </row>
    <row r="102" spans="1:22" x14ac:dyDescent="0.2">
      <c r="B102" s="20" t="s">
        <v>137</v>
      </c>
      <c r="C102" s="73"/>
      <c r="D102" s="71"/>
      <c r="E102" s="71"/>
      <c r="F102" s="71"/>
      <c r="G102" s="71"/>
      <c r="H102" s="83"/>
      <c r="I102" s="83"/>
      <c r="J102" s="83"/>
      <c r="K102" s="71"/>
      <c r="L102" s="163"/>
      <c r="M102" s="164"/>
      <c r="N102" s="164"/>
      <c r="O102" s="71"/>
      <c r="P102" s="83">
        <f t="shared" si="25"/>
        <v>0</v>
      </c>
      <c r="Q102" s="83">
        <f t="shared" si="26"/>
        <v>0</v>
      </c>
      <c r="R102" s="83">
        <f t="shared" si="27"/>
        <v>0</v>
      </c>
      <c r="S102" s="83">
        <f t="shared" si="23"/>
        <v>0</v>
      </c>
      <c r="T102" s="89">
        <f t="shared" si="24"/>
        <v>0</v>
      </c>
      <c r="U102" s="204"/>
      <c r="V102" s="208">
        <f t="shared" si="20"/>
        <v>0</v>
      </c>
    </row>
    <row r="103" spans="1:22" ht="25.5" x14ac:dyDescent="0.2">
      <c r="B103" s="20" t="s">
        <v>138</v>
      </c>
      <c r="C103" s="73"/>
      <c r="D103" s="71"/>
      <c r="E103" s="71"/>
      <c r="F103" s="71"/>
      <c r="G103" s="71"/>
      <c r="H103" s="83"/>
      <c r="I103" s="83"/>
      <c r="J103" s="83"/>
      <c r="K103" s="71"/>
      <c r="L103" s="163"/>
      <c r="M103" s="164"/>
      <c r="N103" s="164"/>
      <c r="O103" s="71"/>
      <c r="P103" s="83">
        <f t="shared" si="25"/>
        <v>0</v>
      </c>
      <c r="Q103" s="83">
        <f t="shared" si="26"/>
        <v>0</v>
      </c>
      <c r="R103" s="83">
        <f t="shared" si="27"/>
        <v>0</v>
      </c>
      <c r="S103" s="83">
        <f t="shared" si="23"/>
        <v>0</v>
      </c>
      <c r="T103" s="89">
        <f t="shared" si="24"/>
        <v>0</v>
      </c>
      <c r="U103" s="204"/>
      <c r="V103" s="208">
        <f t="shared" si="20"/>
        <v>0</v>
      </c>
    </row>
    <row r="104" spans="1:22" ht="25.5" x14ac:dyDescent="0.2">
      <c r="B104" s="20" t="s">
        <v>139</v>
      </c>
      <c r="C104" s="73"/>
      <c r="D104" s="71"/>
      <c r="E104" s="71"/>
      <c r="F104" s="71"/>
      <c r="G104" s="71"/>
      <c r="H104" s="83"/>
      <c r="I104" s="83"/>
      <c r="J104" s="83"/>
      <c r="K104" s="71"/>
      <c r="L104" s="163"/>
      <c r="M104" s="164"/>
      <c r="N104" s="164"/>
      <c r="O104" s="71"/>
      <c r="P104" s="83">
        <f t="shared" si="25"/>
        <v>0</v>
      </c>
      <c r="Q104" s="83">
        <f t="shared" si="26"/>
        <v>0</v>
      </c>
      <c r="R104" s="83">
        <f t="shared" si="27"/>
        <v>0</v>
      </c>
      <c r="S104" s="83">
        <f t="shared" si="23"/>
        <v>0</v>
      </c>
      <c r="T104" s="89">
        <f t="shared" si="24"/>
        <v>0</v>
      </c>
      <c r="U104" s="204"/>
      <c r="V104" s="208">
        <f t="shared" si="20"/>
        <v>0</v>
      </c>
    </row>
    <row r="105" spans="1:22" x14ac:dyDescent="0.2">
      <c r="C105" s="73"/>
      <c r="D105" s="71"/>
      <c r="E105" s="71"/>
      <c r="F105" s="71"/>
      <c r="G105" s="71"/>
      <c r="H105" s="83"/>
      <c r="I105" s="83"/>
      <c r="J105" s="83"/>
      <c r="K105" s="71"/>
      <c r="L105" s="163"/>
      <c r="M105" s="164"/>
      <c r="N105" s="164"/>
      <c r="O105" s="71"/>
      <c r="P105" s="83"/>
      <c r="Q105" s="83"/>
      <c r="R105" s="83"/>
      <c r="S105" s="83"/>
      <c r="T105" s="89"/>
      <c r="U105" s="204"/>
      <c r="V105" s="208"/>
    </row>
    <row r="106" spans="1:22" x14ac:dyDescent="0.2">
      <c r="A106" s="4" t="s">
        <v>140</v>
      </c>
      <c r="B106" s="3" t="s">
        <v>141</v>
      </c>
      <c r="C106" s="68">
        <f>SUM(C107:C119)</f>
        <v>174456925</v>
      </c>
      <c r="D106" s="68">
        <f>SUM(D107:D119)</f>
        <v>144494000</v>
      </c>
      <c r="E106" s="68">
        <f t="shared" ref="E106:F106" si="28">SUM(E107:E118)</f>
        <v>0</v>
      </c>
      <c r="F106" s="68">
        <f t="shared" si="28"/>
        <v>0</v>
      </c>
      <c r="G106" s="68"/>
      <c r="H106" s="85">
        <f>SUM(H107:H119)</f>
        <v>97482764</v>
      </c>
      <c r="I106" s="85">
        <f>SUM(I107:I118)</f>
        <v>0</v>
      </c>
      <c r="J106" s="85">
        <f>SUM(J107:J118)</f>
        <v>0</v>
      </c>
      <c r="K106" s="68"/>
      <c r="L106" s="91">
        <f>H106/C106</f>
        <v>0.55877841478634338</v>
      </c>
      <c r="M106" s="87">
        <f>I106/D106</f>
        <v>0</v>
      </c>
      <c r="N106" s="87" t="e">
        <f t="shared" ref="N106:N112" si="29">+J106/E106</f>
        <v>#DIV/0!</v>
      </c>
      <c r="O106" s="68"/>
      <c r="P106" s="85">
        <f>IF(D106&gt;0,+D106-C106,0)</f>
        <v>-29962925</v>
      </c>
      <c r="Q106" s="85">
        <f>IF(E106&gt;0,+E106-D106,0)</f>
        <v>0</v>
      </c>
      <c r="R106" s="85">
        <f>IF(F106&gt;0,+F106-E106,0)</f>
        <v>0</v>
      </c>
      <c r="S106" s="85">
        <f t="shared" si="23"/>
        <v>-29962925</v>
      </c>
      <c r="T106" s="89">
        <f t="shared" ref="T106:T118" si="30">IF(C106=0,0,+S106/C106)</f>
        <v>-0.17174970268448789</v>
      </c>
      <c r="U106" s="206"/>
      <c r="V106" s="208">
        <f t="shared" ref="V106:V137" si="31">+S106-E106+C106</f>
        <v>144494000</v>
      </c>
    </row>
    <row r="107" spans="1:22" x14ac:dyDescent="0.2">
      <c r="A107" s="14" t="s">
        <v>142</v>
      </c>
      <c r="B107" s="20" t="s">
        <v>143</v>
      </c>
      <c r="C107" s="73"/>
      <c r="D107" s="71">
        <v>10000</v>
      </c>
      <c r="E107" s="71">
        <v>0</v>
      </c>
      <c r="F107" s="71"/>
      <c r="G107" s="71"/>
      <c r="H107" s="83">
        <v>9133</v>
      </c>
      <c r="I107" s="83"/>
      <c r="J107" s="83"/>
      <c r="K107" s="71"/>
      <c r="L107" s="163"/>
      <c r="M107" s="164"/>
      <c r="N107" s="164" t="e">
        <f t="shared" si="29"/>
        <v>#DIV/0!</v>
      </c>
      <c r="O107" s="71"/>
      <c r="P107" s="83">
        <f t="shared" ref="P107:P118" si="32">+(D107-C107)*P$8</f>
        <v>10000</v>
      </c>
      <c r="Q107" s="83">
        <f t="shared" ref="Q107:Q118" si="33">+(E107-D107)*Q$8</f>
        <v>-10000</v>
      </c>
      <c r="R107" s="83">
        <f t="shared" ref="R107:R118" si="34">+(F107-E107)*R$8</f>
        <v>0</v>
      </c>
      <c r="S107" s="83">
        <f t="shared" si="23"/>
        <v>0</v>
      </c>
      <c r="T107" s="89">
        <f t="shared" si="30"/>
        <v>0</v>
      </c>
      <c r="U107" s="204"/>
      <c r="V107" s="208">
        <f t="shared" si="31"/>
        <v>0</v>
      </c>
    </row>
    <row r="108" spans="1:22" x14ac:dyDescent="0.2">
      <c r="B108" s="20" t="s">
        <v>144</v>
      </c>
      <c r="C108" s="73"/>
      <c r="D108" s="71"/>
      <c r="E108" s="71">
        <v>0</v>
      </c>
      <c r="F108" s="71"/>
      <c r="G108" s="71"/>
      <c r="H108" s="83"/>
      <c r="I108" s="83">
        <v>0</v>
      </c>
      <c r="J108" s="83"/>
      <c r="K108" s="71"/>
      <c r="L108" s="163"/>
      <c r="M108" s="164"/>
      <c r="N108" s="164" t="e">
        <f t="shared" si="29"/>
        <v>#DIV/0!</v>
      </c>
      <c r="O108" s="71"/>
      <c r="P108" s="83">
        <f t="shared" si="32"/>
        <v>0</v>
      </c>
      <c r="Q108" s="83">
        <f t="shared" si="33"/>
        <v>0</v>
      </c>
      <c r="R108" s="83">
        <f t="shared" si="34"/>
        <v>0</v>
      </c>
      <c r="S108" s="83">
        <f t="shared" si="23"/>
        <v>0</v>
      </c>
      <c r="T108" s="89">
        <f t="shared" si="30"/>
        <v>0</v>
      </c>
      <c r="U108" s="204"/>
      <c r="V108" s="208">
        <f t="shared" si="31"/>
        <v>0</v>
      </c>
    </row>
    <row r="109" spans="1:22" ht="25.5" x14ac:dyDescent="0.2">
      <c r="A109" s="14" t="s">
        <v>145</v>
      </c>
      <c r="B109" s="20" t="s">
        <v>147</v>
      </c>
      <c r="C109" s="73"/>
      <c r="D109" s="71"/>
      <c r="E109" s="71">
        <v>0</v>
      </c>
      <c r="F109" s="71"/>
      <c r="G109" s="71"/>
      <c r="H109" s="83"/>
      <c r="I109" s="83"/>
      <c r="J109" s="83"/>
      <c r="K109" s="71"/>
      <c r="L109" s="163"/>
      <c r="M109" s="164"/>
      <c r="N109" s="164" t="e">
        <f t="shared" si="29"/>
        <v>#DIV/0!</v>
      </c>
      <c r="O109" s="71"/>
      <c r="P109" s="83">
        <f t="shared" si="32"/>
        <v>0</v>
      </c>
      <c r="Q109" s="83">
        <f t="shared" si="33"/>
        <v>0</v>
      </c>
      <c r="R109" s="83">
        <f t="shared" si="34"/>
        <v>0</v>
      </c>
      <c r="S109" s="83">
        <f t="shared" si="23"/>
        <v>0</v>
      </c>
      <c r="T109" s="89">
        <f t="shared" si="30"/>
        <v>0</v>
      </c>
      <c r="U109" s="204"/>
      <c r="V109" s="208">
        <f t="shared" si="31"/>
        <v>0</v>
      </c>
    </row>
    <row r="110" spans="1:22" ht="25.5" x14ac:dyDescent="0.2">
      <c r="A110" s="14" t="s">
        <v>146</v>
      </c>
      <c r="B110" s="20" t="s">
        <v>148</v>
      </c>
      <c r="C110" s="73"/>
      <c r="D110" s="71"/>
      <c r="E110" s="71">
        <v>0</v>
      </c>
      <c r="F110" s="71"/>
      <c r="G110" s="71"/>
      <c r="H110" s="83"/>
      <c r="I110" s="83"/>
      <c r="J110" s="83"/>
      <c r="K110" s="71"/>
      <c r="L110" s="163"/>
      <c r="M110" s="164"/>
      <c r="N110" s="164" t="e">
        <f t="shared" si="29"/>
        <v>#DIV/0!</v>
      </c>
      <c r="O110" s="71"/>
      <c r="P110" s="83">
        <f t="shared" si="32"/>
        <v>0</v>
      </c>
      <c r="Q110" s="83">
        <f t="shared" si="33"/>
        <v>0</v>
      </c>
      <c r="R110" s="83">
        <f t="shared" si="34"/>
        <v>0</v>
      </c>
      <c r="S110" s="83">
        <f t="shared" si="23"/>
        <v>0</v>
      </c>
      <c r="T110" s="89">
        <f t="shared" si="30"/>
        <v>0</v>
      </c>
      <c r="U110" s="204"/>
      <c r="V110" s="208">
        <f t="shared" si="31"/>
        <v>0</v>
      </c>
    </row>
    <row r="111" spans="1:22" ht="25.5" x14ac:dyDescent="0.2">
      <c r="A111" s="14" t="s">
        <v>149</v>
      </c>
      <c r="B111" s="20" t="s">
        <v>150</v>
      </c>
      <c r="C111" s="73"/>
      <c r="D111" s="71"/>
      <c r="E111" s="71">
        <v>0</v>
      </c>
      <c r="F111" s="71"/>
      <c r="G111" s="71"/>
      <c r="H111" s="83"/>
      <c r="I111" s="83"/>
      <c r="J111" s="83"/>
      <c r="K111" s="71"/>
      <c r="L111" s="163"/>
      <c r="M111" s="164"/>
      <c r="N111" s="164" t="e">
        <f t="shared" si="29"/>
        <v>#DIV/0!</v>
      </c>
      <c r="O111" s="71"/>
      <c r="P111" s="83">
        <f t="shared" si="32"/>
        <v>0</v>
      </c>
      <c r="Q111" s="83">
        <f t="shared" si="33"/>
        <v>0</v>
      </c>
      <c r="R111" s="83">
        <f t="shared" si="34"/>
        <v>0</v>
      </c>
      <c r="S111" s="83">
        <f t="shared" si="23"/>
        <v>0</v>
      </c>
      <c r="T111" s="89">
        <f t="shared" si="30"/>
        <v>0</v>
      </c>
      <c r="U111" s="204"/>
      <c r="V111" s="208">
        <f t="shared" si="31"/>
        <v>0</v>
      </c>
    </row>
    <row r="112" spans="1:22" x14ac:dyDescent="0.2">
      <c r="A112" s="14" t="s">
        <v>151</v>
      </c>
      <c r="B112" s="20" t="s">
        <v>152</v>
      </c>
      <c r="C112" s="73">
        <v>0</v>
      </c>
      <c r="D112" s="71">
        <v>507000</v>
      </c>
      <c r="E112" s="71">
        <v>0</v>
      </c>
      <c r="F112" s="71"/>
      <c r="G112" s="71"/>
      <c r="H112" s="83">
        <v>383200</v>
      </c>
      <c r="I112" s="83">
        <v>0</v>
      </c>
      <c r="J112" s="83"/>
      <c r="K112" s="71"/>
      <c r="L112" s="163" t="e">
        <f>H112/C112</f>
        <v>#DIV/0!</v>
      </c>
      <c r="M112" s="164">
        <f>I112/D112</f>
        <v>0</v>
      </c>
      <c r="N112" s="164" t="e">
        <f t="shared" si="29"/>
        <v>#DIV/0!</v>
      </c>
      <c r="O112" s="71"/>
      <c r="P112" s="83">
        <f t="shared" si="32"/>
        <v>507000</v>
      </c>
      <c r="Q112" s="83">
        <f t="shared" si="33"/>
        <v>-507000</v>
      </c>
      <c r="R112" s="83">
        <f t="shared" si="34"/>
        <v>0</v>
      </c>
      <c r="S112" s="83">
        <f t="shared" si="23"/>
        <v>0</v>
      </c>
      <c r="T112" s="89">
        <f t="shared" si="30"/>
        <v>0</v>
      </c>
      <c r="U112" s="204"/>
      <c r="V112" s="208">
        <f t="shared" si="31"/>
        <v>0</v>
      </c>
    </row>
    <row r="113" spans="1:22" ht="51" x14ac:dyDescent="0.2">
      <c r="B113" s="20" t="s">
        <v>153</v>
      </c>
      <c r="C113" s="73"/>
      <c r="D113" s="71"/>
      <c r="E113" s="71"/>
      <c r="F113" s="71"/>
      <c r="G113" s="71"/>
      <c r="H113" s="83"/>
      <c r="I113" s="83"/>
      <c r="J113" s="83"/>
      <c r="K113" s="71"/>
      <c r="L113" s="163"/>
      <c r="M113" s="164"/>
      <c r="N113" s="164"/>
      <c r="O113" s="71"/>
      <c r="P113" s="83">
        <f t="shared" si="32"/>
        <v>0</v>
      </c>
      <c r="Q113" s="83">
        <f t="shared" si="33"/>
        <v>0</v>
      </c>
      <c r="R113" s="83">
        <f t="shared" si="34"/>
        <v>0</v>
      </c>
      <c r="S113" s="83">
        <f t="shared" si="23"/>
        <v>0</v>
      </c>
      <c r="T113" s="89">
        <f t="shared" si="30"/>
        <v>0</v>
      </c>
      <c r="U113" s="204"/>
      <c r="V113" s="208">
        <f t="shared" si="31"/>
        <v>0</v>
      </c>
    </row>
    <row r="114" spans="1:22" ht="51" x14ac:dyDescent="0.2">
      <c r="A114" s="14" t="s">
        <v>154</v>
      </c>
      <c r="B114" s="20" t="s">
        <v>155</v>
      </c>
      <c r="C114" s="73">
        <v>0</v>
      </c>
      <c r="D114" s="71">
        <f>+C114</f>
        <v>0</v>
      </c>
      <c r="E114" s="71">
        <v>0</v>
      </c>
      <c r="F114" s="71"/>
      <c r="G114" s="71"/>
      <c r="H114" s="83">
        <v>0</v>
      </c>
      <c r="I114" s="83">
        <v>0</v>
      </c>
      <c r="J114" s="83"/>
      <c r="K114" s="71"/>
      <c r="L114" s="163" t="e">
        <f>H114/C114</f>
        <v>#DIV/0!</v>
      </c>
      <c r="M114" s="164" t="e">
        <f>I114/D114</f>
        <v>#DIV/0!</v>
      </c>
      <c r="N114" s="164" t="e">
        <f>+J114/E114</f>
        <v>#DIV/0!</v>
      </c>
      <c r="O114" s="71"/>
      <c r="P114" s="83">
        <f t="shared" si="32"/>
        <v>0</v>
      </c>
      <c r="Q114" s="83">
        <f t="shared" si="33"/>
        <v>0</v>
      </c>
      <c r="R114" s="83">
        <f t="shared" si="34"/>
        <v>0</v>
      </c>
      <c r="S114" s="83">
        <f t="shared" si="23"/>
        <v>0</v>
      </c>
      <c r="T114" s="89">
        <f t="shared" si="30"/>
        <v>0</v>
      </c>
      <c r="U114" s="204"/>
      <c r="V114" s="208">
        <f t="shared" si="31"/>
        <v>0</v>
      </c>
    </row>
    <row r="115" spans="1:22" ht="51" x14ac:dyDescent="0.2">
      <c r="A115" s="14" t="s">
        <v>156</v>
      </c>
      <c r="B115" s="20" t="s">
        <v>157</v>
      </c>
      <c r="C115" s="73"/>
      <c r="D115" s="71">
        <v>500000</v>
      </c>
      <c r="E115" s="71">
        <v>0</v>
      </c>
      <c r="F115" s="71"/>
      <c r="G115" s="71"/>
      <c r="H115" s="83">
        <v>100000</v>
      </c>
      <c r="I115" s="83"/>
      <c r="J115" s="83"/>
      <c r="K115" s="71"/>
      <c r="L115" s="163"/>
      <c r="M115" s="164"/>
      <c r="N115" s="164" t="e">
        <f>+J115/E115</f>
        <v>#DIV/0!</v>
      </c>
      <c r="O115" s="71"/>
      <c r="P115" s="83">
        <f t="shared" si="32"/>
        <v>500000</v>
      </c>
      <c r="Q115" s="83">
        <f t="shared" si="33"/>
        <v>-500000</v>
      </c>
      <c r="R115" s="83">
        <f t="shared" si="34"/>
        <v>0</v>
      </c>
      <c r="S115" s="83">
        <f t="shared" si="23"/>
        <v>0</v>
      </c>
      <c r="T115" s="89">
        <f t="shared" si="30"/>
        <v>0</v>
      </c>
      <c r="U115" s="204"/>
      <c r="V115" s="208">
        <f t="shared" si="31"/>
        <v>0</v>
      </c>
    </row>
    <row r="116" spans="1:22" x14ac:dyDescent="0.2">
      <c r="A116" s="44" t="s">
        <v>369</v>
      </c>
      <c r="B116" s="20" t="s">
        <v>367</v>
      </c>
      <c r="C116" s="73">
        <v>142477000</v>
      </c>
      <c r="D116" s="71">
        <v>143477000</v>
      </c>
      <c r="E116" s="71">
        <v>0</v>
      </c>
      <c r="F116" s="71"/>
      <c r="G116" s="71"/>
      <c r="H116" s="83">
        <v>96990431</v>
      </c>
      <c r="I116" s="83"/>
      <c r="J116" s="83"/>
      <c r="K116" s="71"/>
      <c r="L116" s="163">
        <f>H116/C116</f>
        <v>0.68074447805610727</v>
      </c>
      <c r="M116" s="164">
        <f>I116/D116</f>
        <v>0</v>
      </c>
      <c r="N116" s="164" t="e">
        <f>+J116/E116</f>
        <v>#DIV/0!</v>
      </c>
      <c r="O116" s="71"/>
      <c r="P116" s="83">
        <f t="shared" si="32"/>
        <v>1000000</v>
      </c>
      <c r="Q116" s="83">
        <f t="shared" si="33"/>
        <v>-143477000</v>
      </c>
      <c r="R116" s="83">
        <f t="shared" si="34"/>
        <v>0</v>
      </c>
      <c r="S116" s="83">
        <f t="shared" si="23"/>
        <v>-142477000</v>
      </c>
      <c r="T116" s="89">
        <f t="shared" si="30"/>
        <v>-1</v>
      </c>
      <c r="U116" s="204"/>
      <c r="V116" s="208">
        <f t="shared" si="31"/>
        <v>0</v>
      </c>
    </row>
    <row r="117" spans="1:22" ht="25.5" x14ac:dyDescent="0.2">
      <c r="B117" s="20" t="s">
        <v>368</v>
      </c>
      <c r="C117" s="73"/>
      <c r="D117" s="71"/>
      <c r="E117" s="71">
        <v>0</v>
      </c>
      <c r="F117" s="71"/>
      <c r="G117" s="71"/>
      <c r="H117" s="83"/>
      <c r="I117" s="83"/>
      <c r="J117" s="83"/>
      <c r="K117" s="71"/>
      <c r="L117" s="163"/>
      <c r="M117" s="164"/>
      <c r="N117" s="164"/>
      <c r="O117" s="71"/>
      <c r="P117" s="83">
        <f t="shared" si="32"/>
        <v>0</v>
      </c>
      <c r="Q117" s="83">
        <f t="shared" si="33"/>
        <v>0</v>
      </c>
      <c r="R117" s="83">
        <f t="shared" si="34"/>
        <v>0</v>
      </c>
      <c r="S117" s="83">
        <f t="shared" si="23"/>
        <v>0</v>
      </c>
      <c r="T117" s="89">
        <f t="shared" si="30"/>
        <v>0</v>
      </c>
      <c r="U117" s="204"/>
      <c r="V117" s="208">
        <f t="shared" si="31"/>
        <v>0</v>
      </c>
    </row>
    <row r="118" spans="1:22" x14ac:dyDescent="0.2">
      <c r="A118" s="44" t="s">
        <v>391</v>
      </c>
      <c r="B118" s="20" t="s">
        <v>370</v>
      </c>
      <c r="C118" s="73">
        <v>31979925</v>
      </c>
      <c r="D118" s="71">
        <v>0</v>
      </c>
      <c r="E118" s="187">
        <v>0</v>
      </c>
      <c r="F118" s="71"/>
      <c r="G118" s="71"/>
      <c r="H118" s="83">
        <v>0</v>
      </c>
      <c r="I118" s="83">
        <v>0</v>
      </c>
      <c r="J118" s="83"/>
      <c r="K118" s="71"/>
      <c r="L118" s="163">
        <f>H118/C118</f>
        <v>0</v>
      </c>
      <c r="M118" s="164" t="e">
        <f>I118/D118</f>
        <v>#DIV/0!</v>
      </c>
      <c r="N118" s="164" t="e">
        <f>+J118/E118</f>
        <v>#DIV/0!</v>
      </c>
      <c r="O118" s="71"/>
      <c r="P118" s="83">
        <f t="shared" si="32"/>
        <v>-31979925</v>
      </c>
      <c r="Q118" s="83">
        <f t="shared" si="33"/>
        <v>0</v>
      </c>
      <c r="R118" s="83">
        <f t="shared" si="34"/>
        <v>0</v>
      </c>
      <c r="S118" s="83">
        <f t="shared" si="23"/>
        <v>-31979925</v>
      </c>
      <c r="T118" s="89">
        <f t="shared" si="30"/>
        <v>-1</v>
      </c>
      <c r="U118" s="204"/>
      <c r="V118" s="208">
        <f t="shared" si="31"/>
        <v>0</v>
      </c>
    </row>
    <row r="119" spans="1:22" x14ac:dyDescent="0.2">
      <c r="A119" s="44"/>
      <c r="B119" s="20"/>
      <c r="C119" s="73"/>
      <c r="D119" s="71"/>
      <c r="E119" s="187"/>
      <c r="F119" s="71"/>
      <c r="G119" s="71"/>
      <c r="H119" s="83"/>
      <c r="I119" s="83"/>
      <c r="J119" s="83"/>
      <c r="K119" s="71"/>
      <c r="L119" s="163"/>
      <c r="M119" s="164"/>
      <c r="N119" s="164"/>
      <c r="O119" s="71"/>
      <c r="P119" s="83"/>
      <c r="Q119" s="83"/>
      <c r="R119" s="83"/>
      <c r="S119" s="83"/>
      <c r="T119" s="89"/>
      <c r="U119" s="204"/>
      <c r="V119" s="208">
        <f t="shared" si="31"/>
        <v>0</v>
      </c>
    </row>
    <row r="120" spans="1:22" x14ac:dyDescent="0.2">
      <c r="A120" s="4" t="s">
        <v>158</v>
      </c>
      <c r="B120" s="3" t="s">
        <v>159</v>
      </c>
      <c r="C120" s="68">
        <f>SUM(C121:C128)</f>
        <v>211500000</v>
      </c>
      <c r="D120" s="68">
        <f>SUM(D121:D128)</f>
        <v>425525752</v>
      </c>
      <c r="E120" s="68">
        <f>SUM(E121:E127)</f>
        <v>0</v>
      </c>
      <c r="F120" s="68">
        <f>SUM(F121:F127)</f>
        <v>0</v>
      </c>
      <c r="G120" s="68"/>
      <c r="H120" s="85">
        <f>SUM(H121:H128)</f>
        <v>7083713</v>
      </c>
      <c r="I120" s="85">
        <f>SUM(I121:I127)</f>
        <v>0</v>
      </c>
      <c r="J120" s="85">
        <f>SUM(J121:J127)</f>
        <v>0</v>
      </c>
      <c r="K120" s="68"/>
      <c r="L120" s="91">
        <f>H120/C120</f>
        <v>3.3492732860520097E-2</v>
      </c>
      <c r="M120" s="87">
        <f>I120/D120</f>
        <v>0</v>
      </c>
      <c r="N120" s="87" t="e">
        <f t="shared" ref="N120:N127" si="35">+J120/E120</f>
        <v>#DIV/0!</v>
      </c>
      <c r="O120" s="68"/>
      <c r="P120" s="85">
        <f>IF(D120&gt;0,+D120-C120,0)</f>
        <v>214025752</v>
      </c>
      <c r="Q120" s="85">
        <f>IF(E120&gt;0,+E120-D120,0)</f>
        <v>0</v>
      </c>
      <c r="R120" s="85">
        <f>IF(F120&gt;0,+F120-E120,0)</f>
        <v>0</v>
      </c>
      <c r="S120" s="85">
        <f t="shared" si="23"/>
        <v>214025752</v>
      </c>
      <c r="T120" s="89">
        <f t="shared" ref="T120:T127" si="36">IF(C120=0,0,+S120/C120)</f>
        <v>1.0119420898345153</v>
      </c>
      <c r="U120" s="206"/>
      <c r="V120" s="208">
        <f t="shared" si="31"/>
        <v>425525752</v>
      </c>
    </row>
    <row r="121" spans="1:22" x14ac:dyDescent="0.2">
      <c r="A121" s="14" t="s">
        <v>160</v>
      </c>
      <c r="B121" s="20" t="s">
        <v>161</v>
      </c>
      <c r="C121" s="73"/>
      <c r="D121" s="71"/>
      <c r="E121" s="71">
        <v>0</v>
      </c>
      <c r="F121" s="71"/>
      <c r="G121" s="71"/>
      <c r="H121" s="83"/>
      <c r="I121" s="83"/>
      <c r="J121" s="83"/>
      <c r="K121" s="71"/>
      <c r="L121" s="163"/>
      <c r="M121" s="164"/>
      <c r="N121" s="164" t="e">
        <f t="shared" si="35"/>
        <v>#DIV/0!</v>
      </c>
      <c r="O121" s="71"/>
      <c r="P121" s="83">
        <f t="shared" ref="P121:R127" si="37">+(D121-C121)*P$8</f>
        <v>0</v>
      </c>
      <c r="Q121" s="83">
        <f t="shared" si="37"/>
        <v>0</v>
      </c>
      <c r="R121" s="83">
        <f t="shared" si="37"/>
        <v>0</v>
      </c>
      <c r="S121" s="83">
        <f t="shared" si="23"/>
        <v>0</v>
      </c>
      <c r="T121" s="89">
        <f t="shared" si="36"/>
        <v>0</v>
      </c>
      <c r="U121" s="204"/>
      <c r="V121" s="208">
        <f t="shared" si="31"/>
        <v>0</v>
      </c>
    </row>
    <row r="122" spans="1:22" x14ac:dyDescent="0.2">
      <c r="A122" s="14" t="s">
        <v>162</v>
      </c>
      <c r="B122" s="20" t="s">
        <v>163</v>
      </c>
      <c r="C122" s="73">
        <v>211500000</v>
      </c>
      <c r="D122" s="73">
        <v>421581752</v>
      </c>
      <c r="E122" s="187">
        <v>0</v>
      </c>
      <c r="F122" s="71">
        <v>0</v>
      </c>
      <c r="G122" s="71"/>
      <c r="H122" s="83">
        <v>4536211</v>
      </c>
      <c r="I122" s="83"/>
      <c r="J122" s="83"/>
      <c r="K122" s="71"/>
      <c r="L122" s="163">
        <f>H122/C122</f>
        <v>2.1447806146572105E-2</v>
      </c>
      <c r="M122" s="164">
        <f>I122/D122</f>
        <v>0</v>
      </c>
      <c r="N122" s="164" t="e">
        <f t="shared" si="35"/>
        <v>#DIV/0!</v>
      </c>
      <c r="O122" s="71"/>
      <c r="P122" s="83">
        <f t="shared" si="37"/>
        <v>210081752</v>
      </c>
      <c r="Q122" s="83">
        <f t="shared" si="37"/>
        <v>-421581752</v>
      </c>
      <c r="R122" s="83">
        <f t="shared" si="37"/>
        <v>0</v>
      </c>
      <c r="S122" s="83">
        <f t="shared" si="23"/>
        <v>-211500000</v>
      </c>
      <c r="T122" s="89">
        <f t="shared" si="36"/>
        <v>-1</v>
      </c>
      <c r="U122" s="204"/>
      <c r="V122" s="208">
        <f t="shared" si="31"/>
        <v>0</v>
      </c>
    </row>
    <row r="123" spans="1:22" x14ac:dyDescent="0.2">
      <c r="B123" s="20" t="s">
        <v>164</v>
      </c>
      <c r="C123" s="73"/>
      <c r="D123" s="73"/>
      <c r="E123" s="71">
        <v>0</v>
      </c>
      <c r="F123" s="71"/>
      <c r="G123" s="71"/>
      <c r="H123" s="83"/>
      <c r="I123" s="83"/>
      <c r="J123" s="83"/>
      <c r="K123" s="71"/>
      <c r="L123" s="163"/>
      <c r="M123" s="164"/>
      <c r="N123" s="164" t="e">
        <f t="shared" si="35"/>
        <v>#DIV/0!</v>
      </c>
      <c r="O123" s="71"/>
      <c r="P123" s="83">
        <f t="shared" si="37"/>
        <v>0</v>
      </c>
      <c r="Q123" s="83">
        <f t="shared" si="37"/>
        <v>0</v>
      </c>
      <c r="R123" s="83">
        <f t="shared" si="37"/>
        <v>0</v>
      </c>
      <c r="S123" s="83">
        <f t="shared" si="23"/>
        <v>0</v>
      </c>
      <c r="T123" s="89">
        <f t="shared" si="36"/>
        <v>0</v>
      </c>
      <c r="U123" s="204"/>
      <c r="V123" s="208">
        <f t="shared" si="31"/>
        <v>0</v>
      </c>
    </row>
    <row r="124" spans="1:22" x14ac:dyDescent="0.2">
      <c r="A124" s="14" t="s">
        <v>165</v>
      </c>
      <c r="B124" s="20" t="s">
        <v>166</v>
      </c>
      <c r="C124" s="73">
        <v>0</v>
      </c>
      <c r="D124" s="73">
        <v>0</v>
      </c>
      <c r="E124" s="71">
        <v>0</v>
      </c>
      <c r="F124" s="71"/>
      <c r="G124" s="71"/>
      <c r="H124" s="83">
        <v>0</v>
      </c>
      <c r="I124" s="83">
        <v>0</v>
      </c>
      <c r="J124" s="83"/>
      <c r="K124" s="71"/>
      <c r="L124" s="163" t="e">
        <f t="shared" ref="L124:M127" si="38">H124/C124</f>
        <v>#DIV/0!</v>
      </c>
      <c r="M124" s="164" t="e">
        <f t="shared" si="38"/>
        <v>#DIV/0!</v>
      </c>
      <c r="N124" s="164" t="e">
        <f t="shared" si="35"/>
        <v>#DIV/0!</v>
      </c>
      <c r="O124" s="71"/>
      <c r="P124" s="83">
        <f t="shared" si="37"/>
        <v>0</v>
      </c>
      <c r="Q124" s="83">
        <f t="shared" si="37"/>
        <v>0</v>
      </c>
      <c r="R124" s="83">
        <f t="shared" si="37"/>
        <v>0</v>
      </c>
      <c r="S124" s="83">
        <f t="shared" si="23"/>
        <v>0</v>
      </c>
      <c r="T124" s="89">
        <f t="shared" si="36"/>
        <v>0</v>
      </c>
      <c r="U124" s="204"/>
      <c r="V124" s="208">
        <f t="shared" si="31"/>
        <v>0</v>
      </c>
    </row>
    <row r="125" spans="1:22" x14ac:dyDescent="0.2">
      <c r="A125" s="14" t="s">
        <v>167</v>
      </c>
      <c r="B125" s="20" t="s">
        <v>168</v>
      </c>
      <c r="C125" s="73">
        <v>0</v>
      </c>
      <c r="D125" s="73">
        <v>1955000</v>
      </c>
      <c r="E125" s="71">
        <v>0</v>
      </c>
      <c r="F125" s="71">
        <v>0</v>
      </c>
      <c r="G125" s="71"/>
      <c r="H125" s="83">
        <v>1299772</v>
      </c>
      <c r="I125" s="83">
        <v>0</v>
      </c>
      <c r="J125" s="83"/>
      <c r="K125" s="71"/>
      <c r="L125" s="163" t="e">
        <f t="shared" si="38"/>
        <v>#DIV/0!</v>
      </c>
      <c r="M125" s="164">
        <f t="shared" si="38"/>
        <v>0</v>
      </c>
      <c r="N125" s="164" t="e">
        <f t="shared" si="35"/>
        <v>#DIV/0!</v>
      </c>
      <c r="O125" s="71"/>
      <c r="P125" s="83">
        <f t="shared" si="37"/>
        <v>1955000</v>
      </c>
      <c r="Q125" s="83">
        <f t="shared" si="37"/>
        <v>-1955000</v>
      </c>
      <c r="R125" s="83">
        <f t="shared" si="37"/>
        <v>0</v>
      </c>
      <c r="S125" s="83">
        <f t="shared" si="23"/>
        <v>0</v>
      </c>
      <c r="T125" s="89">
        <f t="shared" si="36"/>
        <v>0</v>
      </c>
      <c r="U125" s="204"/>
      <c r="V125" s="208">
        <f t="shared" si="31"/>
        <v>0</v>
      </c>
    </row>
    <row r="126" spans="1:22" x14ac:dyDescent="0.2">
      <c r="A126" s="14" t="s">
        <v>169</v>
      </c>
      <c r="B126" s="20" t="s">
        <v>170</v>
      </c>
      <c r="C126" s="73">
        <v>0</v>
      </c>
      <c r="D126" s="73">
        <v>1384000</v>
      </c>
      <c r="E126" s="71">
        <v>0</v>
      </c>
      <c r="F126" s="71">
        <v>0</v>
      </c>
      <c r="G126" s="71"/>
      <c r="H126" s="83">
        <v>691592</v>
      </c>
      <c r="I126" s="83">
        <v>0</v>
      </c>
      <c r="J126" s="83"/>
      <c r="K126" s="71"/>
      <c r="L126" s="163" t="e">
        <f t="shared" si="38"/>
        <v>#DIV/0!</v>
      </c>
      <c r="M126" s="164">
        <f t="shared" si="38"/>
        <v>0</v>
      </c>
      <c r="N126" s="164" t="e">
        <f t="shared" si="35"/>
        <v>#DIV/0!</v>
      </c>
      <c r="O126" s="71"/>
      <c r="P126" s="83">
        <f t="shared" si="37"/>
        <v>1384000</v>
      </c>
      <c r="Q126" s="83">
        <f t="shared" si="37"/>
        <v>-1384000</v>
      </c>
      <c r="R126" s="83">
        <f t="shared" si="37"/>
        <v>0</v>
      </c>
      <c r="S126" s="83">
        <f t="shared" si="23"/>
        <v>0</v>
      </c>
      <c r="T126" s="89">
        <f t="shared" si="36"/>
        <v>0</v>
      </c>
      <c r="U126" s="204"/>
      <c r="V126" s="208">
        <f t="shared" si="31"/>
        <v>0</v>
      </c>
    </row>
    <row r="127" spans="1:22" x14ac:dyDescent="0.2">
      <c r="A127" s="14" t="s">
        <v>171</v>
      </c>
      <c r="B127" s="20" t="s">
        <v>172</v>
      </c>
      <c r="C127" s="73"/>
      <c r="D127" s="71">
        <v>605000</v>
      </c>
      <c r="E127" s="71">
        <v>0</v>
      </c>
      <c r="F127" s="71">
        <v>0</v>
      </c>
      <c r="G127" s="71"/>
      <c r="H127" s="83">
        <v>556138</v>
      </c>
      <c r="I127" s="83">
        <v>0</v>
      </c>
      <c r="J127" s="83"/>
      <c r="K127" s="71"/>
      <c r="L127" s="163"/>
      <c r="M127" s="164">
        <f t="shared" si="38"/>
        <v>0</v>
      </c>
      <c r="N127" s="164" t="e">
        <f t="shared" si="35"/>
        <v>#DIV/0!</v>
      </c>
      <c r="O127" s="71"/>
      <c r="P127" s="83">
        <f t="shared" si="37"/>
        <v>605000</v>
      </c>
      <c r="Q127" s="83">
        <f t="shared" si="37"/>
        <v>-605000</v>
      </c>
      <c r="R127" s="83">
        <f t="shared" si="37"/>
        <v>0</v>
      </c>
      <c r="S127" s="83">
        <f t="shared" si="23"/>
        <v>0</v>
      </c>
      <c r="T127" s="89">
        <f t="shared" si="36"/>
        <v>0</v>
      </c>
      <c r="U127" s="204"/>
      <c r="V127" s="208">
        <f t="shared" si="31"/>
        <v>0</v>
      </c>
    </row>
    <row r="128" spans="1:22" x14ac:dyDescent="0.2">
      <c r="C128" s="73"/>
      <c r="D128" s="71"/>
      <c r="E128" s="71"/>
      <c r="F128" s="71"/>
      <c r="G128" s="71"/>
      <c r="H128" s="83"/>
      <c r="I128" s="83"/>
      <c r="J128" s="83"/>
      <c r="K128" s="71"/>
      <c r="L128" s="163"/>
      <c r="M128" s="164"/>
      <c r="N128" s="164"/>
      <c r="O128" s="71"/>
      <c r="P128" s="83"/>
      <c r="Q128" s="83"/>
      <c r="R128" s="83"/>
      <c r="S128" s="83"/>
      <c r="T128" s="89"/>
      <c r="U128" s="204"/>
      <c r="V128" s="208">
        <f t="shared" si="31"/>
        <v>0</v>
      </c>
    </row>
    <row r="129" spans="1:22" x14ac:dyDescent="0.2">
      <c r="A129" s="4" t="s">
        <v>173</v>
      </c>
      <c r="B129" s="3" t="s">
        <v>174</v>
      </c>
      <c r="C129" s="68">
        <f>SUM(C130:C134)</f>
        <v>108480000</v>
      </c>
      <c r="D129" s="68">
        <f>SUM(D130:D134)</f>
        <v>296686866</v>
      </c>
      <c r="E129" s="68">
        <f t="shared" ref="E129:F129" si="39">SUM(E130:E133)</f>
        <v>0</v>
      </c>
      <c r="F129" s="68">
        <f t="shared" si="39"/>
        <v>0</v>
      </c>
      <c r="G129" s="68"/>
      <c r="H129" s="85">
        <f>SUM(H130:H134)</f>
        <v>3723918</v>
      </c>
      <c r="I129" s="85">
        <f>SUM(I130:I133)</f>
        <v>0</v>
      </c>
      <c r="J129" s="85">
        <f>SUM(J130:J133)</f>
        <v>0</v>
      </c>
      <c r="K129" s="68"/>
      <c r="L129" s="91">
        <f>H129/C129</f>
        <v>3.4328152654867258E-2</v>
      </c>
      <c r="M129" s="87">
        <f>I129/D129</f>
        <v>0</v>
      </c>
      <c r="N129" s="87" t="e">
        <f>+J129/E129</f>
        <v>#DIV/0!</v>
      </c>
      <c r="O129" s="68"/>
      <c r="P129" s="85">
        <f>IF(D129&gt;0,+D129-C129,0)</f>
        <v>188206866</v>
      </c>
      <c r="Q129" s="85">
        <f>IF(E129&gt;0,+E129-D129,0)</f>
        <v>0</v>
      </c>
      <c r="R129" s="85">
        <f>IF(F129&gt;0,+F129-E129,0)</f>
        <v>0</v>
      </c>
      <c r="S129" s="85">
        <f t="shared" si="23"/>
        <v>188206866</v>
      </c>
      <c r="T129" s="89">
        <f>IF(C129=0,0,+S129/C129)</f>
        <v>1.7349452986725664</v>
      </c>
      <c r="U129" s="206"/>
      <c r="V129" s="208">
        <f t="shared" si="31"/>
        <v>296686866</v>
      </c>
    </row>
    <row r="130" spans="1:22" x14ac:dyDescent="0.2">
      <c r="A130" s="14" t="s">
        <v>175</v>
      </c>
      <c r="B130" s="20" t="s">
        <v>176</v>
      </c>
      <c r="C130" s="73">
        <f>'ÖNK részletező'!E18</f>
        <v>108480000</v>
      </c>
      <c r="D130" s="71">
        <v>286222866</v>
      </c>
      <c r="E130" s="150">
        <v>0</v>
      </c>
      <c r="F130" s="71">
        <v>0</v>
      </c>
      <c r="G130" s="71"/>
      <c r="H130" s="83">
        <v>2932220</v>
      </c>
      <c r="I130" s="83">
        <v>0</v>
      </c>
      <c r="J130" s="83"/>
      <c r="K130" s="71"/>
      <c r="L130" s="163">
        <f>H130/C130</f>
        <v>2.703005162241888E-2</v>
      </c>
      <c r="M130" s="164">
        <f>I130/D130</f>
        <v>0</v>
      </c>
      <c r="N130" s="164" t="e">
        <f>+J130/E130</f>
        <v>#DIV/0!</v>
      </c>
      <c r="O130" s="71"/>
      <c r="P130" s="83">
        <f t="shared" ref="P130:R133" si="40">+(D130-C130)*P$8</f>
        <v>177742866</v>
      </c>
      <c r="Q130" s="83">
        <f t="shared" si="40"/>
        <v>-286222866</v>
      </c>
      <c r="R130" s="83">
        <f t="shared" si="40"/>
        <v>0</v>
      </c>
      <c r="S130" s="83">
        <f t="shared" si="23"/>
        <v>-108480000</v>
      </c>
      <c r="T130" s="89">
        <f>IF(C130=0,0,+S130/C130)</f>
        <v>-1</v>
      </c>
      <c r="U130" s="204"/>
      <c r="V130" s="208">
        <f t="shared" si="31"/>
        <v>0</v>
      </c>
    </row>
    <row r="131" spans="1:22" x14ac:dyDescent="0.2">
      <c r="A131" s="14" t="s">
        <v>177</v>
      </c>
      <c r="B131" s="20" t="s">
        <v>178</v>
      </c>
      <c r="C131" s="73"/>
      <c r="D131" s="71"/>
      <c r="E131" s="71"/>
      <c r="F131" s="71"/>
      <c r="G131" s="71"/>
      <c r="H131" s="83"/>
      <c r="I131" s="83"/>
      <c r="J131" s="83"/>
      <c r="K131" s="71"/>
      <c r="L131" s="163"/>
      <c r="M131" s="164"/>
      <c r="N131" s="164" t="e">
        <f>+J131/E131</f>
        <v>#DIV/0!</v>
      </c>
      <c r="O131" s="71"/>
      <c r="P131" s="83">
        <f t="shared" si="40"/>
        <v>0</v>
      </c>
      <c r="Q131" s="83">
        <f t="shared" si="40"/>
        <v>0</v>
      </c>
      <c r="R131" s="83">
        <f t="shared" si="40"/>
        <v>0</v>
      </c>
      <c r="S131" s="83">
        <f t="shared" si="23"/>
        <v>0</v>
      </c>
      <c r="T131" s="89">
        <f>IF(C131=0,0,+S131/C131)</f>
        <v>0</v>
      </c>
      <c r="U131" s="204"/>
      <c r="V131" s="208">
        <f t="shared" si="31"/>
        <v>0</v>
      </c>
    </row>
    <row r="132" spans="1:22" x14ac:dyDescent="0.2">
      <c r="A132" s="14" t="s">
        <v>179</v>
      </c>
      <c r="B132" s="20" t="s">
        <v>180</v>
      </c>
      <c r="C132" s="73">
        <v>0</v>
      </c>
      <c r="D132" s="71">
        <v>0</v>
      </c>
      <c r="E132" s="71">
        <v>0</v>
      </c>
      <c r="F132" s="71"/>
      <c r="G132" s="71"/>
      <c r="H132" s="83">
        <v>0</v>
      </c>
      <c r="I132" s="83"/>
      <c r="J132" s="83"/>
      <c r="K132" s="71"/>
      <c r="L132" s="163" t="e">
        <f>H132/C132</f>
        <v>#DIV/0!</v>
      </c>
      <c r="M132" s="164" t="e">
        <f>I132/D132</f>
        <v>#DIV/0!</v>
      </c>
      <c r="N132" s="164" t="e">
        <f>+J132/E132</f>
        <v>#DIV/0!</v>
      </c>
      <c r="O132" s="71"/>
      <c r="P132" s="83">
        <f t="shared" si="40"/>
        <v>0</v>
      </c>
      <c r="Q132" s="83">
        <f t="shared" si="40"/>
        <v>0</v>
      </c>
      <c r="R132" s="83">
        <f t="shared" si="40"/>
        <v>0</v>
      </c>
      <c r="S132" s="83">
        <f t="shared" si="23"/>
        <v>0</v>
      </c>
      <c r="T132" s="89">
        <f>IF(C132=0,0,+S132/C132)</f>
        <v>0</v>
      </c>
      <c r="U132" s="204"/>
      <c r="V132" s="208">
        <f t="shared" si="31"/>
        <v>0</v>
      </c>
    </row>
    <row r="133" spans="1:22" x14ac:dyDescent="0.2">
      <c r="A133" s="14" t="s">
        <v>181</v>
      </c>
      <c r="B133" s="20" t="s">
        <v>182</v>
      </c>
      <c r="C133" s="73"/>
      <c r="D133" s="71">
        <v>10464000</v>
      </c>
      <c r="E133" s="71">
        <v>0</v>
      </c>
      <c r="F133" s="71">
        <v>0</v>
      </c>
      <c r="G133" s="71"/>
      <c r="H133" s="83">
        <v>791698</v>
      </c>
      <c r="I133" s="83"/>
      <c r="J133" s="83"/>
      <c r="K133" s="71"/>
      <c r="L133" s="163"/>
      <c r="M133" s="164"/>
      <c r="N133" s="164" t="e">
        <f>+J133/E133</f>
        <v>#DIV/0!</v>
      </c>
      <c r="O133" s="71"/>
      <c r="P133" s="83">
        <f t="shared" si="40"/>
        <v>10464000</v>
      </c>
      <c r="Q133" s="83">
        <f t="shared" si="40"/>
        <v>-10464000</v>
      </c>
      <c r="R133" s="83">
        <f t="shared" si="40"/>
        <v>0</v>
      </c>
      <c r="S133" s="83">
        <f t="shared" si="23"/>
        <v>0</v>
      </c>
      <c r="T133" s="89">
        <f>IF(C133=0,0,+S133/C133)</f>
        <v>0</v>
      </c>
      <c r="U133" s="204"/>
      <c r="V133" s="208">
        <f t="shared" si="31"/>
        <v>0</v>
      </c>
    </row>
    <row r="134" spans="1:22" x14ac:dyDescent="0.2">
      <c r="C134" s="73"/>
      <c r="D134" s="71"/>
      <c r="E134" s="71"/>
      <c r="F134" s="71"/>
      <c r="G134" s="71"/>
      <c r="H134" s="83"/>
      <c r="I134" s="83"/>
      <c r="J134" s="83"/>
      <c r="K134" s="71"/>
      <c r="L134" s="163"/>
      <c r="M134" s="164"/>
      <c r="N134" s="164"/>
      <c r="O134" s="71"/>
      <c r="P134" s="83"/>
      <c r="Q134" s="83"/>
      <c r="R134" s="83"/>
      <c r="S134" s="83"/>
      <c r="T134" s="89"/>
      <c r="U134" s="204"/>
      <c r="V134" s="208">
        <f t="shared" si="31"/>
        <v>0</v>
      </c>
    </row>
    <row r="135" spans="1:22" x14ac:dyDescent="0.2">
      <c r="A135" s="4" t="s">
        <v>183</v>
      </c>
      <c r="B135" s="3" t="s">
        <v>184</v>
      </c>
      <c r="C135" s="68"/>
      <c r="D135" s="68">
        <f>SUM(D136:D143)</f>
        <v>0</v>
      </c>
      <c r="E135" s="68">
        <f>SUM(E136:E143)</f>
        <v>0</v>
      </c>
      <c r="F135" s="74"/>
      <c r="G135" s="74"/>
      <c r="H135" s="85">
        <f>SUM(H136:H143)</f>
        <v>0</v>
      </c>
      <c r="I135" s="85">
        <f>SUM(I136:I143)</f>
        <v>0</v>
      </c>
      <c r="J135" s="85"/>
      <c r="K135" s="74"/>
      <c r="L135" s="91"/>
      <c r="M135" s="87"/>
      <c r="N135" s="87" t="e">
        <f t="shared" ref="N135:N143" si="41">+J135/E135</f>
        <v>#DIV/0!</v>
      </c>
      <c r="O135" s="74"/>
      <c r="P135" s="85">
        <f>IF(D135&gt;0,+D135-C135,0)</f>
        <v>0</v>
      </c>
      <c r="Q135" s="85">
        <f>IF(E135&gt;0,+E135-D135,0)</f>
        <v>0</v>
      </c>
      <c r="R135" s="85">
        <f>IF(F135&gt;0,+F135-E135,0)</f>
        <v>0</v>
      </c>
      <c r="S135" s="85">
        <f t="shared" si="23"/>
        <v>0</v>
      </c>
      <c r="T135" s="89">
        <f t="shared" ref="T135:T143" si="42">IF(C135=0,0,+S135/C135)</f>
        <v>0</v>
      </c>
      <c r="U135" s="207"/>
      <c r="V135" s="208">
        <f t="shared" si="31"/>
        <v>0</v>
      </c>
    </row>
    <row r="136" spans="1:22" ht="25.5" x14ac:dyDescent="0.2">
      <c r="A136" s="14" t="s">
        <v>185</v>
      </c>
      <c r="B136" s="20" t="s">
        <v>186</v>
      </c>
      <c r="C136" s="73"/>
      <c r="D136" s="71"/>
      <c r="E136" s="71">
        <v>0</v>
      </c>
      <c r="F136" s="71"/>
      <c r="G136" s="71"/>
      <c r="H136" s="83"/>
      <c r="I136" s="83"/>
      <c r="J136" s="83"/>
      <c r="K136" s="71"/>
      <c r="L136" s="163"/>
      <c r="M136" s="164"/>
      <c r="N136" s="164" t="e">
        <f t="shared" si="41"/>
        <v>#DIV/0!</v>
      </c>
      <c r="O136" s="71"/>
      <c r="P136" s="83">
        <f t="shared" ref="P136:R143" si="43">+(D136-C136)*P$8</f>
        <v>0</v>
      </c>
      <c r="Q136" s="83">
        <f t="shared" si="43"/>
        <v>0</v>
      </c>
      <c r="R136" s="83">
        <f t="shared" si="43"/>
        <v>0</v>
      </c>
      <c r="S136" s="83">
        <f t="shared" si="23"/>
        <v>0</v>
      </c>
      <c r="T136" s="89">
        <f t="shared" si="42"/>
        <v>0</v>
      </c>
      <c r="U136" s="204"/>
      <c r="V136" s="208">
        <f t="shared" si="31"/>
        <v>0</v>
      </c>
    </row>
    <row r="137" spans="1:22" ht="25.5" x14ac:dyDescent="0.2">
      <c r="A137" s="14" t="s">
        <v>187</v>
      </c>
      <c r="B137" s="20" t="s">
        <v>188</v>
      </c>
      <c r="C137" s="73"/>
      <c r="D137" s="71"/>
      <c r="E137" s="71">
        <v>0</v>
      </c>
      <c r="F137" s="71"/>
      <c r="G137" s="71"/>
      <c r="H137" s="83"/>
      <c r="I137" s="83"/>
      <c r="J137" s="83"/>
      <c r="K137" s="71"/>
      <c r="L137" s="163"/>
      <c r="M137" s="164"/>
      <c r="N137" s="164" t="e">
        <f t="shared" si="41"/>
        <v>#DIV/0!</v>
      </c>
      <c r="O137" s="71"/>
      <c r="P137" s="83">
        <f t="shared" si="43"/>
        <v>0</v>
      </c>
      <c r="Q137" s="83">
        <f t="shared" si="43"/>
        <v>0</v>
      </c>
      <c r="R137" s="83">
        <f t="shared" si="43"/>
        <v>0</v>
      </c>
      <c r="S137" s="83">
        <f t="shared" si="23"/>
        <v>0</v>
      </c>
      <c r="T137" s="89">
        <f t="shared" si="42"/>
        <v>0</v>
      </c>
      <c r="U137" s="204"/>
      <c r="V137" s="208">
        <f t="shared" si="31"/>
        <v>0</v>
      </c>
    </row>
    <row r="138" spans="1:22" ht="25.5" x14ac:dyDescent="0.2">
      <c r="A138" s="14" t="s">
        <v>189</v>
      </c>
      <c r="B138" s="20" t="s">
        <v>190</v>
      </c>
      <c r="C138" s="73"/>
      <c r="D138" s="71"/>
      <c r="E138" s="71">
        <v>0</v>
      </c>
      <c r="F138" s="71"/>
      <c r="G138" s="71"/>
      <c r="H138" s="83"/>
      <c r="I138" s="83"/>
      <c r="J138" s="83"/>
      <c r="K138" s="71"/>
      <c r="L138" s="163"/>
      <c r="M138" s="164"/>
      <c r="N138" s="164" t="e">
        <f t="shared" si="41"/>
        <v>#DIV/0!</v>
      </c>
      <c r="O138" s="71"/>
      <c r="P138" s="83">
        <f t="shared" si="43"/>
        <v>0</v>
      </c>
      <c r="Q138" s="83">
        <f t="shared" si="43"/>
        <v>0</v>
      </c>
      <c r="R138" s="83">
        <f t="shared" si="43"/>
        <v>0</v>
      </c>
      <c r="S138" s="83">
        <f t="shared" si="23"/>
        <v>0</v>
      </c>
      <c r="T138" s="89">
        <f t="shared" si="42"/>
        <v>0</v>
      </c>
      <c r="U138" s="204"/>
      <c r="V138" s="208">
        <f t="shared" ref="V138:V168" si="44">+S138-E138+C138</f>
        <v>0</v>
      </c>
    </row>
    <row r="139" spans="1:22" ht="25.5" x14ac:dyDescent="0.2">
      <c r="A139" s="14" t="s">
        <v>191</v>
      </c>
      <c r="B139" s="20" t="s">
        <v>192</v>
      </c>
      <c r="C139" s="73"/>
      <c r="D139" s="71"/>
      <c r="E139" s="71">
        <v>0</v>
      </c>
      <c r="F139" s="71"/>
      <c r="G139" s="71"/>
      <c r="H139" s="83"/>
      <c r="I139" s="83"/>
      <c r="J139" s="83"/>
      <c r="K139" s="71"/>
      <c r="L139" s="163"/>
      <c r="M139" s="164"/>
      <c r="N139" s="164" t="e">
        <f t="shared" si="41"/>
        <v>#DIV/0!</v>
      </c>
      <c r="O139" s="71"/>
      <c r="P139" s="83">
        <f t="shared" si="43"/>
        <v>0</v>
      </c>
      <c r="Q139" s="83">
        <f t="shared" si="43"/>
        <v>0</v>
      </c>
      <c r="R139" s="83">
        <f t="shared" si="43"/>
        <v>0</v>
      </c>
      <c r="S139" s="83">
        <f t="shared" si="23"/>
        <v>0</v>
      </c>
      <c r="T139" s="89">
        <f t="shared" si="42"/>
        <v>0</v>
      </c>
      <c r="U139" s="204"/>
      <c r="V139" s="208">
        <f t="shared" si="44"/>
        <v>0</v>
      </c>
    </row>
    <row r="140" spans="1:22" ht="25.5" x14ac:dyDescent="0.2">
      <c r="A140" s="14" t="s">
        <v>193</v>
      </c>
      <c r="B140" s="20" t="s">
        <v>194</v>
      </c>
      <c r="C140" s="73"/>
      <c r="D140" s="71">
        <v>0</v>
      </c>
      <c r="E140" s="71">
        <v>0</v>
      </c>
      <c r="F140" s="71"/>
      <c r="G140" s="71"/>
      <c r="H140" s="83">
        <v>0</v>
      </c>
      <c r="I140" s="83">
        <v>0</v>
      </c>
      <c r="J140" s="83"/>
      <c r="K140" s="71"/>
      <c r="L140" s="163"/>
      <c r="M140" s="164"/>
      <c r="N140" s="164" t="e">
        <f t="shared" si="41"/>
        <v>#DIV/0!</v>
      </c>
      <c r="O140" s="71"/>
      <c r="P140" s="83">
        <f t="shared" si="43"/>
        <v>0</v>
      </c>
      <c r="Q140" s="83">
        <f t="shared" si="43"/>
        <v>0</v>
      </c>
      <c r="R140" s="83">
        <f t="shared" si="43"/>
        <v>0</v>
      </c>
      <c r="S140" s="83">
        <f t="shared" si="23"/>
        <v>0</v>
      </c>
      <c r="T140" s="89">
        <f t="shared" si="42"/>
        <v>0</v>
      </c>
      <c r="U140" s="204"/>
      <c r="V140" s="208">
        <f t="shared" si="44"/>
        <v>0</v>
      </c>
    </row>
    <row r="141" spans="1:22" ht="25.5" x14ac:dyDescent="0.2">
      <c r="A141" s="14" t="s">
        <v>195</v>
      </c>
      <c r="B141" s="20" t="s">
        <v>196</v>
      </c>
      <c r="C141" s="73"/>
      <c r="D141" s="71"/>
      <c r="E141" s="71">
        <v>0</v>
      </c>
      <c r="F141" s="71"/>
      <c r="G141" s="71"/>
      <c r="H141" s="83"/>
      <c r="I141" s="83"/>
      <c r="J141" s="83"/>
      <c r="K141" s="71"/>
      <c r="L141" s="163"/>
      <c r="M141" s="164"/>
      <c r="N141" s="164" t="e">
        <f t="shared" si="41"/>
        <v>#DIV/0!</v>
      </c>
      <c r="O141" s="71"/>
      <c r="P141" s="83">
        <f t="shared" si="43"/>
        <v>0</v>
      </c>
      <c r="Q141" s="83">
        <f t="shared" si="43"/>
        <v>0</v>
      </c>
      <c r="R141" s="83">
        <f t="shared" si="43"/>
        <v>0</v>
      </c>
      <c r="S141" s="83">
        <f t="shared" si="23"/>
        <v>0</v>
      </c>
      <c r="T141" s="89">
        <f t="shared" si="42"/>
        <v>0</v>
      </c>
      <c r="U141" s="204"/>
      <c r="V141" s="208">
        <f t="shared" si="44"/>
        <v>0</v>
      </c>
    </row>
    <row r="142" spans="1:22" x14ac:dyDescent="0.2">
      <c r="A142" s="14" t="s">
        <v>197</v>
      </c>
      <c r="B142" s="20" t="s">
        <v>198</v>
      </c>
      <c r="C142" s="73"/>
      <c r="D142" s="71"/>
      <c r="E142" s="71">
        <v>0</v>
      </c>
      <c r="F142" s="71"/>
      <c r="G142" s="71"/>
      <c r="H142" s="83"/>
      <c r="I142" s="83"/>
      <c r="J142" s="83"/>
      <c r="K142" s="71"/>
      <c r="L142" s="163"/>
      <c r="M142" s="164"/>
      <c r="N142" s="164" t="e">
        <f t="shared" si="41"/>
        <v>#DIV/0!</v>
      </c>
      <c r="O142" s="71"/>
      <c r="P142" s="83">
        <f t="shared" si="43"/>
        <v>0</v>
      </c>
      <c r="Q142" s="83">
        <f t="shared" si="43"/>
        <v>0</v>
      </c>
      <c r="R142" s="83">
        <f t="shared" si="43"/>
        <v>0</v>
      </c>
      <c r="S142" s="83">
        <f t="shared" si="23"/>
        <v>0</v>
      </c>
      <c r="T142" s="89">
        <f t="shared" si="42"/>
        <v>0</v>
      </c>
      <c r="U142" s="204"/>
      <c r="V142" s="208">
        <f t="shared" si="44"/>
        <v>0</v>
      </c>
    </row>
    <row r="143" spans="1:22" ht="25.5" x14ac:dyDescent="0.2">
      <c r="A143" s="14" t="s">
        <v>199</v>
      </c>
      <c r="B143" s="20" t="s">
        <v>200</v>
      </c>
      <c r="C143" s="73"/>
      <c r="D143" s="71"/>
      <c r="E143" s="71">
        <v>0</v>
      </c>
      <c r="F143" s="71"/>
      <c r="G143" s="71"/>
      <c r="H143" s="83"/>
      <c r="I143" s="83"/>
      <c r="J143" s="83"/>
      <c r="K143" s="71"/>
      <c r="L143" s="163"/>
      <c r="M143" s="164"/>
      <c r="N143" s="164" t="e">
        <f t="shared" si="41"/>
        <v>#DIV/0!</v>
      </c>
      <c r="O143" s="71"/>
      <c r="P143" s="83">
        <f t="shared" si="43"/>
        <v>0</v>
      </c>
      <c r="Q143" s="83">
        <f t="shared" si="43"/>
        <v>0</v>
      </c>
      <c r="R143" s="83">
        <f t="shared" si="43"/>
        <v>0</v>
      </c>
      <c r="S143" s="83">
        <f t="shared" si="23"/>
        <v>0</v>
      </c>
      <c r="T143" s="89">
        <f t="shared" si="42"/>
        <v>0</v>
      </c>
      <c r="U143" s="204"/>
      <c r="V143" s="208">
        <f t="shared" si="44"/>
        <v>0</v>
      </c>
    </row>
    <row r="144" spans="1:22" x14ac:dyDescent="0.2">
      <c r="C144" s="73"/>
      <c r="D144" s="71"/>
      <c r="E144" s="71"/>
      <c r="F144" s="71"/>
      <c r="G144" s="71"/>
      <c r="H144" s="83"/>
      <c r="I144" s="83"/>
      <c r="J144" s="83"/>
      <c r="K144" s="71"/>
      <c r="L144" s="163"/>
      <c r="M144" s="164"/>
      <c r="N144" s="164"/>
      <c r="O144" s="71"/>
      <c r="P144" s="83"/>
      <c r="Q144" s="83"/>
      <c r="R144" s="83"/>
      <c r="S144" s="83"/>
      <c r="T144" s="89"/>
      <c r="U144" s="204"/>
      <c r="V144" s="208">
        <f t="shared" si="44"/>
        <v>0</v>
      </c>
    </row>
    <row r="145" spans="1:22" x14ac:dyDescent="0.2">
      <c r="A145" s="4" t="s">
        <v>201</v>
      </c>
      <c r="B145" s="3" t="s">
        <v>202</v>
      </c>
      <c r="C145" s="68">
        <f>SUM(C146:C167)</f>
        <v>454166162</v>
      </c>
      <c r="D145" s="68">
        <f>SUM(D146:D167)</f>
        <v>474740182</v>
      </c>
      <c r="E145" s="68">
        <f t="shared" ref="E145:F145" si="45">SUM(E146:E166)</f>
        <v>0</v>
      </c>
      <c r="F145" s="68">
        <f t="shared" si="45"/>
        <v>0</v>
      </c>
      <c r="G145" s="68"/>
      <c r="H145" s="85">
        <f>SUM(H146:H167)</f>
        <v>254833995</v>
      </c>
      <c r="I145" s="85">
        <f>SUM(I146:I166)</f>
        <v>0</v>
      </c>
      <c r="J145" s="85">
        <f>SUM(J146:J166)</f>
        <v>0</v>
      </c>
      <c r="K145" s="68"/>
      <c r="L145" s="91">
        <f>H145/C145</f>
        <v>0.56110299780545958</v>
      </c>
      <c r="M145" s="87">
        <f>I145/D145</f>
        <v>0</v>
      </c>
      <c r="N145" s="87" t="e">
        <f t="shared" ref="N145:N166" si="46">+J145/E145</f>
        <v>#DIV/0!</v>
      </c>
      <c r="O145" s="68"/>
      <c r="P145" s="85">
        <f>IF(D145&gt;0,+D145-C145,0)</f>
        <v>20574020</v>
      </c>
      <c r="Q145" s="85">
        <f>IF(E145&gt;0,+E145-D145,0)</f>
        <v>0</v>
      </c>
      <c r="R145" s="85">
        <f>IF(F145&gt;0,+F145-E145,0)</f>
        <v>0</v>
      </c>
      <c r="S145" s="85">
        <f t="shared" ref="S145:S168" si="47">SUM(P145:R145)</f>
        <v>20574020</v>
      </c>
      <c r="T145" s="89">
        <f t="shared" ref="T145:T166" si="48">IF(C145=0,0,+S145/C145)</f>
        <v>4.5300644833156899E-2</v>
      </c>
      <c r="U145" s="206"/>
      <c r="V145" s="208">
        <f t="shared" si="44"/>
        <v>474740182</v>
      </c>
    </row>
    <row r="146" spans="1:22" x14ac:dyDescent="0.2">
      <c r="A146" s="14" t="s">
        <v>203</v>
      </c>
      <c r="B146" s="20" t="s">
        <v>204</v>
      </c>
      <c r="C146" s="73"/>
      <c r="D146" s="71"/>
      <c r="E146" s="71">
        <v>0</v>
      </c>
      <c r="F146" s="71"/>
      <c r="G146" s="71"/>
      <c r="H146" s="83"/>
      <c r="I146" s="83"/>
      <c r="J146" s="83"/>
      <c r="K146" s="71"/>
      <c r="L146" s="163"/>
      <c r="M146" s="164"/>
      <c r="N146" s="164" t="e">
        <f t="shared" si="46"/>
        <v>#DIV/0!</v>
      </c>
      <c r="O146" s="71"/>
      <c r="P146" s="83">
        <f t="shared" ref="P146:P166" si="49">+(D146-C146)*P$8</f>
        <v>0</v>
      </c>
      <c r="Q146" s="83">
        <f t="shared" ref="Q146:Q166" si="50">+(E146-D146)*Q$8</f>
        <v>0</v>
      </c>
      <c r="R146" s="83">
        <f t="shared" ref="R146:R166" si="51">+(F146-E146)*R$8</f>
        <v>0</v>
      </c>
      <c r="S146" s="83">
        <f t="shared" si="47"/>
        <v>0</v>
      </c>
      <c r="T146" s="89">
        <f t="shared" si="48"/>
        <v>0</v>
      </c>
      <c r="U146" s="204"/>
      <c r="V146" s="208">
        <f t="shared" si="44"/>
        <v>0</v>
      </c>
    </row>
    <row r="147" spans="1:22" x14ac:dyDescent="0.2">
      <c r="A147" s="14" t="s">
        <v>205</v>
      </c>
      <c r="B147" s="20" t="s">
        <v>206</v>
      </c>
      <c r="C147" s="73">
        <v>0</v>
      </c>
      <c r="D147" s="71">
        <v>0</v>
      </c>
      <c r="E147" s="71">
        <v>0</v>
      </c>
      <c r="F147" s="71"/>
      <c r="G147" s="71"/>
      <c r="H147" s="83"/>
      <c r="I147" s="83"/>
      <c r="J147" s="83"/>
      <c r="K147" s="71"/>
      <c r="L147" s="163"/>
      <c r="M147" s="164"/>
      <c r="N147" s="164" t="e">
        <f t="shared" si="46"/>
        <v>#DIV/0!</v>
      </c>
      <c r="O147" s="71"/>
      <c r="P147" s="83">
        <f t="shared" si="49"/>
        <v>0</v>
      </c>
      <c r="Q147" s="83">
        <f t="shared" si="50"/>
        <v>0</v>
      </c>
      <c r="R147" s="83">
        <f t="shared" si="51"/>
        <v>0</v>
      </c>
      <c r="S147" s="83">
        <f t="shared" si="47"/>
        <v>0</v>
      </c>
      <c r="T147" s="89">
        <f t="shared" si="48"/>
        <v>0</v>
      </c>
      <c r="U147" s="204"/>
      <c r="V147" s="208">
        <f t="shared" si="44"/>
        <v>0</v>
      </c>
    </row>
    <row r="148" spans="1:22" x14ac:dyDescent="0.2">
      <c r="A148" s="14" t="s">
        <v>207</v>
      </c>
      <c r="B148" s="20" t="s">
        <v>208</v>
      </c>
      <c r="C148" s="73"/>
      <c r="D148" s="71"/>
      <c r="E148" s="71">
        <v>0</v>
      </c>
      <c r="F148" s="71"/>
      <c r="G148" s="71"/>
      <c r="H148" s="83"/>
      <c r="I148" s="83"/>
      <c r="J148" s="83"/>
      <c r="K148" s="71"/>
      <c r="L148" s="163"/>
      <c r="M148" s="164"/>
      <c r="N148" s="164" t="e">
        <f t="shared" si="46"/>
        <v>#DIV/0!</v>
      </c>
      <c r="O148" s="71"/>
      <c r="P148" s="83">
        <f t="shared" si="49"/>
        <v>0</v>
      </c>
      <c r="Q148" s="83">
        <f t="shared" si="50"/>
        <v>0</v>
      </c>
      <c r="R148" s="83">
        <f t="shared" si="51"/>
        <v>0</v>
      </c>
      <c r="S148" s="83">
        <f t="shared" si="47"/>
        <v>0</v>
      </c>
      <c r="T148" s="89">
        <f t="shared" si="48"/>
        <v>0</v>
      </c>
      <c r="U148" s="204"/>
      <c r="V148" s="208">
        <f t="shared" si="44"/>
        <v>0</v>
      </c>
    </row>
    <row r="149" spans="1:22" ht="25.5" x14ac:dyDescent="0.2">
      <c r="A149" s="14" t="s">
        <v>209</v>
      </c>
      <c r="B149" s="20" t="s">
        <v>210</v>
      </c>
      <c r="C149" s="73"/>
      <c r="D149" s="71"/>
      <c r="E149" s="71">
        <v>0</v>
      </c>
      <c r="F149" s="71"/>
      <c r="G149" s="71"/>
      <c r="H149" s="83"/>
      <c r="I149" s="83"/>
      <c r="J149" s="83"/>
      <c r="K149" s="71"/>
      <c r="L149" s="163"/>
      <c r="M149" s="164"/>
      <c r="N149" s="164" t="e">
        <f t="shared" si="46"/>
        <v>#DIV/0!</v>
      </c>
      <c r="O149" s="71"/>
      <c r="P149" s="83">
        <f t="shared" si="49"/>
        <v>0</v>
      </c>
      <c r="Q149" s="83">
        <f t="shared" si="50"/>
        <v>0</v>
      </c>
      <c r="R149" s="83">
        <f t="shared" si="51"/>
        <v>0</v>
      </c>
      <c r="S149" s="83">
        <f t="shared" si="47"/>
        <v>0</v>
      </c>
      <c r="T149" s="89">
        <f t="shared" si="48"/>
        <v>0</v>
      </c>
      <c r="U149" s="204"/>
      <c r="V149" s="208">
        <f t="shared" si="44"/>
        <v>0</v>
      </c>
    </row>
    <row r="150" spans="1:22" ht="25.5" x14ac:dyDescent="0.2">
      <c r="B150" s="20" t="s">
        <v>211</v>
      </c>
      <c r="C150" s="73"/>
      <c r="D150" s="71"/>
      <c r="E150" s="71">
        <v>0</v>
      </c>
      <c r="F150" s="71"/>
      <c r="G150" s="71"/>
      <c r="H150" s="83"/>
      <c r="I150" s="83"/>
      <c r="J150" s="83"/>
      <c r="K150" s="71"/>
      <c r="L150" s="163"/>
      <c r="M150" s="164"/>
      <c r="N150" s="164" t="e">
        <f t="shared" si="46"/>
        <v>#DIV/0!</v>
      </c>
      <c r="O150" s="71"/>
      <c r="P150" s="83">
        <f t="shared" si="49"/>
        <v>0</v>
      </c>
      <c r="Q150" s="83">
        <f t="shared" si="50"/>
        <v>0</v>
      </c>
      <c r="R150" s="83">
        <f t="shared" si="51"/>
        <v>0</v>
      </c>
      <c r="S150" s="83">
        <f t="shared" si="47"/>
        <v>0</v>
      </c>
      <c r="T150" s="89">
        <f t="shared" si="48"/>
        <v>0</v>
      </c>
      <c r="U150" s="204"/>
      <c r="V150" s="208">
        <f t="shared" si="44"/>
        <v>0</v>
      </c>
    </row>
    <row r="151" spans="1:22" x14ac:dyDescent="0.2">
      <c r="A151" s="14" t="s">
        <v>212</v>
      </c>
      <c r="B151" s="20" t="s">
        <v>213</v>
      </c>
      <c r="C151" s="73"/>
      <c r="D151" s="71"/>
      <c r="E151" s="71">
        <v>0</v>
      </c>
      <c r="F151" s="71"/>
      <c r="G151" s="71"/>
      <c r="H151" s="83">
        <v>0</v>
      </c>
      <c r="I151" s="83"/>
      <c r="J151" s="83"/>
      <c r="K151" s="71"/>
      <c r="L151" s="163"/>
      <c r="M151" s="164"/>
      <c r="N151" s="164" t="e">
        <f t="shared" si="46"/>
        <v>#DIV/0!</v>
      </c>
      <c r="O151" s="71"/>
      <c r="P151" s="83">
        <f t="shared" si="49"/>
        <v>0</v>
      </c>
      <c r="Q151" s="83">
        <f t="shared" si="50"/>
        <v>0</v>
      </c>
      <c r="R151" s="83">
        <f t="shared" si="51"/>
        <v>0</v>
      </c>
      <c r="S151" s="83">
        <f t="shared" si="47"/>
        <v>0</v>
      </c>
      <c r="T151" s="89">
        <f t="shared" si="48"/>
        <v>0</v>
      </c>
      <c r="U151" s="204"/>
      <c r="V151" s="208">
        <f t="shared" si="44"/>
        <v>0</v>
      </c>
    </row>
    <row r="152" spans="1:22" ht="25.5" x14ac:dyDescent="0.2">
      <c r="B152" s="20" t="s">
        <v>214</v>
      </c>
      <c r="C152" s="73"/>
      <c r="D152" s="71"/>
      <c r="E152" s="71">
        <v>0</v>
      </c>
      <c r="F152" s="71"/>
      <c r="G152" s="71"/>
      <c r="H152" s="83"/>
      <c r="I152" s="83"/>
      <c r="J152" s="83"/>
      <c r="K152" s="71"/>
      <c r="L152" s="163"/>
      <c r="M152" s="164"/>
      <c r="N152" s="164" t="e">
        <f t="shared" si="46"/>
        <v>#DIV/0!</v>
      </c>
      <c r="O152" s="71"/>
      <c r="P152" s="83">
        <f t="shared" si="49"/>
        <v>0</v>
      </c>
      <c r="Q152" s="83">
        <f t="shared" si="50"/>
        <v>0</v>
      </c>
      <c r="R152" s="83">
        <f t="shared" si="51"/>
        <v>0</v>
      </c>
      <c r="S152" s="83">
        <f t="shared" si="47"/>
        <v>0</v>
      </c>
      <c r="T152" s="89">
        <f t="shared" si="48"/>
        <v>0</v>
      </c>
      <c r="U152" s="204"/>
      <c r="V152" s="208">
        <f t="shared" si="44"/>
        <v>0</v>
      </c>
    </row>
    <row r="153" spans="1:22" x14ac:dyDescent="0.2">
      <c r="A153" s="14" t="s">
        <v>215</v>
      </c>
      <c r="B153" s="20" t="s">
        <v>216</v>
      </c>
      <c r="C153" s="73"/>
      <c r="D153" s="71"/>
      <c r="E153" s="71">
        <v>0</v>
      </c>
      <c r="F153" s="71"/>
      <c r="G153" s="71"/>
      <c r="H153" s="83"/>
      <c r="I153" s="83">
        <v>0</v>
      </c>
      <c r="J153" s="83"/>
      <c r="K153" s="71"/>
      <c r="L153" s="163"/>
      <c r="M153" s="164"/>
      <c r="N153" s="164" t="e">
        <f t="shared" si="46"/>
        <v>#DIV/0!</v>
      </c>
      <c r="O153" s="71"/>
      <c r="P153" s="83">
        <f t="shared" si="49"/>
        <v>0</v>
      </c>
      <c r="Q153" s="83">
        <f t="shared" si="50"/>
        <v>0</v>
      </c>
      <c r="R153" s="83">
        <f t="shared" si="51"/>
        <v>0</v>
      </c>
      <c r="S153" s="83">
        <f t="shared" si="47"/>
        <v>0</v>
      </c>
      <c r="T153" s="89">
        <f t="shared" si="48"/>
        <v>0</v>
      </c>
      <c r="U153" s="204"/>
      <c r="V153" s="208">
        <f t="shared" si="44"/>
        <v>0</v>
      </c>
    </row>
    <row r="154" spans="1:22" x14ac:dyDescent="0.2">
      <c r="A154" s="14" t="s">
        <v>217</v>
      </c>
      <c r="B154" s="20" t="s">
        <v>218</v>
      </c>
      <c r="C154" s="73"/>
      <c r="D154" s="71"/>
      <c r="E154" s="71">
        <v>0</v>
      </c>
      <c r="F154" s="71"/>
      <c r="G154" s="71"/>
      <c r="H154" s="83"/>
      <c r="I154" s="83"/>
      <c r="J154" s="83"/>
      <c r="K154" s="71"/>
      <c r="L154" s="163"/>
      <c r="M154" s="164"/>
      <c r="N154" s="164" t="e">
        <f t="shared" si="46"/>
        <v>#DIV/0!</v>
      </c>
      <c r="O154" s="71"/>
      <c r="P154" s="83">
        <f t="shared" si="49"/>
        <v>0</v>
      </c>
      <c r="Q154" s="83">
        <f t="shared" si="50"/>
        <v>0</v>
      </c>
      <c r="R154" s="83">
        <f t="shared" si="51"/>
        <v>0</v>
      </c>
      <c r="S154" s="83">
        <f t="shared" si="47"/>
        <v>0</v>
      </c>
      <c r="T154" s="89">
        <f t="shared" si="48"/>
        <v>0</v>
      </c>
      <c r="U154" s="204"/>
      <c r="V154" s="208">
        <f t="shared" si="44"/>
        <v>0</v>
      </c>
    </row>
    <row r="155" spans="1:22" x14ac:dyDescent="0.2">
      <c r="A155" s="14" t="s">
        <v>219</v>
      </c>
      <c r="B155" s="20" t="s">
        <v>221</v>
      </c>
      <c r="C155" s="73"/>
      <c r="D155" s="71"/>
      <c r="E155" s="71">
        <v>0</v>
      </c>
      <c r="F155" s="71"/>
      <c r="G155" s="71"/>
      <c r="H155" s="83"/>
      <c r="I155" s="83"/>
      <c r="J155" s="83"/>
      <c r="K155" s="71"/>
      <c r="L155" s="163"/>
      <c r="M155" s="164"/>
      <c r="N155" s="164" t="e">
        <f t="shared" si="46"/>
        <v>#DIV/0!</v>
      </c>
      <c r="O155" s="71"/>
      <c r="P155" s="83">
        <f t="shared" si="49"/>
        <v>0</v>
      </c>
      <c r="Q155" s="83">
        <f t="shared" si="50"/>
        <v>0</v>
      </c>
      <c r="R155" s="83">
        <f t="shared" si="51"/>
        <v>0</v>
      </c>
      <c r="S155" s="83">
        <f t="shared" si="47"/>
        <v>0</v>
      </c>
      <c r="T155" s="89">
        <f t="shared" si="48"/>
        <v>0</v>
      </c>
      <c r="U155" s="204"/>
      <c r="V155" s="208">
        <f t="shared" si="44"/>
        <v>0</v>
      </c>
    </row>
    <row r="156" spans="1:22" x14ac:dyDescent="0.2">
      <c r="A156" s="14" t="s">
        <v>220</v>
      </c>
      <c r="B156" s="20" t="s">
        <v>222</v>
      </c>
      <c r="C156" s="73"/>
      <c r="D156" s="71"/>
      <c r="E156" s="71"/>
      <c r="F156" s="71"/>
      <c r="G156" s="71"/>
      <c r="H156" s="83"/>
      <c r="I156" s="83"/>
      <c r="J156" s="83"/>
      <c r="K156" s="71"/>
      <c r="L156" s="163"/>
      <c r="M156" s="164"/>
      <c r="N156" s="164" t="e">
        <f t="shared" si="46"/>
        <v>#DIV/0!</v>
      </c>
      <c r="O156" s="71"/>
      <c r="P156" s="83">
        <f t="shared" si="49"/>
        <v>0</v>
      </c>
      <c r="Q156" s="83">
        <f t="shared" si="50"/>
        <v>0</v>
      </c>
      <c r="R156" s="83">
        <f t="shared" si="51"/>
        <v>0</v>
      </c>
      <c r="S156" s="83">
        <f t="shared" si="47"/>
        <v>0</v>
      </c>
      <c r="T156" s="89">
        <f t="shared" si="48"/>
        <v>0</v>
      </c>
      <c r="U156" s="204"/>
      <c r="V156" s="208">
        <f t="shared" si="44"/>
        <v>0</v>
      </c>
    </row>
    <row r="157" spans="1:22" x14ac:dyDescent="0.2">
      <c r="A157" s="14" t="s">
        <v>223</v>
      </c>
      <c r="B157" s="20" t="s">
        <v>224</v>
      </c>
      <c r="C157" s="73"/>
      <c r="D157" s="71"/>
      <c r="E157" s="71"/>
      <c r="F157" s="71"/>
      <c r="G157" s="71"/>
      <c r="H157" s="83"/>
      <c r="I157" s="83"/>
      <c r="J157" s="83"/>
      <c r="K157" s="71"/>
      <c r="L157" s="163"/>
      <c r="M157" s="164"/>
      <c r="N157" s="164" t="e">
        <f t="shared" si="46"/>
        <v>#DIV/0!</v>
      </c>
      <c r="O157" s="71"/>
      <c r="P157" s="83">
        <f t="shared" si="49"/>
        <v>0</v>
      </c>
      <c r="Q157" s="83">
        <f t="shared" si="50"/>
        <v>0</v>
      </c>
      <c r="R157" s="83">
        <f t="shared" si="51"/>
        <v>0</v>
      </c>
      <c r="S157" s="83">
        <f t="shared" si="47"/>
        <v>0</v>
      </c>
      <c r="T157" s="89">
        <f t="shared" si="48"/>
        <v>0</v>
      </c>
      <c r="U157" s="204"/>
      <c r="V157" s="208">
        <f t="shared" si="44"/>
        <v>0</v>
      </c>
    </row>
    <row r="158" spans="1:22" x14ac:dyDescent="0.2">
      <c r="A158" s="14" t="s">
        <v>225</v>
      </c>
      <c r="B158" s="20" t="s">
        <v>226</v>
      </c>
      <c r="C158" s="73"/>
      <c r="D158" s="71"/>
      <c r="E158" s="71"/>
      <c r="F158" s="71"/>
      <c r="G158" s="71"/>
      <c r="H158" s="83"/>
      <c r="I158" s="83"/>
      <c r="J158" s="83"/>
      <c r="K158" s="71"/>
      <c r="L158" s="163"/>
      <c r="M158" s="164"/>
      <c r="N158" s="164" t="e">
        <f t="shared" si="46"/>
        <v>#DIV/0!</v>
      </c>
      <c r="O158" s="71"/>
      <c r="P158" s="83">
        <f t="shared" si="49"/>
        <v>0</v>
      </c>
      <c r="Q158" s="83">
        <f t="shared" si="50"/>
        <v>0</v>
      </c>
      <c r="R158" s="83">
        <f t="shared" si="51"/>
        <v>0</v>
      </c>
      <c r="S158" s="83">
        <f t="shared" si="47"/>
        <v>0</v>
      </c>
      <c r="T158" s="89">
        <f t="shared" si="48"/>
        <v>0</v>
      </c>
      <c r="U158" s="204"/>
      <c r="V158" s="208">
        <f t="shared" si="44"/>
        <v>0</v>
      </c>
    </row>
    <row r="159" spans="1:22" x14ac:dyDescent="0.2">
      <c r="A159" s="14" t="s">
        <v>227</v>
      </c>
      <c r="B159" s="20" t="s">
        <v>228</v>
      </c>
      <c r="C159" s="73"/>
      <c r="D159" s="71">
        <v>17121020</v>
      </c>
      <c r="E159" s="71">
        <v>0</v>
      </c>
      <c r="F159" s="71"/>
      <c r="G159" s="71"/>
      <c r="H159" s="83">
        <v>17121020</v>
      </c>
      <c r="I159" s="83">
        <v>0</v>
      </c>
      <c r="J159" s="83"/>
      <c r="K159" s="71"/>
      <c r="L159" s="163"/>
      <c r="M159" s="164"/>
      <c r="N159" s="164" t="e">
        <f t="shared" si="46"/>
        <v>#DIV/0!</v>
      </c>
      <c r="O159" s="71"/>
      <c r="P159" s="83">
        <f t="shared" si="49"/>
        <v>17121020</v>
      </c>
      <c r="Q159" s="83">
        <f t="shared" si="50"/>
        <v>-17121020</v>
      </c>
      <c r="R159" s="83">
        <f t="shared" si="51"/>
        <v>0</v>
      </c>
      <c r="S159" s="83">
        <f t="shared" si="47"/>
        <v>0</v>
      </c>
      <c r="T159" s="89">
        <f t="shared" si="48"/>
        <v>0</v>
      </c>
      <c r="U159" s="204"/>
      <c r="V159" s="208">
        <f t="shared" si="44"/>
        <v>0</v>
      </c>
    </row>
    <row r="160" spans="1:22" x14ac:dyDescent="0.2">
      <c r="B160" s="20" t="s">
        <v>229</v>
      </c>
      <c r="C160" s="73"/>
      <c r="D160" s="71"/>
      <c r="E160" s="71"/>
      <c r="F160" s="71"/>
      <c r="G160" s="71"/>
      <c r="H160" s="83"/>
      <c r="I160" s="83"/>
      <c r="J160" s="83"/>
      <c r="K160" s="71"/>
      <c r="L160" s="163"/>
      <c r="M160" s="164"/>
      <c r="N160" s="164" t="e">
        <f t="shared" si="46"/>
        <v>#DIV/0!</v>
      </c>
      <c r="O160" s="71"/>
      <c r="P160" s="83">
        <f t="shared" si="49"/>
        <v>0</v>
      </c>
      <c r="Q160" s="83">
        <f t="shared" si="50"/>
        <v>0</v>
      </c>
      <c r="R160" s="83">
        <f t="shared" si="51"/>
        <v>0</v>
      </c>
      <c r="S160" s="83">
        <f t="shared" si="47"/>
        <v>0</v>
      </c>
      <c r="T160" s="89">
        <f t="shared" si="48"/>
        <v>0</v>
      </c>
      <c r="U160" s="204"/>
      <c r="V160" s="208">
        <f t="shared" si="44"/>
        <v>0</v>
      </c>
    </row>
    <row r="161" spans="1:22" x14ac:dyDescent="0.2">
      <c r="A161" s="560" t="s">
        <v>230</v>
      </c>
      <c r="B161" s="513" t="s">
        <v>231</v>
      </c>
      <c r="C161" s="149">
        <f>+'4. Dr Gáspár HSZK'!C100+'5. Csicsergő'!C100+'6. Gólyahír'!C100+'7. Polg.Hiv.'!C100+'8. WAMKK'!C100+'9. Közp. Konyha'!C100</f>
        <v>454166162</v>
      </c>
      <c r="D161" s="150">
        <v>457619162</v>
      </c>
      <c r="E161" s="187">
        <v>0</v>
      </c>
      <c r="F161" s="71"/>
      <c r="G161" s="71"/>
      <c r="H161" s="83">
        <v>237712975</v>
      </c>
      <c r="I161" s="83">
        <v>0</v>
      </c>
      <c r="J161" s="83"/>
      <c r="K161" s="71"/>
      <c r="L161" s="163">
        <f>H161/C161</f>
        <v>0.52340529720045503</v>
      </c>
      <c r="M161" s="164">
        <f>I161/D161</f>
        <v>0</v>
      </c>
      <c r="N161" s="164" t="e">
        <f t="shared" si="46"/>
        <v>#DIV/0!</v>
      </c>
      <c r="O161" s="71"/>
      <c r="P161" s="83">
        <f t="shared" si="49"/>
        <v>3453000</v>
      </c>
      <c r="Q161" s="83">
        <f t="shared" si="50"/>
        <v>-457619162</v>
      </c>
      <c r="R161" s="83">
        <f t="shared" si="51"/>
        <v>0</v>
      </c>
      <c r="S161" s="83">
        <f t="shared" si="47"/>
        <v>-454166162</v>
      </c>
      <c r="T161" s="89">
        <f t="shared" si="48"/>
        <v>-1</v>
      </c>
      <c r="U161" s="204"/>
      <c r="V161" s="208">
        <f t="shared" si="44"/>
        <v>0</v>
      </c>
    </row>
    <row r="162" spans="1:22" x14ac:dyDescent="0.2">
      <c r="B162" s="20" t="s">
        <v>232</v>
      </c>
      <c r="C162" s="73"/>
      <c r="D162" s="71"/>
      <c r="E162" s="71"/>
      <c r="F162" s="71"/>
      <c r="G162" s="71"/>
      <c r="H162" s="83"/>
      <c r="I162" s="83"/>
      <c r="J162" s="83"/>
      <c r="K162" s="71"/>
      <c r="L162" s="163"/>
      <c r="M162" s="164"/>
      <c r="N162" s="164" t="e">
        <f t="shared" si="46"/>
        <v>#DIV/0!</v>
      </c>
      <c r="O162" s="71"/>
      <c r="P162" s="83">
        <f t="shared" si="49"/>
        <v>0</v>
      </c>
      <c r="Q162" s="83">
        <f t="shared" si="50"/>
        <v>0</v>
      </c>
      <c r="R162" s="83">
        <f t="shared" si="51"/>
        <v>0</v>
      </c>
      <c r="S162" s="83">
        <f t="shared" si="47"/>
        <v>0</v>
      </c>
      <c r="T162" s="89">
        <f t="shared" si="48"/>
        <v>0</v>
      </c>
      <c r="U162" s="204"/>
      <c r="V162" s="208">
        <f t="shared" si="44"/>
        <v>0</v>
      </c>
    </row>
    <row r="163" spans="1:22" x14ac:dyDescent="0.2">
      <c r="A163" s="14" t="s">
        <v>233</v>
      </c>
      <c r="B163" s="20" t="s">
        <v>234</v>
      </c>
      <c r="C163" s="73"/>
      <c r="D163" s="71"/>
      <c r="E163" s="71"/>
      <c r="F163" s="71"/>
      <c r="G163" s="71"/>
      <c r="H163" s="83"/>
      <c r="I163" s="83"/>
      <c r="J163" s="83"/>
      <c r="K163" s="71"/>
      <c r="L163" s="163"/>
      <c r="M163" s="164"/>
      <c r="N163" s="164" t="e">
        <f t="shared" si="46"/>
        <v>#DIV/0!</v>
      </c>
      <c r="O163" s="71"/>
      <c r="P163" s="83">
        <f t="shared" si="49"/>
        <v>0</v>
      </c>
      <c r="Q163" s="83">
        <f t="shared" si="50"/>
        <v>0</v>
      </c>
      <c r="R163" s="83">
        <f t="shared" si="51"/>
        <v>0</v>
      </c>
      <c r="S163" s="83">
        <f t="shared" si="47"/>
        <v>0</v>
      </c>
      <c r="T163" s="89">
        <f t="shared" si="48"/>
        <v>0</v>
      </c>
      <c r="U163" s="204"/>
      <c r="V163" s="208">
        <f t="shared" si="44"/>
        <v>0</v>
      </c>
    </row>
    <row r="164" spans="1:22" x14ac:dyDescent="0.2">
      <c r="A164" s="14" t="s">
        <v>235</v>
      </c>
      <c r="B164" s="20" t="s">
        <v>236</v>
      </c>
      <c r="C164" s="73"/>
      <c r="D164" s="71"/>
      <c r="E164" s="71"/>
      <c r="F164" s="71"/>
      <c r="G164" s="71"/>
      <c r="H164" s="83"/>
      <c r="I164" s="83"/>
      <c r="J164" s="83"/>
      <c r="K164" s="71"/>
      <c r="L164" s="163"/>
      <c r="M164" s="164"/>
      <c r="N164" s="164" t="e">
        <f t="shared" si="46"/>
        <v>#DIV/0!</v>
      </c>
      <c r="O164" s="71"/>
      <c r="P164" s="83">
        <f t="shared" si="49"/>
        <v>0</v>
      </c>
      <c r="Q164" s="83">
        <f t="shared" si="50"/>
        <v>0</v>
      </c>
      <c r="R164" s="83">
        <f t="shared" si="51"/>
        <v>0</v>
      </c>
      <c r="S164" s="83">
        <f t="shared" si="47"/>
        <v>0</v>
      </c>
      <c r="T164" s="89">
        <f t="shared" si="48"/>
        <v>0</v>
      </c>
      <c r="U164" s="204"/>
      <c r="V164" s="208">
        <f t="shared" si="44"/>
        <v>0</v>
      </c>
    </row>
    <row r="165" spans="1:22" x14ac:dyDescent="0.2">
      <c r="A165" s="14" t="s">
        <v>237</v>
      </c>
      <c r="B165" s="20" t="s">
        <v>238</v>
      </c>
      <c r="C165" s="73"/>
      <c r="D165" s="71"/>
      <c r="E165" s="71"/>
      <c r="F165" s="71"/>
      <c r="G165" s="71"/>
      <c r="H165" s="83"/>
      <c r="I165" s="83"/>
      <c r="J165" s="83"/>
      <c r="K165" s="71"/>
      <c r="L165" s="163"/>
      <c r="M165" s="164"/>
      <c r="N165" s="164" t="e">
        <f t="shared" si="46"/>
        <v>#DIV/0!</v>
      </c>
      <c r="O165" s="71"/>
      <c r="P165" s="83">
        <f t="shared" si="49"/>
        <v>0</v>
      </c>
      <c r="Q165" s="83">
        <f t="shared" si="50"/>
        <v>0</v>
      </c>
      <c r="R165" s="83">
        <f t="shared" si="51"/>
        <v>0</v>
      </c>
      <c r="S165" s="83">
        <f t="shared" si="47"/>
        <v>0</v>
      </c>
      <c r="T165" s="89">
        <f t="shared" si="48"/>
        <v>0</v>
      </c>
      <c r="U165" s="204"/>
      <c r="V165" s="208">
        <f t="shared" si="44"/>
        <v>0</v>
      </c>
    </row>
    <row r="166" spans="1:22" x14ac:dyDescent="0.2">
      <c r="A166" s="14" t="s">
        <v>239</v>
      </c>
      <c r="B166" s="20" t="s">
        <v>240</v>
      </c>
      <c r="C166" s="73"/>
      <c r="D166" s="71"/>
      <c r="E166" s="71"/>
      <c r="F166" s="71"/>
      <c r="G166" s="71"/>
      <c r="H166" s="83"/>
      <c r="I166" s="83"/>
      <c r="J166" s="83"/>
      <c r="K166" s="71"/>
      <c r="L166" s="163"/>
      <c r="M166" s="164"/>
      <c r="N166" s="164" t="e">
        <f t="shared" si="46"/>
        <v>#DIV/0!</v>
      </c>
      <c r="O166" s="71"/>
      <c r="P166" s="83">
        <f t="shared" si="49"/>
        <v>0</v>
      </c>
      <c r="Q166" s="83">
        <f t="shared" si="50"/>
        <v>0</v>
      </c>
      <c r="R166" s="83">
        <f t="shared" si="51"/>
        <v>0</v>
      </c>
      <c r="S166" s="83">
        <f t="shared" si="47"/>
        <v>0</v>
      </c>
      <c r="T166" s="89">
        <f t="shared" si="48"/>
        <v>0</v>
      </c>
      <c r="U166" s="204"/>
      <c r="V166" s="208">
        <f t="shared" si="44"/>
        <v>0</v>
      </c>
    </row>
    <row r="167" spans="1:22" x14ac:dyDescent="0.2">
      <c r="C167" s="73"/>
      <c r="D167" s="71"/>
      <c r="E167" s="71"/>
      <c r="F167" s="71"/>
      <c r="G167" s="71"/>
      <c r="H167" s="83"/>
      <c r="I167" s="83"/>
      <c r="J167" s="83"/>
      <c r="K167" s="71"/>
      <c r="L167" s="163"/>
      <c r="M167" s="164"/>
      <c r="N167" s="164"/>
      <c r="O167" s="71"/>
      <c r="P167" s="83"/>
      <c r="Q167" s="83"/>
      <c r="R167" s="83"/>
      <c r="S167" s="83"/>
      <c r="T167" s="89"/>
      <c r="U167" s="204"/>
      <c r="V167" s="208">
        <f t="shared" si="44"/>
        <v>0</v>
      </c>
    </row>
    <row r="168" spans="1:22" x14ac:dyDescent="0.2">
      <c r="A168" s="4"/>
      <c r="B168" s="3" t="s">
        <v>104</v>
      </c>
      <c r="C168" s="68">
        <f>C13+C29+C32+C81+C106+C120+C129+C135+C145</f>
        <v>1203415087</v>
      </c>
      <c r="D168" s="68">
        <f>D13+D29+D32+D81+D106+D120+D129+D135+D145</f>
        <v>1637706800</v>
      </c>
      <c r="E168" s="68">
        <f>E13+E29+E32+E81+E106+E120+E129+E135+E145</f>
        <v>0</v>
      </c>
      <c r="F168" s="68">
        <f>F13+F29+F32+F81+F106+F120+F129+F135+F145</f>
        <v>0</v>
      </c>
      <c r="G168" s="68"/>
      <c r="H168" s="85">
        <f t="shared" ref="H168" si="52">H13+H29+H32+H81+H106+H120+H129+H135+H145</f>
        <v>516926386</v>
      </c>
      <c r="I168" s="85">
        <f>I13+I29+I32+I81+I106+I120+I129+I135+I145</f>
        <v>0</v>
      </c>
      <c r="J168" s="85">
        <f>J13+J29+J32+J81+J106+J120+J129+J135+J145</f>
        <v>0</v>
      </c>
      <c r="K168" s="68"/>
      <c r="L168" s="91">
        <f>H168/C168</f>
        <v>0.42954953081787317</v>
      </c>
      <c r="M168" s="87">
        <f>I168/D168</f>
        <v>0</v>
      </c>
      <c r="N168" s="87" t="e">
        <f>+J168/E168</f>
        <v>#DIV/0!</v>
      </c>
      <c r="O168" s="68"/>
      <c r="P168" s="85">
        <f>IF(D168&gt;0,+D168-C168,0)</f>
        <v>434291713</v>
      </c>
      <c r="Q168" s="85">
        <f>IF(E168&gt;0,+E168-D168,0)</f>
        <v>0</v>
      </c>
      <c r="R168" s="85">
        <f>IF(F168&gt;0,+F168-E168,0)</f>
        <v>0</v>
      </c>
      <c r="S168" s="85">
        <f t="shared" si="47"/>
        <v>434291713</v>
      </c>
      <c r="T168" s="89">
        <f>IF(C168=0,0,+S168/C168)</f>
        <v>0.36088272258797099</v>
      </c>
      <c r="U168" s="206"/>
      <c r="V168" s="209">
        <f t="shared" si="44"/>
        <v>1637706800</v>
      </c>
    </row>
    <row r="169" spans="1:22" x14ac:dyDescent="0.2">
      <c r="A169" s="22"/>
      <c r="B169" s="22"/>
      <c r="C169" s="75"/>
      <c r="D169" s="76"/>
      <c r="E169" s="76"/>
      <c r="F169" s="76"/>
      <c r="G169" s="76"/>
      <c r="H169" s="86"/>
      <c r="I169" s="86"/>
      <c r="J169" s="86"/>
      <c r="K169" s="76"/>
      <c r="L169" s="92"/>
      <c r="M169" s="88"/>
      <c r="N169" s="88"/>
      <c r="O169" s="76"/>
      <c r="P169" s="86"/>
      <c r="Q169" s="86"/>
      <c r="R169" s="86"/>
      <c r="S169" s="86"/>
      <c r="T169" s="90"/>
      <c r="U169" s="76"/>
    </row>
    <row r="170" spans="1:22" hidden="1" x14ac:dyDescent="0.2">
      <c r="A170" s="22"/>
      <c r="B170" s="22"/>
      <c r="C170" s="75"/>
      <c r="D170" s="77"/>
      <c r="F170" s="76">
        <f>' 2. Önk. Bevételek'!M96-'3. Önk. Kiadások'!F168</f>
        <v>0</v>
      </c>
      <c r="G170" s="76"/>
      <c r="H170" s="75"/>
      <c r="K170" s="76"/>
      <c r="L170" s="93"/>
      <c r="M170" s="88"/>
      <c r="N170" s="88"/>
      <c r="O170" s="76"/>
      <c r="P170" s="75"/>
      <c r="Q170" s="75"/>
      <c r="R170" s="75"/>
      <c r="S170" s="75"/>
      <c r="T170" s="90"/>
      <c r="U170" s="76"/>
    </row>
    <row r="171" spans="1:22" hidden="1" x14ac:dyDescent="0.2">
      <c r="A171" s="22"/>
      <c r="B171" s="22"/>
      <c r="C171" s="75"/>
      <c r="D171" s="77" t="s">
        <v>450</v>
      </c>
      <c r="E171" s="76">
        <f>' 2. Önk. Bevételek'!E96-'3. Önk. Kiadások'!E168</f>
        <v>0</v>
      </c>
      <c r="F171" s="76"/>
      <c r="G171" s="76"/>
      <c r="H171" s="75"/>
      <c r="I171" s="293" t="e">
        <f>36792991*0+'4. Dr Gáspár HSZK'!I100+'5. Csicsergő'!I100+'6. Gólyahír'!I100+'7. Polg.Hiv.'!M100+'8. WAMKK'!M100+'9. Közp. Konyha'!M100</f>
        <v>#DIV/0!</v>
      </c>
      <c r="K171" s="76"/>
      <c r="L171" s="92"/>
      <c r="M171" s="88"/>
      <c r="N171" s="88"/>
      <c r="O171" s="76"/>
      <c r="P171" s="75"/>
      <c r="Q171" s="75"/>
      <c r="R171" s="75"/>
      <c r="S171" s="75"/>
      <c r="T171" s="90"/>
      <c r="U171" s="76"/>
    </row>
    <row r="172" spans="1:22" hidden="1" x14ac:dyDescent="0.2">
      <c r="A172" s="22"/>
      <c r="B172" s="58" t="s">
        <v>406</v>
      </c>
      <c r="C172" s="75"/>
      <c r="D172" s="75"/>
      <c r="E172" s="76"/>
      <c r="F172" s="76"/>
      <c r="G172" s="76"/>
      <c r="H172" s="75"/>
      <c r="I172" s="22"/>
      <c r="J172" s="22"/>
      <c r="K172" s="76"/>
      <c r="L172" s="93"/>
      <c r="M172" s="88"/>
      <c r="N172" s="88"/>
      <c r="O172" s="76"/>
      <c r="P172" s="75"/>
      <c r="Q172" s="75"/>
      <c r="R172" s="75"/>
      <c r="S172" s="75"/>
      <c r="U172" s="76"/>
    </row>
    <row r="173" spans="1:22" hidden="1" x14ac:dyDescent="0.2">
      <c r="A173" s="22"/>
      <c r="B173" s="22"/>
      <c r="C173" s="75"/>
      <c r="D173" s="76"/>
      <c r="E173" s="76"/>
      <c r="F173" s="76"/>
      <c r="G173" s="76"/>
      <c r="H173" s="75"/>
      <c r="K173" s="76"/>
      <c r="L173" s="93"/>
      <c r="M173" s="88"/>
      <c r="O173" s="76"/>
      <c r="P173" s="75"/>
      <c r="Q173" s="75"/>
      <c r="R173" s="75"/>
      <c r="S173" s="75"/>
      <c r="U173" s="76"/>
    </row>
    <row r="174" spans="1:22" hidden="1" x14ac:dyDescent="0.2">
      <c r="A174" s="22"/>
      <c r="B174" s="58" t="s">
        <v>407</v>
      </c>
      <c r="C174" s="75"/>
      <c r="D174" s="76"/>
      <c r="E174" s="76"/>
      <c r="F174" s="76"/>
      <c r="G174" s="76"/>
      <c r="H174" s="75"/>
      <c r="K174" s="76"/>
      <c r="L174" s="93"/>
      <c r="M174" s="88"/>
      <c r="O174" s="76"/>
      <c r="P174" s="75"/>
      <c r="Q174" s="75"/>
      <c r="R174" s="75"/>
      <c r="S174" s="75"/>
      <c r="U174" s="76"/>
    </row>
    <row r="175" spans="1:22" hidden="1" x14ac:dyDescent="0.2">
      <c r="A175" s="22"/>
      <c r="B175" s="22"/>
      <c r="C175" s="75"/>
      <c r="D175" s="77"/>
      <c r="E175" s="76"/>
      <c r="F175" s="76"/>
      <c r="G175" s="76"/>
      <c r="H175" s="75"/>
      <c r="K175" s="76"/>
      <c r="L175" s="93"/>
      <c r="M175" s="88"/>
      <c r="O175" s="76"/>
      <c r="P175" s="75"/>
      <c r="Q175" s="75"/>
      <c r="R175" s="75"/>
      <c r="S175" s="75"/>
      <c r="U175" s="76"/>
    </row>
    <row r="176" spans="1:22" hidden="1" x14ac:dyDescent="0.2">
      <c r="A176" s="22"/>
      <c r="B176" s="22"/>
      <c r="C176" s="75"/>
      <c r="D176" s="76"/>
      <c r="E176" s="76"/>
      <c r="F176" s="76"/>
      <c r="G176" s="76"/>
      <c r="H176" s="75"/>
      <c r="K176" s="76"/>
      <c r="L176" s="93"/>
      <c r="M176" s="88"/>
      <c r="O176" s="76"/>
      <c r="P176" s="75"/>
      <c r="Q176" s="75"/>
      <c r="R176" s="75"/>
      <c r="S176" s="75"/>
      <c r="U176" s="76"/>
    </row>
    <row r="177" spans="1:21" hidden="1" x14ac:dyDescent="0.2">
      <c r="A177" s="22"/>
      <c r="B177" s="22"/>
      <c r="C177" s="75"/>
      <c r="D177" s="76"/>
      <c r="E177" s="76"/>
      <c r="F177" s="76"/>
      <c r="G177" s="76"/>
      <c r="H177" s="75"/>
      <c r="K177" s="76"/>
      <c r="L177" s="93"/>
      <c r="M177" s="88"/>
      <c r="O177" s="76"/>
      <c r="P177" s="75"/>
      <c r="Q177" s="75"/>
      <c r="R177" s="75"/>
      <c r="S177" s="75"/>
      <c r="U177" s="76"/>
    </row>
    <row r="178" spans="1:21" hidden="1" x14ac:dyDescent="0.2">
      <c r="A178" s="346" t="s">
        <v>442</v>
      </c>
      <c r="B178" s="22"/>
      <c r="C178" s="75"/>
      <c r="D178" s="77"/>
      <c r="E178" s="76"/>
      <c r="F178" s="76"/>
      <c r="G178" s="76"/>
      <c r="H178" s="75"/>
      <c r="K178" s="76"/>
      <c r="L178" s="93"/>
      <c r="M178" s="88"/>
      <c r="O178" s="76"/>
      <c r="P178" s="75"/>
      <c r="Q178" s="75"/>
      <c r="R178" s="75"/>
      <c r="S178" s="75"/>
      <c r="U178" s="76"/>
    </row>
    <row r="179" spans="1:21" hidden="1" x14ac:dyDescent="0.2">
      <c r="A179" s="345" t="s">
        <v>440</v>
      </c>
      <c r="B179" s="58" t="str">
        <f>+'4. Dr Gáspár HSZK'!A1</f>
        <v>Dr. Gáspár István HSZK</v>
      </c>
      <c r="C179" s="75">
        <f>+'4. Dr Gáspár HSZK'!C5</f>
        <v>36750000</v>
      </c>
      <c r="D179" s="75">
        <f>+'4. Dr Gáspár HSZK'!D5</f>
        <v>37159000</v>
      </c>
      <c r="E179" s="75">
        <f>+'4. Dr Gáspár HSZK'!E5</f>
        <v>0</v>
      </c>
      <c r="F179" s="75">
        <f>+'4. Dr Gáspár HSZK'!F5</f>
        <v>0</v>
      </c>
      <c r="G179" s="75"/>
      <c r="H179" s="75">
        <f>+'4. Dr Gáspár HSZK'!H5</f>
        <v>17640024</v>
      </c>
      <c r="I179" s="75">
        <f>+'4. Dr Gáspár HSZK'!I5</f>
        <v>0</v>
      </c>
      <c r="J179" s="75">
        <f>+'4. Dr Gáspár HSZK'!J5</f>
        <v>0</v>
      </c>
      <c r="K179" s="75">
        <f>+'4. Dr Gáspár HSZK'!K5</f>
        <v>0</v>
      </c>
      <c r="L179" s="75"/>
      <c r="M179" s="75"/>
      <c r="N179" s="75"/>
      <c r="O179" s="75">
        <f>+'4. Dr Gáspár HSZK'!O5</f>
        <v>0</v>
      </c>
      <c r="P179" s="75">
        <f>+'4. Dr Gáspár HSZK'!P5</f>
        <v>409000</v>
      </c>
      <c r="Q179" s="75">
        <f>+'4. Dr Gáspár HSZK'!Q5</f>
        <v>-37159000</v>
      </c>
      <c r="R179" s="75">
        <f>+'4. Dr Gáspár HSZK'!R5</f>
        <v>0</v>
      </c>
      <c r="S179" s="75">
        <f>+'4. Dr Gáspár HSZK'!S5</f>
        <v>-36750000</v>
      </c>
      <c r="U179" s="76"/>
    </row>
    <row r="180" spans="1:21" hidden="1" x14ac:dyDescent="0.2">
      <c r="A180" s="22"/>
      <c r="B180" s="58" t="str">
        <f>+'5. Csicsergő'!A1</f>
        <v>SÜLYSÁPI CSICSERGŐ ÓVODA</v>
      </c>
      <c r="C180" s="75">
        <f>+'5. Csicsergő'!C5</f>
        <v>171876100</v>
      </c>
      <c r="D180" s="75">
        <f>+'5. Csicsergő'!D5</f>
        <v>173326100</v>
      </c>
      <c r="E180" s="75">
        <f>+'5. Csicsergő'!E5</f>
        <v>0</v>
      </c>
      <c r="F180" s="75">
        <f>+'5. Csicsergő'!F5</f>
        <v>0</v>
      </c>
      <c r="G180" s="75"/>
      <c r="H180" s="75">
        <f>+'5. Csicsergő'!H5</f>
        <v>87833991</v>
      </c>
      <c r="I180" s="75">
        <f>+'5. Csicsergő'!I5</f>
        <v>0</v>
      </c>
      <c r="J180" s="75">
        <f>+'5. Csicsergő'!J5</f>
        <v>0</v>
      </c>
      <c r="K180" s="75">
        <f>+'5. Csicsergő'!K5</f>
        <v>0</v>
      </c>
      <c r="L180" s="75"/>
      <c r="M180" s="75"/>
      <c r="N180" s="75"/>
      <c r="O180" s="75">
        <f>+'5. Csicsergő'!O5</f>
        <v>0</v>
      </c>
      <c r="P180" s="75">
        <f>+'5. Csicsergő'!P5</f>
        <v>1450000</v>
      </c>
      <c r="Q180" s="75">
        <f>+'5. Csicsergő'!Q5</f>
        <v>-173326100</v>
      </c>
      <c r="R180" s="75">
        <f>+'5. Csicsergő'!R5</f>
        <v>0</v>
      </c>
      <c r="S180" s="75">
        <f>+'5. Csicsergő'!S5</f>
        <v>-171876100</v>
      </c>
      <c r="U180" s="76"/>
    </row>
    <row r="181" spans="1:21" hidden="1" x14ac:dyDescent="0.2">
      <c r="A181" s="22"/>
      <c r="B181" s="22" t="str">
        <f>+'6. Gólyahír'!A1</f>
        <v>GÓLYAHÍR BÖLCSŐDE</v>
      </c>
      <c r="C181" s="75">
        <f>+'6. Gólyahír'!C5</f>
        <v>54963000</v>
      </c>
      <c r="D181" s="75">
        <f>+'6. Gólyahír'!D5</f>
        <v>54963000</v>
      </c>
      <c r="E181" s="75">
        <f>+'6. Gólyahír'!E5</f>
        <v>0</v>
      </c>
      <c r="F181" s="75">
        <f>+'6. Gólyahír'!F5</f>
        <v>0</v>
      </c>
      <c r="G181" s="75"/>
      <c r="H181" s="75">
        <f>+'6. Gólyahír'!H5</f>
        <v>25355939</v>
      </c>
      <c r="I181" s="75">
        <f>+'6. Gólyahír'!I5</f>
        <v>0</v>
      </c>
      <c r="J181" s="75">
        <f>+'6. Gólyahír'!J5</f>
        <v>0</v>
      </c>
      <c r="K181" s="75">
        <f>+'6. Gólyahír'!K5</f>
        <v>0</v>
      </c>
      <c r="L181" s="75"/>
      <c r="M181" s="75"/>
      <c r="N181" s="75"/>
      <c r="O181" s="75">
        <f>+'6. Gólyahír'!O5</f>
        <v>0</v>
      </c>
      <c r="P181" s="75">
        <f>+'6. Gólyahír'!P5</f>
        <v>0</v>
      </c>
      <c r="Q181" s="75">
        <f>+'6. Gólyahír'!Q5</f>
        <v>-54963000</v>
      </c>
      <c r="R181" s="75">
        <f>+'6. Gólyahír'!R5</f>
        <v>0</v>
      </c>
      <c r="S181" s="75">
        <f>+'6. Gólyahír'!S5</f>
        <v>-54963000</v>
      </c>
      <c r="U181" s="76"/>
    </row>
    <row r="182" spans="1:21" hidden="1" x14ac:dyDescent="0.2">
      <c r="A182" s="22"/>
      <c r="B182" s="75" t="str">
        <f>+'7. Polg.Hiv.'!A1</f>
        <v>POLGÁRMESTERI HIVATAL</v>
      </c>
      <c r="C182" s="75">
        <f>+'7. Polg.Hiv.'!C5</f>
        <v>113342899</v>
      </c>
      <c r="D182" s="75">
        <f>+'7. Polg.Hiv.'!D5</f>
        <v>113342899</v>
      </c>
      <c r="E182" s="75">
        <f>+'7. Polg.Hiv.'!E5</f>
        <v>0</v>
      </c>
      <c r="F182" s="75">
        <f>+'7. Polg.Hiv.'!F5</f>
        <v>0</v>
      </c>
      <c r="G182" s="75"/>
      <c r="H182" s="75">
        <f>+'7. Polg.Hiv.'!H5</f>
        <v>53128260</v>
      </c>
      <c r="I182" s="75">
        <f>+'7. Polg.Hiv.'!I5</f>
        <v>0</v>
      </c>
      <c r="J182" s="75">
        <f>+'7. Polg.Hiv.'!J5</f>
        <v>0</v>
      </c>
      <c r="K182" s="75">
        <f>+'7. Polg.Hiv.'!K5</f>
        <v>0</v>
      </c>
      <c r="L182" s="75"/>
      <c r="M182" s="75"/>
      <c r="N182" s="75"/>
      <c r="O182" s="75">
        <f>+'7. Polg.Hiv.'!O5</f>
        <v>0</v>
      </c>
      <c r="P182" s="75">
        <f>+'7. Polg.Hiv.'!P5</f>
        <v>0</v>
      </c>
      <c r="Q182" s="75">
        <f>+'7. Polg.Hiv.'!Q5</f>
        <v>-113342899</v>
      </c>
      <c r="R182" s="75">
        <f>+'7. Polg.Hiv.'!R5</f>
        <v>0</v>
      </c>
      <c r="S182" s="75">
        <f>+'7. Polg.Hiv.'!S5</f>
        <v>-113342899</v>
      </c>
      <c r="U182" s="76"/>
    </row>
    <row r="183" spans="1:21" hidden="1" x14ac:dyDescent="0.2">
      <c r="A183" s="22"/>
      <c r="B183" s="75" t="str">
        <f>+'8. WAMKK'!A1</f>
        <v>Wass Albert Művelődési Központ és Könyvtár</v>
      </c>
      <c r="C183" s="75">
        <f>+'8. WAMKK'!C5</f>
        <v>31145000</v>
      </c>
      <c r="D183" s="75">
        <f>+'8. WAMKK'!D5</f>
        <v>32745000</v>
      </c>
      <c r="E183" s="75">
        <f>+'8. WAMKK'!E5</f>
        <v>0</v>
      </c>
      <c r="F183" s="75">
        <f>+'8. WAMKK'!F5</f>
        <v>0</v>
      </c>
      <c r="G183" s="75"/>
      <c r="H183" s="75">
        <f>+'8. WAMKK'!H5</f>
        <v>14585841</v>
      </c>
      <c r="I183" s="75">
        <f>+'8. WAMKK'!I5</f>
        <v>0</v>
      </c>
      <c r="J183" s="75">
        <f>+'8. WAMKK'!J5</f>
        <v>0</v>
      </c>
      <c r="K183" s="75">
        <f>+'8. WAMKK'!K5</f>
        <v>0</v>
      </c>
      <c r="L183" s="75"/>
      <c r="M183" s="75"/>
      <c r="N183" s="75"/>
      <c r="O183" s="75">
        <f>+'8. WAMKK'!O5</f>
        <v>0</v>
      </c>
      <c r="P183" s="75">
        <f>+'8. WAMKK'!P5</f>
        <v>1600000</v>
      </c>
      <c r="Q183" s="75">
        <f>+'8. WAMKK'!Q5</f>
        <v>-32745000</v>
      </c>
      <c r="R183" s="75">
        <f>+'8. WAMKK'!R5</f>
        <v>0</v>
      </c>
      <c r="S183" s="75">
        <f>+'8. WAMKK'!S5</f>
        <v>-31145000</v>
      </c>
      <c r="U183" s="76"/>
    </row>
    <row r="184" spans="1:21" hidden="1" x14ac:dyDescent="0.2">
      <c r="A184" s="22"/>
      <c r="B184" s="75" t="str">
        <f>+'9. Közp. Konyha'!A1</f>
        <v>Központi Konyha</v>
      </c>
      <c r="C184" s="75">
        <f>+'9. Közp. Konyha'!C5</f>
        <v>98992000</v>
      </c>
      <c r="D184" s="75">
        <f>+'9. Közp. Konyha'!D5</f>
        <v>98992000</v>
      </c>
      <c r="E184" s="75">
        <f>+'9. Közp. Konyha'!E5</f>
        <v>0</v>
      </c>
      <c r="F184" s="75">
        <f>+'9. Közp. Konyha'!F5</f>
        <v>0</v>
      </c>
      <c r="G184" s="75"/>
      <c r="H184" s="75">
        <f>+'9. Közp. Konyha'!H5</f>
        <v>50787336</v>
      </c>
      <c r="I184" s="75">
        <f>+'9. Közp. Konyha'!I5</f>
        <v>0</v>
      </c>
      <c r="J184" s="75">
        <f>+'9. Közp. Konyha'!J5</f>
        <v>0</v>
      </c>
      <c r="K184" s="75">
        <f>+'9. Közp. Konyha'!K5</f>
        <v>0</v>
      </c>
      <c r="L184" s="75"/>
      <c r="M184" s="75"/>
      <c r="N184" s="75"/>
      <c r="O184" s="75">
        <f>+'9. Közp. Konyha'!O5</f>
        <v>0</v>
      </c>
      <c r="P184" s="75">
        <f>+'9. Közp. Konyha'!P5</f>
        <v>0</v>
      </c>
      <c r="Q184" s="75">
        <f>+'9. Közp. Konyha'!Q5</f>
        <v>-98992000</v>
      </c>
      <c r="R184" s="75">
        <f>+'9. Közp. Konyha'!R5</f>
        <v>0</v>
      </c>
      <c r="S184" s="75">
        <f>+'9. Közp. Konyha'!S5</f>
        <v>-98992000</v>
      </c>
      <c r="U184" s="76"/>
    </row>
    <row r="185" spans="1:21" hidden="1" x14ac:dyDescent="0.2">
      <c r="A185" s="346" t="s">
        <v>441</v>
      </c>
      <c r="B185" s="75"/>
      <c r="C185" s="75"/>
      <c r="D185" s="76"/>
      <c r="E185" s="76"/>
      <c r="F185" s="76"/>
      <c r="G185" s="76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U185" s="76"/>
    </row>
    <row r="186" spans="1:21" hidden="1" x14ac:dyDescent="0.2">
      <c r="A186" s="347">
        <v>0</v>
      </c>
      <c r="B186" s="75" t="str">
        <f t="shared" ref="B186:B191" si="53">+B179</f>
        <v>Dr. Gáspár István HSZK</v>
      </c>
      <c r="C186" s="75">
        <v>0</v>
      </c>
      <c r="D186" s="76"/>
      <c r="E186" s="76"/>
      <c r="F186" s="76"/>
      <c r="G186" s="76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U186" s="76"/>
    </row>
    <row r="187" spans="1:21" hidden="1" x14ac:dyDescent="0.2">
      <c r="A187" s="348">
        <v>1</v>
      </c>
      <c r="B187" s="349" t="str">
        <f t="shared" si="53"/>
        <v>SÜLYSÁPI CSICSERGŐ ÓVODA</v>
      </c>
      <c r="C187" s="75">
        <f>-'5. Csicsergő'!C84*$A187</f>
        <v>-1070000</v>
      </c>
      <c r="D187" s="75">
        <f>-'5. Csicsergő'!D84*$A187</f>
        <v>-619000</v>
      </c>
      <c r="E187" s="75">
        <f>-'5. Csicsergő'!E84*$A187</f>
        <v>0</v>
      </c>
      <c r="F187" s="75">
        <f>-'5. Csicsergő'!F84*$A187</f>
        <v>0</v>
      </c>
      <c r="G187" s="75">
        <f>-'5. Csicsergő'!G84*$A187</f>
        <v>0</v>
      </c>
      <c r="H187" s="75">
        <f>-'5. Csicsergő'!H84*$A187</f>
        <v>-31989</v>
      </c>
      <c r="I187" s="75">
        <f>-'5. Csicsergő'!I84*$A187</f>
        <v>0</v>
      </c>
      <c r="J187" s="75">
        <f>-'5. Csicsergő'!J84*$A187</f>
        <v>0</v>
      </c>
      <c r="K187" s="75">
        <f>-'5. Csicsergő'!K84*$A187</f>
        <v>0</v>
      </c>
      <c r="L187" s="75"/>
      <c r="M187" s="75"/>
      <c r="N187" s="75"/>
      <c r="O187" s="75">
        <f>-'5. Csicsergő'!O84*$A187</f>
        <v>0</v>
      </c>
      <c r="P187" s="75">
        <f>-'5. Csicsergő'!P84*$A187</f>
        <v>451000</v>
      </c>
      <c r="Q187" s="75">
        <f>-'5. Csicsergő'!Q84*$A187</f>
        <v>619000</v>
      </c>
      <c r="R187" s="75">
        <f>-'5. Csicsergő'!R84*$A187</f>
        <v>0</v>
      </c>
      <c r="S187" s="75">
        <f>-'5. Csicsergő'!S84*$A187</f>
        <v>1070000</v>
      </c>
      <c r="U187" s="76"/>
    </row>
    <row r="188" spans="1:21" hidden="1" x14ac:dyDescent="0.2">
      <c r="A188" s="347">
        <v>0</v>
      </c>
      <c r="B188" s="75" t="str">
        <f t="shared" si="53"/>
        <v>GÓLYAHÍR BÖLCSŐDE</v>
      </c>
      <c r="C188" s="75">
        <v>0</v>
      </c>
      <c r="D188" s="76"/>
      <c r="E188" s="76"/>
      <c r="F188" s="76"/>
      <c r="G188" s="76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U188" s="76"/>
    </row>
    <row r="189" spans="1:21" hidden="1" x14ac:dyDescent="0.2">
      <c r="A189" s="348">
        <v>1</v>
      </c>
      <c r="B189" s="351" t="str">
        <f t="shared" si="53"/>
        <v>POLGÁRMESTERI HIVATAL</v>
      </c>
      <c r="C189" s="75" t="e">
        <f>-'7. Polg.Hiv.'!#REF!*$A189</f>
        <v>#REF!</v>
      </c>
      <c r="D189" s="75" t="e">
        <f>-'7. Polg.Hiv.'!#REF!*$A189</f>
        <v>#REF!</v>
      </c>
      <c r="E189" s="75" t="e">
        <f>-'7. Polg.Hiv.'!#REF!*$A189</f>
        <v>#REF!</v>
      </c>
      <c r="F189" s="75" t="e">
        <f>-'7. Polg.Hiv.'!#REF!*$A189</f>
        <v>#REF!</v>
      </c>
      <c r="G189" s="75" t="e">
        <f>-'7. Polg.Hiv.'!#REF!*$A189</f>
        <v>#REF!</v>
      </c>
      <c r="H189" s="75" t="e">
        <f>-'7. Polg.Hiv.'!#REF!*$A189</f>
        <v>#REF!</v>
      </c>
      <c r="I189" s="75" t="e">
        <f>-'7. Polg.Hiv.'!#REF!*$A189</f>
        <v>#REF!</v>
      </c>
      <c r="J189" s="75" t="e">
        <f>-'7. Polg.Hiv.'!#REF!*$A189</f>
        <v>#REF!</v>
      </c>
      <c r="K189" s="75" t="e">
        <f>-'7. Polg.Hiv.'!#REF!*$A189</f>
        <v>#REF!</v>
      </c>
      <c r="L189" s="75"/>
      <c r="M189" s="75"/>
      <c r="N189" s="75"/>
      <c r="O189" s="75" t="e">
        <f>-'7. Polg.Hiv.'!#REF!*$A189</f>
        <v>#REF!</v>
      </c>
      <c r="P189" s="75" t="e">
        <f>-'7. Polg.Hiv.'!#REF!*$A189</f>
        <v>#REF!</v>
      </c>
      <c r="Q189" s="75" t="e">
        <f>-'7. Polg.Hiv.'!#REF!*$A189</f>
        <v>#REF!</v>
      </c>
      <c r="R189" s="75" t="e">
        <f>-'7. Polg.Hiv.'!#REF!*$A189</f>
        <v>#REF!</v>
      </c>
      <c r="S189" s="75" t="e">
        <f>-'7. Polg.Hiv.'!#REF!*$A189</f>
        <v>#REF!</v>
      </c>
      <c r="U189" s="76"/>
    </row>
    <row r="190" spans="1:21" hidden="1" x14ac:dyDescent="0.2">
      <c r="A190" s="347">
        <v>0</v>
      </c>
      <c r="B190" s="75" t="str">
        <f t="shared" si="53"/>
        <v>Wass Albert Művelődési Központ és Könyvtár</v>
      </c>
      <c r="C190" s="75">
        <v>0</v>
      </c>
      <c r="D190" s="76"/>
      <c r="E190" s="76"/>
      <c r="F190" s="76"/>
      <c r="G190" s="76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U190" s="76"/>
    </row>
    <row r="191" spans="1:21" hidden="1" x14ac:dyDescent="0.2">
      <c r="A191" s="347">
        <v>0</v>
      </c>
      <c r="B191" s="75" t="str">
        <f t="shared" si="53"/>
        <v>Központi Konyha</v>
      </c>
      <c r="C191" s="75">
        <v>0</v>
      </c>
      <c r="D191" s="76"/>
      <c r="E191" s="76"/>
      <c r="F191" s="76"/>
      <c r="G191" s="76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U191" s="76"/>
    </row>
    <row r="192" spans="1:21" hidden="1" x14ac:dyDescent="0.2">
      <c r="A192" s="75"/>
      <c r="B192" s="75"/>
      <c r="C192" s="75"/>
      <c r="D192" s="76"/>
      <c r="E192" s="76"/>
      <c r="F192" s="76"/>
      <c r="G192" s="76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U192" s="76"/>
    </row>
    <row r="193" spans="1:21" hidden="1" x14ac:dyDescent="0.2">
      <c r="A193" s="347">
        <v>1</v>
      </c>
      <c r="B193" s="58" t="s">
        <v>437</v>
      </c>
      <c r="C193" s="75"/>
      <c r="D193" s="75" t="e">
        <f>+#REF!*$A193</f>
        <v>#REF!</v>
      </c>
      <c r="E193" s="75" t="e">
        <f>+#REF!*$A193</f>
        <v>#REF!</v>
      </c>
      <c r="F193" s="75" t="e">
        <f>+#REF!*$A193</f>
        <v>#REF!</v>
      </c>
      <c r="G193" s="76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U193" s="76"/>
    </row>
    <row r="194" spans="1:21" hidden="1" x14ac:dyDescent="0.2">
      <c r="A194" s="347">
        <v>1</v>
      </c>
      <c r="B194" s="58" t="s">
        <v>438</v>
      </c>
      <c r="C194" s="75">
        <f>+C120*$A194</f>
        <v>211500000</v>
      </c>
      <c r="D194" s="75">
        <f>+D120</f>
        <v>425525752</v>
      </c>
      <c r="E194" s="75">
        <f>+E120</f>
        <v>0</v>
      </c>
      <c r="F194" s="75">
        <f>+F120</f>
        <v>0</v>
      </c>
      <c r="G194" s="75"/>
      <c r="H194" s="75">
        <f>+H120</f>
        <v>7083713</v>
      </c>
      <c r="I194" s="75">
        <f>+I120</f>
        <v>0</v>
      </c>
      <c r="J194" s="75">
        <f>+J120</f>
        <v>0</v>
      </c>
      <c r="K194" s="75">
        <f>+K120</f>
        <v>0</v>
      </c>
      <c r="L194" s="75"/>
      <c r="M194" s="75"/>
      <c r="N194" s="75"/>
      <c r="O194" s="75">
        <f>+O120</f>
        <v>0</v>
      </c>
      <c r="P194" s="75">
        <f>+P120</f>
        <v>214025752</v>
      </c>
      <c r="Q194" s="75">
        <f>+Q120</f>
        <v>0</v>
      </c>
      <c r="R194" s="75">
        <f>+R120</f>
        <v>0</v>
      </c>
      <c r="S194" s="75">
        <f>+S120</f>
        <v>214025752</v>
      </c>
      <c r="U194" s="76"/>
    </row>
    <row r="195" spans="1:21" hidden="1" x14ac:dyDescent="0.2">
      <c r="A195" s="347">
        <v>1</v>
      </c>
      <c r="B195" s="344" t="s">
        <v>439</v>
      </c>
      <c r="C195" s="75">
        <f>+C129*A195</f>
        <v>108480000</v>
      </c>
      <c r="D195" s="75">
        <f>+D129</f>
        <v>296686866</v>
      </c>
      <c r="E195" s="75">
        <f>+E129</f>
        <v>0</v>
      </c>
      <c r="F195" s="75">
        <f>+F129</f>
        <v>0</v>
      </c>
      <c r="G195" s="75"/>
      <c r="H195" s="75">
        <f>+H129</f>
        <v>3723918</v>
      </c>
      <c r="I195" s="75">
        <f>+I129</f>
        <v>0</v>
      </c>
      <c r="J195" s="75">
        <f>+J129</f>
        <v>0</v>
      </c>
      <c r="K195" s="75">
        <f>+K129</f>
        <v>0</v>
      </c>
      <c r="L195" s="75"/>
      <c r="M195" s="75"/>
      <c r="N195" s="75"/>
      <c r="O195" s="75">
        <f>+O129</f>
        <v>0</v>
      </c>
      <c r="P195" s="75">
        <f>+P129</f>
        <v>188206866</v>
      </c>
      <c r="Q195" s="75">
        <f>+Q129</f>
        <v>0</v>
      </c>
      <c r="R195" s="75">
        <f>+R129</f>
        <v>0</v>
      </c>
      <c r="S195" s="75">
        <f>+S129</f>
        <v>188206866</v>
      </c>
      <c r="U195" s="76"/>
    </row>
    <row r="196" spans="1:21" hidden="1" x14ac:dyDescent="0.2">
      <c r="A196" s="75"/>
      <c r="B196" s="75"/>
      <c r="C196" s="75"/>
      <c r="D196" s="76"/>
      <c r="E196" s="76"/>
      <c r="F196" s="76"/>
      <c r="G196" s="76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U196" s="76"/>
    </row>
    <row r="197" spans="1:21" hidden="1" x14ac:dyDescent="0.2">
      <c r="A197" s="350">
        <v>1</v>
      </c>
      <c r="B197" s="58" t="s">
        <v>436</v>
      </c>
      <c r="C197" s="75">
        <f>+C145</f>
        <v>454166162</v>
      </c>
      <c r="D197" s="75">
        <f t="shared" ref="D197:E197" si="54">+D145</f>
        <v>474740182</v>
      </c>
      <c r="E197" s="75">
        <f t="shared" si="54"/>
        <v>0</v>
      </c>
      <c r="F197" s="75">
        <f>+F145</f>
        <v>0</v>
      </c>
      <c r="G197" s="75"/>
      <c r="H197" s="75">
        <f>+H145</f>
        <v>254833995</v>
      </c>
      <c r="I197" s="75">
        <f>+I145</f>
        <v>0</v>
      </c>
      <c r="J197" s="75">
        <f>+J145</f>
        <v>0</v>
      </c>
      <c r="K197" s="75"/>
      <c r="L197" s="75"/>
      <c r="M197" s="75"/>
      <c r="N197" s="75"/>
      <c r="O197" s="75"/>
      <c r="P197" s="75">
        <f>+P145</f>
        <v>20574020</v>
      </c>
      <c r="Q197" s="75">
        <f>+Q145</f>
        <v>0</v>
      </c>
      <c r="R197" s="75">
        <f>+R145</f>
        <v>0</v>
      </c>
      <c r="S197" s="75">
        <f>+S145</f>
        <v>20574020</v>
      </c>
      <c r="U197" s="76"/>
    </row>
    <row r="198" spans="1:21" hidden="1" x14ac:dyDescent="0.2">
      <c r="A198" s="22"/>
      <c r="B198" s="352" t="s">
        <v>444</v>
      </c>
      <c r="C198" s="75" t="e">
        <f>SUM(C179:C197)</f>
        <v>#REF!</v>
      </c>
      <c r="D198" s="75" t="e">
        <f>SUM(D179:D197)</f>
        <v>#REF!</v>
      </c>
      <c r="E198" s="75" t="e">
        <f>SUM(E179:E197)</f>
        <v>#REF!</v>
      </c>
      <c r="F198" s="75" t="e">
        <f>SUM(F179:F197)</f>
        <v>#REF!</v>
      </c>
      <c r="G198" s="75"/>
      <c r="H198" s="75" t="e">
        <f>SUM(H179:H197)</f>
        <v>#REF!</v>
      </c>
      <c r="I198" s="75" t="e">
        <f>SUM(I179:I197)</f>
        <v>#REF!</v>
      </c>
      <c r="J198" s="75" t="e">
        <f>SUM(J179:J197)</f>
        <v>#REF!</v>
      </c>
      <c r="K198" s="75"/>
      <c r="L198" s="75"/>
      <c r="M198" s="75"/>
      <c r="N198" s="75"/>
      <c r="O198" s="75"/>
      <c r="P198" s="75" t="e">
        <f>SUM(P179:P197)</f>
        <v>#REF!</v>
      </c>
      <c r="Q198" s="75" t="e">
        <f>SUM(Q179:Q197)</f>
        <v>#REF!</v>
      </c>
      <c r="R198" s="75" t="e">
        <f>SUM(R179:R197)</f>
        <v>#REF!</v>
      </c>
      <c r="S198" s="75" t="e">
        <f>SUM(S179:S197)</f>
        <v>#REF!</v>
      </c>
      <c r="U198" s="76"/>
    </row>
    <row r="199" spans="1:21" hidden="1" x14ac:dyDescent="0.2">
      <c r="A199" s="22"/>
      <c r="B199" s="22"/>
      <c r="C199" s="75"/>
      <c r="D199" s="76"/>
      <c r="E199" s="76"/>
      <c r="F199" s="76"/>
      <c r="G199" s="76"/>
      <c r="H199" s="75"/>
      <c r="L199" s="23"/>
      <c r="M199" s="23"/>
      <c r="N199" s="23"/>
      <c r="P199" s="23"/>
      <c r="Q199" s="23"/>
      <c r="R199" s="23"/>
      <c r="S199" s="23"/>
      <c r="U199" s="76"/>
    </row>
    <row r="200" spans="1:21" hidden="1" x14ac:dyDescent="0.2">
      <c r="A200" s="22"/>
      <c r="B200" s="353" t="s">
        <v>445</v>
      </c>
      <c r="C200" s="354" t="e">
        <f>+C198-C9</f>
        <v>#REF!</v>
      </c>
      <c r="D200" s="354" t="e">
        <f>+D198-D9</f>
        <v>#REF!</v>
      </c>
      <c r="E200" s="354" t="e">
        <f>+E198-E9</f>
        <v>#REF!</v>
      </c>
      <c r="F200" s="354" t="e">
        <f>+F198-F9</f>
        <v>#REF!</v>
      </c>
      <c r="G200" s="354"/>
      <c r="H200" s="354" t="e">
        <f>+H198-H9</f>
        <v>#REF!</v>
      </c>
      <c r="I200" s="354" t="e">
        <f>+I198-I9</f>
        <v>#REF!</v>
      </c>
      <c r="J200" s="354" t="e">
        <f>+J198-J9</f>
        <v>#REF!</v>
      </c>
      <c r="K200" s="354"/>
      <c r="L200" s="354"/>
      <c r="M200" s="354"/>
      <c r="N200" s="354"/>
      <c r="O200" s="354"/>
      <c r="P200" s="354" t="e">
        <f>+P198-P9</f>
        <v>#REF!</v>
      </c>
      <c r="Q200" s="354" t="e">
        <f>+Q198-Q9</f>
        <v>#REF!</v>
      </c>
      <c r="R200" s="354" t="e">
        <f>+R198-R9</f>
        <v>#REF!</v>
      </c>
      <c r="S200" s="354" t="e">
        <f>+S198-S9</f>
        <v>#REF!</v>
      </c>
      <c r="T200" s="355"/>
      <c r="U200" s="76"/>
    </row>
    <row r="201" spans="1:21" ht="3.6" hidden="1" customHeight="1" x14ac:dyDescent="0.2">
      <c r="A201" s="360"/>
      <c r="B201" s="360"/>
      <c r="C201" s="361"/>
      <c r="D201" s="362"/>
      <c r="E201" s="362"/>
      <c r="F201" s="362"/>
      <c r="G201" s="362"/>
      <c r="H201" s="361"/>
      <c r="I201" s="363"/>
      <c r="J201" s="363"/>
      <c r="K201" s="362"/>
      <c r="L201" s="364"/>
      <c r="M201" s="365"/>
      <c r="N201" s="366"/>
      <c r="O201" s="362"/>
      <c r="P201" s="361"/>
      <c r="Q201" s="361"/>
      <c r="R201" s="361"/>
      <c r="S201" s="361"/>
      <c r="T201" s="366"/>
      <c r="U201" s="76"/>
    </row>
    <row r="202" spans="1:21" hidden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idden="1" x14ac:dyDescent="0.2">
      <c r="A203" s="58" t="s">
        <v>446</v>
      </c>
      <c r="B203" s="22"/>
      <c r="C203" s="75"/>
      <c r="D203" s="76"/>
      <c r="E203" s="76"/>
      <c r="F203" s="76"/>
      <c r="G203" s="76"/>
      <c r="H203" s="75"/>
      <c r="K203" s="76"/>
      <c r="L203" s="93"/>
      <c r="M203" s="88"/>
      <c r="O203" s="76"/>
      <c r="P203" s="75"/>
      <c r="Q203" s="75"/>
      <c r="R203" s="75"/>
      <c r="S203" s="75"/>
      <c r="U203" s="76"/>
    </row>
    <row r="204" spans="1:21" hidden="1" x14ac:dyDescent="0.2">
      <c r="A204" s="22"/>
      <c r="B204" s="22"/>
      <c r="C204" s="75"/>
      <c r="D204" s="76"/>
      <c r="E204" s="76"/>
      <c r="F204" s="76"/>
      <c r="G204" s="76"/>
      <c r="H204" s="75"/>
      <c r="K204" s="76"/>
      <c r="L204" s="93"/>
      <c r="M204" s="88"/>
      <c r="O204" s="76"/>
      <c r="P204" s="75"/>
      <c r="Q204" s="75"/>
      <c r="R204" s="75"/>
      <c r="S204" s="75"/>
      <c r="U204" s="76"/>
    </row>
    <row r="205" spans="1:21" hidden="1" x14ac:dyDescent="0.2">
      <c r="A205" s="22"/>
      <c r="B205" s="58" t="s">
        <v>449</v>
      </c>
      <c r="C205" s="75" t="e">
        <f>SUM(C179:C191)</f>
        <v>#REF!</v>
      </c>
      <c r="D205" s="75" t="e">
        <f>SUM(D179:D191)</f>
        <v>#REF!</v>
      </c>
      <c r="E205" s="75" t="e">
        <f>SUM(E179:E191)</f>
        <v>#REF!</v>
      </c>
      <c r="F205" s="75" t="e">
        <f>SUM(F179:F191)</f>
        <v>#REF!</v>
      </c>
      <c r="G205" s="75"/>
      <c r="H205" s="75" t="e">
        <f>SUM(H179:H191)</f>
        <v>#REF!</v>
      </c>
      <c r="I205" s="75" t="e">
        <f>SUM(I179:I191)</f>
        <v>#REF!</v>
      </c>
      <c r="J205" s="75" t="e">
        <f>SUM(J179:J191)</f>
        <v>#REF!</v>
      </c>
      <c r="K205" s="76"/>
      <c r="L205" s="93"/>
      <c r="M205" s="88"/>
      <c r="O205" s="76"/>
      <c r="P205" s="75" t="e">
        <f t="shared" ref="P205:S205" si="55">SUM(P179:P191)</f>
        <v>#REF!</v>
      </c>
      <c r="Q205" s="75" t="e">
        <f t="shared" si="55"/>
        <v>#REF!</v>
      </c>
      <c r="R205" s="75" t="e">
        <f t="shared" si="55"/>
        <v>#REF!</v>
      </c>
      <c r="S205" s="75" t="e">
        <f t="shared" si="55"/>
        <v>#REF!</v>
      </c>
      <c r="U205" s="76"/>
    </row>
    <row r="206" spans="1:21" hidden="1" x14ac:dyDescent="0.2">
      <c r="A206" s="22"/>
      <c r="B206" s="356" t="s">
        <v>447</v>
      </c>
      <c r="C206" s="358" t="e">
        <f>+C205-C197</f>
        <v>#REF!</v>
      </c>
      <c r="D206" s="358" t="e">
        <f>+D205-D197</f>
        <v>#REF!</v>
      </c>
      <c r="E206" s="358" t="e">
        <f>+E205-E197</f>
        <v>#REF!</v>
      </c>
      <c r="F206" s="358" t="e">
        <f>+F205-F197</f>
        <v>#REF!</v>
      </c>
      <c r="G206" s="358"/>
      <c r="H206" s="358" t="e">
        <f>+H205-H197</f>
        <v>#REF!</v>
      </c>
      <c r="I206" s="358" t="e">
        <f>+I205-I197</f>
        <v>#REF!</v>
      </c>
      <c r="J206" s="358" t="e">
        <f>+J205-J197</f>
        <v>#REF!</v>
      </c>
      <c r="K206" s="359"/>
      <c r="L206" s="356"/>
      <c r="M206" s="357"/>
      <c r="N206" s="357"/>
      <c r="O206" s="359"/>
      <c r="P206" s="358" t="e">
        <f t="shared" ref="P206:S206" si="56">+P205-P197</f>
        <v>#REF!</v>
      </c>
      <c r="Q206" s="358" t="e">
        <f t="shared" si="56"/>
        <v>#REF!</v>
      </c>
      <c r="R206" s="358" t="e">
        <f t="shared" si="56"/>
        <v>#REF!</v>
      </c>
      <c r="S206" s="358" t="e">
        <f t="shared" si="56"/>
        <v>#REF!</v>
      </c>
      <c r="U206" s="76"/>
    </row>
    <row r="207" spans="1:21" hidden="1" x14ac:dyDescent="0.2">
      <c r="A207" s="22"/>
      <c r="B207" s="22"/>
      <c r="C207" s="75"/>
      <c r="D207" s="76"/>
      <c r="E207" s="76"/>
      <c r="F207" s="76"/>
      <c r="G207" s="76"/>
      <c r="H207" s="75"/>
      <c r="K207" s="76"/>
      <c r="L207" s="93"/>
      <c r="M207" s="88"/>
      <c r="O207" s="76"/>
      <c r="P207" s="23"/>
      <c r="Q207" s="23"/>
      <c r="R207" s="23"/>
      <c r="S207" s="23"/>
      <c r="U207" s="76"/>
    </row>
    <row r="208" spans="1:21" hidden="1" x14ac:dyDescent="0.2">
      <c r="A208" s="22"/>
      <c r="B208" s="58" t="s">
        <v>443</v>
      </c>
      <c r="C208" s="75" t="e">
        <f>+C205-C182-C189</f>
        <v>#REF!</v>
      </c>
      <c r="D208" s="75" t="e">
        <f>+D205-D182-D189</f>
        <v>#REF!</v>
      </c>
      <c r="E208" s="75" t="e">
        <f>+E205-E182-E189</f>
        <v>#REF!</v>
      </c>
      <c r="F208" s="75" t="e">
        <f>+F205-F182-F189</f>
        <v>#REF!</v>
      </c>
      <c r="G208" s="75"/>
      <c r="H208" s="75" t="e">
        <f>+H205-H182-H189</f>
        <v>#REF!</v>
      </c>
      <c r="I208" s="75" t="e">
        <f>+I205-I182-I189</f>
        <v>#REF!</v>
      </c>
      <c r="J208" s="75" t="e">
        <f>+J205-J182-J189</f>
        <v>#REF!</v>
      </c>
      <c r="K208" s="76"/>
      <c r="L208" s="93"/>
      <c r="M208" s="88"/>
      <c r="O208" s="76"/>
      <c r="P208" s="75" t="e">
        <f t="shared" ref="P208:S208" si="57">+P205-P182-P189</f>
        <v>#REF!</v>
      </c>
      <c r="Q208" s="75" t="e">
        <f t="shared" si="57"/>
        <v>#REF!</v>
      </c>
      <c r="R208" s="75" t="e">
        <f t="shared" si="57"/>
        <v>#REF!</v>
      </c>
      <c r="S208" s="75" t="e">
        <f t="shared" si="57"/>
        <v>#REF!</v>
      </c>
      <c r="U208" s="76"/>
    </row>
    <row r="209" spans="1:21" hidden="1" x14ac:dyDescent="0.2">
      <c r="A209" s="22"/>
      <c r="B209" s="356" t="s">
        <v>448</v>
      </c>
      <c r="C209" s="358" t="e">
        <f>+C208-C197</f>
        <v>#REF!</v>
      </c>
      <c r="D209" s="358" t="e">
        <f>+D208-D197</f>
        <v>#REF!</v>
      </c>
      <c r="E209" s="358" t="e">
        <f>+E208-E197</f>
        <v>#REF!</v>
      </c>
      <c r="F209" s="358" t="e">
        <f>+F208-F197</f>
        <v>#REF!</v>
      </c>
      <c r="G209" s="358"/>
      <c r="H209" s="358" t="e">
        <f>+H208-H197</f>
        <v>#REF!</v>
      </c>
      <c r="I209" s="358" t="e">
        <f>+I208-I197</f>
        <v>#REF!</v>
      </c>
      <c r="J209" s="358" t="e">
        <f>+J208-J197</f>
        <v>#REF!</v>
      </c>
      <c r="K209" s="359"/>
      <c r="L209" s="356"/>
      <c r="M209" s="357"/>
      <c r="N209" s="357"/>
      <c r="O209" s="359"/>
      <c r="P209" s="358" t="e">
        <f t="shared" ref="P209:S209" si="58">+P208-P197</f>
        <v>#REF!</v>
      </c>
      <c r="Q209" s="358" t="e">
        <f t="shared" si="58"/>
        <v>#REF!</v>
      </c>
      <c r="R209" s="358" t="e">
        <f t="shared" si="58"/>
        <v>#REF!</v>
      </c>
      <c r="S209" s="358" t="e">
        <f t="shared" si="58"/>
        <v>#REF!</v>
      </c>
      <c r="U209" s="76"/>
    </row>
    <row r="210" spans="1:21" hidden="1" x14ac:dyDescent="0.2">
      <c r="A210" s="22"/>
      <c r="B210" s="22"/>
      <c r="C210" s="75"/>
      <c r="D210" s="76"/>
      <c r="E210" s="76"/>
      <c r="F210" s="76"/>
      <c r="G210" s="76"/>
      <c r="H210" s="75"/>
      <c r="K210" s="76"/>
      <c r="L210" s="93"/>
      <c r="M210" s="88"/>
      <c r="O210" s="76"/>
      <c r="P210" s="75"/>
      <c r="Q210" s="75"/>
      <c r="R210" s="75"/>
      <c r="S210" s="75"/>
      <c r="U210" s="76"/>
    </row>
    <row r="211" spans="1:21" hidden="1" x14ac:dyDescent="0.2">
      <c r="A211" s="22"/>
      <c r="B211" s="22"/>
      <c r="C211" s="75"/>
      <c r="D211" s="76"/>
      <c r="E211" s="76"/>
      <c r="F211" s="76"/>
      <c r="G211" s="76"/>
      <c r="H211" s="75"/>
      <c r="K211" s="76"/>
      <c r="L211" s="93"/>
      <c r="M211" s="88"/>
      <c r="O211" s="76"/>
      <c r="P211" s="75"/>
      <c r="Q211" s="75"/>
      <c r="R211" s="75"/>
      <c r="S211" s="75"/>
      <c r="U211" s="76"/>
    </row>
    <row r="212" spans="1:21" hidden="1" x14ac:dyDescent="0.2">
      <c r="A212" s="58" t="s">
        <v>0</v>
      </c>
      <c r="B212" s="22"/>
      <c r="C212" s="75">
        <f>+C13</f>
        <v>107902000</v>
      </c>
      <c r="D212" s="76"/>
      <c r="E212" s="76"/>
      <c r="F212" s="76"/>
      <c r="G212" s="76"/>
      <c r="H212" s="75"/>
      <c r="K212" s="76"/>
      <c r="L212" s="93"/>
      <c r="M212" s="88"/>
      <c r="O212" s="76"/>
      <c r="P212" s="75"/>
      <c r="Q212" s="75"/>
      <c r="R212" s="75"/>
      <c r="S212" s="75"/>
      <c r="U212" s="76"/>
    </row>
    <row r="213" spans="1:21" hidden="1" x14ac:dyDescent="0.2">
      <c r="B213" s="58" t="str">
        <f>+'4. Dr Gáspár HSZK'!A1</f>
        <v>Dr. Gáspár István HSZK</v>
      </c>
      <c r="C213" s="75">
        <f>+'4. Dr Gáspár HSZK'!C13</f>
        <v>21347000</v>
      </c>
      <c r="D213" s="75">
        <f>+'4. Dr Gáspár HSZK'!D13</f>
        <v>21347000</v>
      </c>
      <c r="E213" s="75">
        <f>+'4. Dr Gáspár HSZK'!E13</f>
        <v>0</v>
      </c>
      <c r="F213" s="75">
        <f>+'4. Dr Gáspár HSZK'!F13</f>
        <v>0</v>
      </c>
      <c r="G213" s="75"/>
      <c r="H213" s="75">
        <f>+'4. Dr Gáspár HSZK'!H13</f>
        <v>9693006</v>
      </c>
      <c r="I213" s="75">
        <f>+'4. Dr Gáspár HSZK'!I13</f>
        <v>0</v>
      </c>
      <c r="J213" s="75">
        <f>+'4. Dr Gáspár HSZK'!J13</f>
        <v>0</v>
      </c>
      <c r="K213" s="75"/>
      <c r="L213" s="75"/>
      <c r="M213" s="75"/>
      <c r="N213" s="75"/>
      <c r="O213" s="75"/>
      <c r="P213" s="75">
        <f>+'4. Dr Gáspár HSZK'!P13</f>
        <v>0</v>
      </c>
      <c r="Q213" s="75">
        <f>+'4. Dr Gáspár HSZK'!Q13</f>
        <v>-21347000</v>
      </c>
      <c r="R213" s="75">
        <f>+'4. Dr Gáspár HSZK'!R13</f>
        <v>0</v>
      </c>
      <c r="S213" s="75">
        <f>+'4. Dr Gáspár HSZK'!S13</f>
        <v>-21347000</v>
      </c>
      <c r="U213" s="76"/>
    </row>
    <row r="214" spans="1:21" hidden="1" x14ac:dyDescent="0.2">
      <c r="A214" s="22"/>
      <c r="B214" s="58" t="str">
        <f>+'5. Csicsergő'!A1</f>
        <v>SÜLYSÁPI CSICSERGŐ ÓVODA</v>
      </c>
      <c r="C214" s="75">
        <f>+'5. Csicsergő'!C13</f>
        <v>133266100</v>
      </c>
      <c r="D214" s="75">
        <f>+'5. Csicsergő'!D13</f>
        <v>133266100</v>
      </c>
      <c r="E214" s="75">
        <f>+'5. Csicsergő'!E13</f>
        <v>0</v>
      </c>
      <c r="F214" s="75">
        <f>+'5. Csicsergő'!F13</f>
        <v>0</v>
      </c>
      <c r="G214" s="75"/>
      <c r="H214" s="75">
        <f>+'5. Csicsergő'!H13</f>
        <v>64161938</v>
      </c>
      <c r="I214" s="75">
        <f>+'5. Csicsergő'!I13</f>
        <v>0</v>
      </c>
      <c r="J214" s="75">
        <f>+'5. Csicsergő'!J13</f>
        <v>0</v>
      </c>
      <c r="K214" s="75"/>
      <c r="L214" s="75"/>
      <c r="M214" s="75"/>
      <c r="N214" s="75"/>
      <c r="O214" s="75"/>
      <c r="P214" s="75">
        <f>+'5. Csicsergő'!P13</f>
        <v>0</v>
      </c>
      <c r="Q214" s="75">
        <f>+'5. Csicsergő'!Q13</f>
        <v>-133266100</v>
      </c>
      <c r="R214" s="75">
        <f>+'5. Csicsergő'!R13</f>
        <v>0</v>
      </c>
      <c r="S214" s="75">
        <f>+'5. Csicsergő'!S13</f>
        <v>-133266100</v>
      </c>
      <c r="U214" s="76"/>
    </row>
    <row r="215" spans="1:21" hidden="1" x14ac:dyDescent="0.2">
      <c r="A215" s="22"/>
      <c r="B215" s="22" t="str">
        <f>+'6. Gólyahír'!A1</f>
        <v>GÓLYAHÍR BÖLCSŐDE</v>
      </c>
      <c r="C215" s="75">
        <f>+'6. Gólyahír'!C13</f>
        <v>36545000</v>
      </c>
      <c r="D215" s="75">
        <f>+'6. Gólyahír'!D13</f>
        <v>36593000</v>
      </c>
      <c r="E215" s="75">
        <f>+'6. Gólyahír'!E13</f>
        <v>0</v>
      </c>
      <c r="F215" s="75">
        <f>+'6. Gólyahír'!F13</f>
        <v>0</v>
      </c>
      <c r="G215" s="75"/>
      <c r="H215" s="75">
        <f>+'6. Gólyahír'!H13</f>
        <v>17008819</v>
      </c>
      <c r="I215" s="75">
        <f>+'6. Gólyahír'!I13</f>
        <v>0</v>
      </c>
      <c r="J215" s="75">
        <f>+'6. Gólyahír'!J13</f>
        <v>0</v>
      </c>
      <c r="K215" s="75"/>
      <c r="L215" s="75"/>
      <c r="M215" s="75"/>
      <c r="N215" s="75"/>
      <c r="O215" s="75"/>
      <c r="P215" s="75">
        <f>+'6. Gólyahír'!P13</f>
        <v>48000</v>
      </c>
      <c r="Q215" s="75">
        <f>+'6. Gólyahír'!Q13</f>
        <v>-36593000</v>
      </c>
      <c r="R215" s="75">
        <f>+'6. Gólyahír'!R13</f>
        <v>0</v>
      </c>
      <c r="S215" s="75">
        <f>+'6. Gólyahír'!S13</f>
        <v>-36545000</v>
      </c>
      <c r="U215" s="76"/>
    </row>
    <row r="216" spans="1:21" hidden="1" x14ac:dyDescent="0.2">
      <c r="A216" s="22"/>
      <c r="B216" s="75" t="str">
        <f>+'7. Polg.Hiv.'!A1</f>
        <v>POLGÁRMESTERI HIVATAL</v>
      </c>
      <c r="C216" s="75">
        <f>+'7. Polg.Hiv.'!C13</f>
        <v>82838000</v>
      </c>
      <c r="D216" s="75">
        <f>+'7. Polg.Hiv.'!D13</f>
        <v>82838000</v>
      </c>
      <c r="E216" s="75">
        <f>+'7. Polg.Hiv.'!E13</f>
        <v>0</v>
      </c>
      <c r="F216" s="75">
        <f>+'7. Polg.Hiv.'!F13</f>
        <v>0</v>
      </c>
      <c r="G216" s="75"/>
      <c r="H216" s="75">
        <f>+'7. Polg.Hiv.'!H13</f>
        <v>36864685</v>
      </c>
      <c r="I216" s="75">
        <f>+'7. Polg.Hiv.'!I13</f>
        <v>0</v>
      </c>
      <c r="J216" s="75">
        <f>+'7. Polg.Hiv.'!J13</f>
        <v>0</v>
      </c>
      <c r="K216" s="75"/>
      <c r="L216" s="75"/>
      <c r="M216" s="75"/>
      <c r="N216" s="75"/>
      <c r="O216" s="75"/>
      <c r="P216" s="75">
        <f>+'7. Polg.Hiv.'!P13</f>
        <v>0</v>
      </c>
      <c r="Q216" s="75">
        <f>+'7. Polg.Hiv.'!Q13</f>
        <v>-82838000</v>
      </c>
      <c r="R216" s="75">
        <f>+'7. Polg.Hiv.'!R13</f>
        <v>0</v>
      </c>
      <c r="S216" s="75">
        <f>+'7. Polg.Hiv.'!S13</f>
        <v>-82838000</v>
      </c>
      <c r="U216" s="76"/>
    </row>
    <row r="217" spans="1:21" hidden="1" x14ac:dyDescent="0.2">
      <c r="A217" s="22"/>
      <c r="B217" s="75" t="str">
        <f>+'8. WAMKK'!A1</f>
        <v>Wass Albert Művelődési Központ és Könyvtár</v>
      </c>
      <c r="C217" s="75">
        <f>+'8. WAMKK'!C13</f>
        <v>14060000</v>
      </c>
      <c r="D217" s="75">
        <f>+'8. WAMKK'!D13</f>
        <v>14060000</v>
      </c>
      <c r="E217" s="75">
        <f>+'8. WAMKK'!E13</f>
        <v>0</v>
      </c>
      <c r="F217" s="75">
        <f>+'8. WAMKK'!F13</f>
        <v>0</v>
      </c>
      <c r="G217" s="75"/>
      <c r="H217" s="75">
        <f>+'8. WAMKK'!H13</f>
        <v>6508406</v>
      </c>
      <c r="I217" s="75">
        <f>+'8. WAMKK'!I13</f>
        <v>0</v>
      </c>
      <c r="J217" s="75">
        <f>+'8. WAMKK'!J13</f>
        <v>0</v>
      </c>
      <c r="K217" s="75"/>
      <c r="L217" s="75"/>
      <c r="M217" s="75"/>
      <c r="N217" s="75"/>
      <c r="O217" s="75"/>
      <c r="P217" s="75">
        <f>+'8. WAMKK'!P13</f>
        <v>0</v>
      </c>
      <c r="Q217" s="75">
        <f>+'8. WAMKK'!Q13</f>
        <v>-14060000</v>
      </c>
      <c r="R217" s="75">
        <f>+'8. WAMKK'!R13</f>
        <v>0</v>
      </c>
      <c r="S217" s="75">
        <f>+'8. WAMKK'!S13</f>
        <v>-14060000</v>
      </c>
      <c r="U217" s="76"/>
    </row>
    <row r="218" spans="1:21" hidden="1" x14ac:dyDescent="0.2">
      <c r="A218" s="22"/>
      <c r="B218" s="75" t="str">
        <f>+'9. Közp. Konyha'!A1</f>
        <v>Központi Konyha</v>
      </c>
      <c r="C218" s="75">
        <f>+'9. Közp. Konyha'!C13</f>
        <v>23625000</v>
      </c>
      <c r="D218" s="75">
        <f>+'9. Közp. Konyha'!D13</f>
        <v>23625000</v>
      </c>
      <c r="E218" s="75">
        <f>+'9. Közp. Konyha'!E13</f>
        <v>0</v>
      </c>
      <c r="F218" s="75">
        <f>+'9. Közp. Konyha'!F13</f>
        <v>0</v>
      </c>
      <c r="G218" s="75"/>
      <c r="H218" s="75">
        <f>+'9. Közp. Konyha'!H13</f>
        <v>11298003</v>
      </c>
      <c r="I218" s="75">
        <f>+'9. Közp. Konyha'!I13</f>
        <v>0</v>
      </c>
      <c r="J218" s="75">
        <f>+'9. Közp. Konyha'!J13</f>
        <v>0</v>
      </c>
      <c r="K218" s="75"/>
      <c r="L218" s="75"/>
      <c r="M218" s="75"/>
      <c r="N218" s="75"/>
      <c r="O218" s="75"/>
      <c r="P218" s="75">
        <f>+'9. Közp. Konyha'!P13</f>
        <v>0</v>
      </c>
      <c r="Q218" s="75">
        <f>+'9. Közp. Konyha'!Q13</f>
        <v>-23625000</v>
      </c>
      <c r="R218" s="75">
        <f>+'9. Közp. Konyha'!R13</f>
        <v>0</v>
      </c>
      <c r="S218" s="75">
        <f>+'9. Közp. Konyha'!S13</f>
        <v>-23625000</v>
      </c>
      <c r="U218" s="76"/>
    </row>
    <row r="219" spans="1:21" hidden="1" x14ac:dyDescent="0.2">
      <c r="A219" s="22"/>
      <c r="B219" s="367" t="s">
        <v>452</v>
      </c>
      <c r="C219" s="368">
        <f>SUM(C213:C218)</f>
        <v>311681100</v>
      </c>
      <c r="D219" s="368">
        <f>SUM(D213:D218)</f>
        <v>311729100</v>
      </c>
      <c r="E219" s="368">
        <f>SUM(E213:E218)</f>
        <v>0</v>
      </c>
      <c r="F219" s="368">
        <f>SUM(F213:F218)</f>
        <v>0</v>
      </c>
      <c r="G219" s="368"/>
      <c r="H219" s="368">
        <f>SUM(H213:H218)</f>
        <v>145534857</v>
      </c>
      <c r="I219" s="368">
        <f>SUM(I213:I218)</f>
        <v>0</v>
      </c>
      <c r="J219" s="368">
        <f>SUM(J213:J218)</f>
        <v>0</v>
      </c>
      <c r="K219" s="368"/>
      <c r="L219" s="368"/>
      <c r="M219" s="368"/>
      <c r="N219" s="368"/>
      <c r="O219" s="368"/>
      <c r="P219" s="368">
        <f>SUM(P213:P218)</f>
        <v>48000</v>
      </c>
      <c r="Q219" s="368">
        <f>SUM(Q213:Q218)</f>
        <v>-311729100</v>
      </c>
      <c r="R219" s="368">
        <f>SUM(R213:R218)</f>
        <v>0</v>
      </c>
      <c r="S219" s="369">
        <f>SUM(S213:S218)</f>
        <v>-311681100</v>
      </c>
      <c r="U219" s="76"/>
    </row>
    <row r="220" spans="1:21" hidden="1" x14ac:dyDescent="0.2">
      <c r="A220" s="22"/>
      <c r="B220" s="22"/>
      <c r="C220" s="75"/>
      <c r="D220" s="76"/>
      <c r="E220" s="76"/>
      <c r="F220" s="76"/>
      <c r="G220" s="76"/>
      <c r="H220" s="75"/>
      <c r="K220" s="76"/>
      <c r="L220" s="93"/>
      <c r="M220" s="88"/>
      <c r="O220" s="76"/>
      <c r="P220" s="75"/>
      <c r="Q220" s="75"/>
      <c r="R220" s="75"/>
      <c r="S220" s="75"/>
      <c r="U220" s="76"/>
    </row>
    <row r="221" spans="1:21" hidden="1" x14ac:dyDescent="0.2">
      <c r="A221" s="58" t="s">
        <v>26</v>
      </c>
      <c r="B221" s="58" t="str">
        <f>+B213</f>
        <v>Dr. Gáspár István HSZK</v>
      </c>
      <c r="C221" s="75">
        <f>+'4. Dr Gáspár HSZK'!C29</f>
        <v>4780000</v>
      </c>
      <c r="D221" s="75">
        <f>+'4. Dr Gáspár HSZK'!D29</f>
        <v>4780000</v>
      </c>
      <c r="E221" s="75">
        <f>+'4. Dr Gáspár HSZK'!E29</f>
        <v>0</v>
      </c>
      <c r="F221" s="75">
        <f>+'4. Dr Gáspár HSZK'!F29</f>
        <v>0</v>
      </c>
      <c r="G221" s="75"/>
      <c r="H221" s="75">
        <f>+'4. Dr Gáspár HSZK'!H29</f>
        <v>2484606</v>
      </c>
      <c r="I221" s="75">
        <f>+'4. Dr Gáspár HSZK'!I29</f>
        <v>0</v>
      </c>
      <c r="J221" s="75">
        <f>+'4. Dr Gáspár HSZK'!J29</f>
        <v>0</v>
      </c>
      <c r="K221" s="75"/>
      <c r="L221" s="75"/>
      <c r="M221" s="75"/>
      <c r="N221" s="75"/>
      <c r="O221" s="75"/>
      <c r="P221" s="75">
        <f>+'4. Dr Gáspár HSZK'!P29</f>
        <v>0</v>
      </c>
      <c r="Q221" s="75">
        <f>+'4. Dr Gáspár HSZK'!Q29</f>
        <v>-4780000</v>
      </c>
      <c r="R221" s="75">
        <f>+'4. Dr Gáspár HSZK'!R29</f>
        <v>0</v>
      </c>
      <c r="S221" s="75">
        <f>+'4. Dr Gáspár HSZK'!S29</f>
        <v>-4780000</v>
      </c>
      <c r="U221" s="76"/>
    </row>
    <row r="222" spans="1:21" hidden="1" x14ac:dyDescent="0.2">
      <c r="A222" s="22"/>
      <c r="B222" s="58" t="str">
        <f t="shared" ref="B222:B226" si="59">+B214</f>
        <v>SÜLYSÁPI CSICSERGŐ ÓVODA</v>
      </c>
      <c r="C222" s="75">
        <f>+'5. Csicsergő'!C30</f>
        <v>28627000</v>
      </c>
      <c r="D222" s="75">
        <f>+'5. Csicsergő'!D30</f>
        <v>28627000</v>
      </c>
      <c r="E222" s="75">
        <f>+'5. Csicsergő'!E30</f>
        <v>0</v>
      </c>
      <c r="F222" s="75">
        <f>+'5. Csicsergő'!F30</f>
        <v>0</v>
      </c>
      <c r="G222" s="75"/>
      <c r="H222" s="75">
        <f>+'5. Csicsergő'!H30</f>
        <v>15717456</v>
      </c>
      <c r="I222" s="75">
        <f>+'5. Csicsergő'!I30</f>
        <v>0</v>
      </c>
      <c r="J222" s="75">
        <f>+'5. Csicsergő'!J30</f>
        <v>0</v>
      </c>
      <c r="K222" s="75"/>
      <c r="L222" s="75"/>
      <c r="M222" s="75"/>
      <c r="N222" s="75"/>
      <c r="O222" s="75"/>
      <c r="P222" s="75">
        <f>+'5. Csicsergő'!P30</f>
        <v>0</v>
      </c>
      <c r="Q222" s="75">
        <f>+'5. Csicsergő'!Q30</f>
        <v>-28627000</v>
      </c>
      <c r="R222" s="75">
        <f>+'5. Csicsergő'!R30</f>
        <v>0</v>
      </c>
      <c r="S222" s="75">
        <f>+'5. Csicsergő'!S30</f>
        <v>-28627000</v>
      </c>
      <c r="U222" s="76"/>
    </row>
    <row r="223" spans="1:21" hidden="1" x14ac:dyDescent="0.2">
      <c r="A223" s="22"/>
      <c r="B223" s="58" t="str">
        <f t="shared" si="59"/>
        <v>GÓLYAHÍR BÖLCSŐDE</v>
      </c>
      <c r="C223" s="75">
        <f>+'6. Gólyahír'!C29</f>
        <v>8079000</v>
      </c>
      <c r="D223" s="75">
        <f>+'6. Gólyahír'!D29</f>
        <v>8079000</v>
      </c>
      <c r="E223" s="75">
        <f>+'6. Gólyahír'!E29</f>
        <v>0</v>
      </c>
      <c r="F223" s="75">
        <f>+'6. Gólyahír'!F29</f>
        <v>0</v>
      </c>
      <c r="G223" s="75"/>
      <c r="H223" s="75">
        <f>+'6. Gólyahír'!H29</f>
        <v>4326412</v>
      </c>
      <c r="I223" s="75">
        <f>+'6. Gólyahír'!I29</f>
        <v>0</v>
      </c>
      <c r="J223" s="75">
        <f>+'6. Gólyahír'!J29</f>
        <v>0</v>
      </c>
      <c r="K223" s="75"/>
      <c r="L223" s="75"/>
      <c r="M223" s="75"/>
      <c r="N223" s="75"/>
      <c r="O223" s="75"/>
      <c r="P223" s="75">
        <f>+'6. Gólyahír'!P29</f>
        <v>0</v>
      </c>
      <c r="Q223" s="75">
        <f>+'6. Gólyahír'!Q29</f>
        <v>-8079000</v>
      </c>
      <c r="R223" s="75">
        <f>+'6. Gólyahír'!R29</f>
        <v>0</v>
      </c>
      <c r="S223" s="75">
        <f>+'6. Gólyahír'!S29</f>
        <v>-8079000</v>
      </c>
      <c r="U223" s="76"/>
    </row>
    <row r="224" spans="1:21" hidden="1" x14ac:dyDescent="0.2">
      <c r="A224" s="22"/>
      <c r="B224" s="58" t="str">
        <f t="shared" si="59"/>
        <v>POLGÁRMESTERI HIVATAL</v>
      </c>
      <c r="C224" s="75">
        <f>+'7. Polg.Hiv.'!C29</f>
        <v>18770000</v>
      </c>
      <c r="D224" s="75">
        <f>+'7. Polg.Hiv.'!D29</f>
        <v>18770000</v>
      </c>
      <c r="E224" s="75">
        <f>+'7. Polg.Hiv.'!E29</f>
        <v>0</v>
      </c>
      <c r="F224" s="75">
        <f>+'7. Polg.Hiv.'!F29</f>
        <v>0</v>
      </c>
      <c r="G224" s="75"/>
      <c r="H224" s="75">
        <f>+'7. Polg.Hiv.'!H29</f>
        <v>9993764</v>
      </c>
      <c r="I224" s="75">
        <f>+'7. Polg.Hiv.'!I29</f>
        <v>0</v>
      </c>
      <c r="J224" s="75">
        <f>+'7. Polg.Hiv.'!J29</f>
        <v>0</v>
      </c>
      <c r="K224" s="75"/>
      <c r="L224" s="75"/>
      <c r="M224" s="75"/>
      <c r="N224" s="75"/>
      <c r="O224" s="75"/>
      <c r="P224" s="75">
        <f>+'7. Polg.Hiv.'!P29</f>
        <v>0</v>
      </c>
      <c r="Q224" s="75">
        <f>+'7. Polg.Hiv.'!Q29</f>
        <v>-18770000</v>
      </c>
      <c r="R224" s="75">
        <f>+'7. Polg.Hiv.'!R29</f>
        <v>0</v>
      </c>
      <c r="S224" s="75">
        <f>+'7. Polg.Hiv.'!S29</f>
        <v>-18770000</v>
      </c>
      <c r="U224" s="76"/>
    </row>
    <row r="225" spans="1:21" hidden="1" x14ac:dyDescent="0.2">
      <c r="A225" s="22"/>
      <c r="B225" s="58" t="str">
        <f t="shared" si="59"/>
        <v>Wass Albert Művelődési Központ és Könyvtár</v>
      </c>
      <c r="C225" s="75">
        <f>+'8. WAMKK'!C29</f>
        <v>3122000</v>
      </c>
      <c r="D225" s="75">
        <f>+'8. WAMKK'!D29</f>
        <v>3122000</v>
      </c>
      <c r="E225" s="75">
        <f>+'8. WAMKK'!E29</f>
        <v>0</v>
      </c>
      <c r="F225" s="75">
        <f>+'8. WAMKK'!F29</f>
        <v>0</v>
      </c>
      <c r="G225" s="75"/>
      <c r="H225" s="75">
        <f>+'8. WAMKK'!H29</f>
        <v>1584849</v>
      </c>
      <c r="I225" s="75">
        <f>+'8. WAMKK'!I29</f>
        <v>0</v>
      </c>
      <c r="J225" s="75">
        <f>+'8. WAMKK'!J29</f>
        <v>0</v>
      </c>
      <c r="K225" s="75"/>
      <c r="L225" s="75"/>
      <c r="M225" s="75"/>
      <c r="N225" s="75"/>
      <c r="O225" s="75"/>
      <c r="P225" s="75">
        <f>+'8. WAMKK'!P29</f>
        <v>0</v>
      </c>
      <c r="Q225" s="75">
        <f>+'8. WAMKK'!Q29</f>
        <v>-3122000</v>
      </c>
      <c r="R225" s="75">
        <f>+'8. WAMKK'!R29</f>
        <v>0</v>
      </c>
      <c r="S225" s="75">
        <f>+'8. WAMKK'!S29</f>
        <v>-3122000</v>
      </c>
      <c r="U225" s="76"/>
    </row>
    <row r="226" spans="1:21" hidden="1" x14ac:dyDescent="0.2">
      <c r="A226" s="22"/>
      <c r="B226" s="58" t="str">
        <f t="shared" si="59"/>
        <v>Központi Konyha</v>
      </c>
      <c r="C226" s="75">
        <f>+'9. Közp. Konyha'!C29</f>
        <v>5375000</v>
      </c>
      <c r="D226" s="75">
        <f>+'9. Közp. Konyha'!D29</f>
        <v>5375000</v>
      </c>
      <c r="E226" s="75">
        <f>+'9. Közp. Konyha'!E29</f>
        <v>0</v>
      </c>
      <c r="F226" s="75">
        <f>+'9. Közp. Konyha'!F29</f>
        <v>0</v>
      </c>
      <c r="G226" s="75"/>
      <c r="H226" s="75">
        <f>+'9. Közp. Konyha'!H29</f>
        <v>2994544</v>
      </c>
      <c r="I226" s="75">
        <f>+'9. Közp. Konyha'!I29</f>
        <v>0</v>
      </c>
      <c r="J226" s="75">
        <f>+'9. Közp. Konyha'!J29</f>
        <v>0</v>
      </c>
      <c r="K226" s="75"/>
      <c r="L226" s="75"/>
      <c r="M226" s="75"/>
      <c r="N226" s="75"/>
      <c r="O226" s="75"/>
      <c r="P226" s="75">
        <f>+'9. Közp. Konyha'!P29</f>
        <v>0</v>
      </c>
      <c r="Q226" s="75">
        <f>+'9. Közp. Konyha'!Q29</f>
        <v>-5375000</v>
      </c>
      <c r="R226" s="75">
        <f>+'9. Közp. Konyha'!R29</f>
        <v>0</v>
      </c>
      <c r="S226" s="75">
        <f>+'9. Közp. Konyha'!S29</f>
        <v>-5375000</v>
      </c>
      <c r="U226" s="76"/>
    </row>
    <row r="227" spans="1:21" hidden="1" x14ac:dyDescent="0.2">
      <c r="A227" s="22"/>
      <c r="B227" s="367" t="s">
        <v>452</v>
      </c>
      <c r="C227" s="368">
        <f>SUM(C221:C226)</f>
        <v>68753000</v>
      </c>
      <c r="D227" s="368">
        <f>SUM(D221:D226)</f>
        <v>68753000</v>
      </c>
      <c r="E227" s="368">
        <f>SUM(E221:E226)</f>
        <v>0</v>
      </c>
      <c r="F227" s="368">
        <f>SUM(F221:F226)</f>
        <v>0</v>
      </c>
      <c r="G227" s="368"/>
      <c r="H227" s="368">
        <f>SUM(H221:H226)</f>
        <v>37101631</v>
      </c>
      <c r="I227" s="368">
        <f>SUM(I221:I226)</f>
        <v>0</v>
      </c>
      <c r="J227" s="368">
        <f>SUM(J221:J226)</f>
        <v>0</v>
      </c>
      <c r="K227" s="368"/>
      <c r="L227" s="368"/>
      <c r="M227" s="368"/>
      <c r="N227" s="368"/>
      <c r="O227" s="368"/>
      <c r="P227" s="368">
        <f>SUM(P221:P226)</f>
        <v>0</v>
      </c>
      <c r="Q227" s="368">
        <f>SUM(Q221:Q226)</f>
        <v>-68753000</v>
      </c>
      <c r="R227" s="368">
        <f>SUM(R221:R226)</f>
        <v>0</v>
      </c>
      <c r="S227" s="369">
        <f>SUM(S221:S226)</f>
        <v>-68753000</v>
      </c>
      <c r="U227" s="76"/>
    </row>
    <row r="228" spans="1:21" hidden="1" x14ac:dyDescent="0.2">
      <c r="A228" s="22"/>
      <c r="B228" s="22"/>
      <c r="C228" s="75"/>
      <c r="D228" s="76"/>
      <c r="E228" s="76"/>
      <c r="F228" s="76"/>
      <c r="G228" s="76"/>
      <c r="H228" s="75"/>
      <c r="K228" s="76"/>
      <c r="L228" s="93"/>
      <c r="M228" s="88"/>
      <c r="O228" s="76"/>
      <c r="P228" s="75"/>
      <c r="Q228" s="75"/>
      <c r="R228" s="75"/>
      <c r="S228" s="75"/>
      <c r="U228" s="76"/>
    </row>
    <row r="229" spans="1:21" hidden="1" x14ac:dyDescent="0.2">
      <c r="A229" s="58" t="s">
        <v>29</v>
      </c>
      <c r="B229" s="58" t="str">
        <f>+B221</f>
        <v>Dr. Gáspár István HSZK</v>
      </c>
      <c r="C229" s="75">
        <f>+'4. Dr Gáspár HSZK'!C32</f>
        <v>10571000</v>
      </c>
      <c r="D229" s="75">
        <f>+'4. Dr Gáspár HSZK'!D32</f>
        <v>10980000</v>
      </c>
      <c r="E229" s="75">
        <f>+'4. Dr Gáspár HSZK'!E32</f>
        <v>0</v>
      </c>
      <c r="F229" s="75">
        <f>+'4. Dr Gáspár HSZK'!F32</f>
        <v>0</v>
      </c>
      <c r="G229" s="75"/>
      <c r="H229" s="75">
        <f>+'4. Dr Gáspár HSZK'!H32</f>
        <v>5462412</v>
      </c>
      <c r="I229" s="75">
        <f>+'4. Dr Gáspár HSZK'!I32</f>
        <v>0</v>
      </c>
      <c r="J229" s="75">
        <f>+'4. Dr Gáspár HSZK'!J32</f>
        <v>0</v>
      </c>
      <c r="K229" s="75"/>
      <c r="L229" s="75"/>
      <c r="M229" s="75"/>
      <c r="N229" s="75"/>
      <c r="O229" s="75"/>
      <c r="P229" s="75">
        <f>+'4. Dr Gáspár HSZK'!P32</f>
        <v>409000</v>
      </c>
      <c r="Q229" s="75">
        <f>+'4. Dr Gáspár HSZK'!Q32</f>
        <v>-10980000</v>
      </c>
      <c r="R229" s="75">
        <f>+'4. Dr Gáspár HSZK'!R32</f>
        <v>0</v>
      </c>
      <c r="S229" s="75">
        <f>+'4. Dr Gáspár HSZK'!S32</f>
        <v>-10571000</v>
      </c>
      <c r="U229" s="76"/>
    </row>
    <row r="230" spans="1:21" hidden="1" x14ac:dyDescent="0.2">
      <c r="A230" s="22"/>
      <c r="B230" s="58" t="str">
        <f t="shared" ref="B230:B234" si="60">+B222</f>
        <v>SÜLYSÁPI CSICSERGŐ ÓVODA</v>
      </c>
      <c r="C230" s="75">
        <f>+'5. Csicsergő'!C33</f>
        <v>8913000</v>
      </c>
      <c r="D230" s="75">
        <f>+'5. Csicsergő'!D33</f>
        <v>10814000</v>
      </c>
      <c r="E230" s="75">
        <f>+'5. Csicsergő'!E33</f>
        <v>0</v>
      </c>
      <c r="F230" s="75">
        <f>+'5. Csicsergő'!F33</f>
        <v>0</v>
      </c>
      <c r="G230" s="75"/>
      <c r="H230" s="75">
        <f>+'5. Csicsergő'!H33</f>
        <v>7922608</v>
      </c>
      <c r="I230" s="75">
        <f>+'5. Csicsergő'!I33</f>
        <v>0</v>
      </c>
      <c r="J230" s="75">
        <f>+'5. Csicsergő'!J33</f>
        <v>0</v>
      </c>
      <c r="K230" s="75"/>
      <c r="L230" s="75"/>
      <c r="M230" s="75"/>
      <c r="N230" s="75"/>
      <c r="O230" s="75"/>
      <c r="P230" s="75">
        <f>+'5. Csicsergő'!P33</f>
        <v>1901000</v>
      </c>
      <c r="Q230" s="75">
        <f>+'5. Csicsergő'!Q33</f>
        <v>-10814000</v>
      </c>
      <c r="R230" s="75">
        <f>+'5. Csicsergő'!R33</f>
        <v>0</v>
      </c>
      <c r="S230" s="75">
        <f>+'5. Csicsergő'!S33</f>
        <v>-8913000</v>
      </c>
      <c r="U230" s="76"/>
    </row>
    <row r="231" spans="1:21" hidden="1" x14ac:dyDescent="0.2">
      <c r="A231" s="22"/>
      <c r="B231" s="58" t="str">
        <f t="shared" si="60"/>
        <v>GÓLYAHÍR BÖLCSŐDE</v>
      </c>
      <c r="C231" s="75">
        <f>+'6. Gólyahír'!C32</f>
        <v>10325000</v>
      </c>
      <c r="D231" s="75">
        <f>+'6. Gólyahír'!D32</f>
        <v>10277000</v>
      </c>
      <c r="E231" s="75">
        <f>+'6. Gólyahír'!E32</f>
        <v>0</v>
      </c>
      <c r="F231" s="75">
        <f>+'6. Gólyahír'!F32</f>
        <v>0</v>
      </c>
      <c r="G231" s="75"/>
      <c r="H231" s="75">
        <f>+'6. Gólyahír'!H32</f>
        <v>4020708</v>
      </c>
      <c r="I231" s="75">
        <f>+'6. Gólyahír'!I32</f>
        <v>0</v>
      </c>
      <c r="J231" s="75">
        <f>+'6. Gólyahír'!J32</f>
        <v>0</v>
      </c>
      <c r="K231" s="75"/>
      <c r="L231" s="75"/>
      <c r="M231" s="75"/>
      <c r="N231" s="75"/>
      <c r="O231" s="75"/>
      <c r="P231" s="75">
        <f>+'6. Gólyahír'!P32</f>
        <v>-48000</v>
      </c>
      <c r="Q231" s="75">
        <f>+'6. Gólyahír'!Q32</f>
        <v>-10277000</v>
      </c>
      <c r="R231" s="75">
        <f>+'6. Gólyahír'!R32</f>
        <v>0</v>
      </c>
      <c r="S231" s="75">
        <f>+'6. Gólyahír'!S32</f>
        <v>-10325000</v>
      </c>
      <c r="U231" s="76"/>
    </row>
    <row r="232" spans="1:21" hidden="1" x14ac:dyDescent="0.2">
      <c r="A232" s="22"/>
      <c r="B232" s="58" t="str">
        <f t="shared" si="60"/>
        <v>POLGÁRMESTERI HIVATAL</v>
      </c>
      <c r="C232" s="75">
        <f>+'7. Polg.Hiv.'!C32</f>
        <v>10409999</v>
      </c>
      <c r="D232" s="75">
        <f>+'7. Polg.Hiv.'!D32</f>
        <v>10409999</v>
      </c>
      <c r="E232" s="75">
        <f>+'7. Polg.Hiv.'!E32</f>
        <v>0</v>
      </c>
      <c r="F232" s="75">
        <f>+'7. Polg.Hiv.'!F32</f>
        <v>0</v>
      </c>
      <c r="G232" s="75"/>
      <c r="H232" s="75">
        <f>+'7. Polg.Hiv.'!H32</f>
        <v>5569152</v>
      </c>
      <c r="I232" s="75">
        <f>+'7. Polg.Hiv.'!I32</f>
        <v>0</v>
      </c>
      <c r="J232" s="75">
        <f>+'7. Polg.Hiv.'!J32</f>
        <v>0</v>
      </c>
      <c r="K232" s="75"/>
      <c r="L232" s="75"/>
      <c r="M232" s="75"/>
      <c r="N232" s="75"/>
      <c r="O232" s="75"/>
      <c r="P232" s="75">
        <f>+'7. Polg.Hiv.'!P32</f>
        <v>0</v>
      </c>
      <c r="Q232" s="75">
        <f>+'7. Polg.Hiv.'!Q32</f>
        <v>-10409999</v>
      </c>
      <c r="R232" s="75">
        <f>+'7. Polg.Hiv.'!R32</f>
        <v>0</v>
      </c>
      <c r="S232" s="75">
        <f>+'7. Polg.Hiv.'!S32</f>
        <v>-10409999</v>
      </c>
      <c r="U232" s="76"/>
    </row>
    <row r="233" spans="1:21" hidden="1" x14ac:dyDescent="0.2">
      <c r="A233" s="22"/>
      <c r="B233" s="58" t="str">
        <f t="shared" si="60"/>
        <v>Wass Albert Művelődési Központ és Könyvtár</v>
      </c>
      <c r="C233" s="75">
        <f>+'8. WAMKK'!C32</f>
        <v>13613000</v>
      </c>
      <c r="D233" s="75">
        <f>+'8. WAMKK'!D32</f>
        <v>15199000</v>
      </c>
      <c r="E233" s="75">
        <f>+'8. WAMKK'!E32</f>
        <v>0</v>
      </c>
      <c r="F233" s="75">
        <f>+'8. WAMKK'!F32</f>
        <v>0</v>
      </c>
      <c r="G233" s="75"/>
      <c r="H233" s="75">
        <f>+'8. WAMKK'!H32</f>
        <v>6129626</v>
      </c>
      <c r="I233" s="75">
        <f>+'8. WAMKK'!I32</f>
        <v>0</v>
      </c>
      <c r="J233" s="75">
        <f>+'8. WAMKK'!J32</f>
        <v>0</v>
      </c>
      <c r="K233" s="75"/>
      <c r="L233" s="75"/>
      <c r="M233" s="75"/>
      <c r="N233" s="75"/>
      <c r="O233" s="75"/>
      <c r="P233" s="75">
        <f>+'8. WAMKK'!P32</f>
        <v>1586000</v>
      </c>
      <c r="Q233" s="75">
        <f>+'8. WAMKK'!Q32</f>
        <v>-15199000</v>
      </c>
      <c r="R233" s="75">
        <f>+'8. WAMKK'!R32</f>
        <v>0</v>
      </c>
      <c r="S233" s="75">
        <f>+'8. WAMKK'!S32</f>
        <v>-13613000</v>
      </c>
      <c r="U233" s="76"/>
    </row>
    <row r="234" spans="1:21" hidden="1" x14ac:dyDescent="0.2">
      <c r="A234" s="22"/>
      <c r="B234" s="58" t="str">
        <f t="shared" si="60"/>
        <v>Központi Konyha</v>
      </c>
      <c r="C234" s="75">
        <f>+'9. Közp. Konyha'!C32</f>
        <v>69192000</v>
      </c>
      <c r="D234" s="75">
        <f>+'9. Közp. Konyha'!D32</f>
        <v>69192000</v>
      </c>
      <c r="E234" s="75">
        <f>+'9. Közp. Konyha'!E32</f>
        <v>0</v>
      </c>
      <c r="F234" s="75">
        <f>+'9. Közp. Konyha'!F32</f>
        <v>0</v>
      </c>
      <c r="G234" s="75"/>
      <c r="H234" s="75">
        <f>+'9. Közp. Konyha'!H32</f>
        <v>36293747</v>
      </c>
      <c r="I234" s="75">
        <f>+'9. Közp. Konyha'!I32</f>
        <v>0</v>
      </c>
      <c r="J234" s="75">
        <f>+'9. Közp. Konyha'!J32</f>
        <v>0</v>
      </c>
      <c r="K234" s="75"/>
      <c r="L234" s="75"/>
      <c r="M234" s="75"/>
      <c r="N234" s="75"/>
      <c r="O234" s="75"/>
      <c r="P234" s="75">
        <f>+'9. Közp. Konyha'!P32</f>
        <v>0</v>
      </c>
      <c r="Q234" s="75">
        <f>+'9. Közp. Konyha'!Q32</f>
        <v>-69192000</v>
      </c>
      <c r="R234" s="75">
        <f>+'9. Közp. Konyha'!R32</f>
        <v>0</v>
      </c>
      <c r="S234" s="75">
        <f>+'9. Közp. Konyha'!S32</f>
        <v>-69192000</v>
      </c>
      <c r="U234" s="76"/>
    </row>
    <row r="235" spans="1:21" hidden="1" x14ac:dyDescent="0.2">
      <c r="A235" s="22"/>
      <c r="B235" s="367" t="s">
        <v>452</v>
      </c>
      <c r="C235" s="368">
        <f>SUM(C229:C234)</f>
        <v>123023999</v>
      </c>
      <c r="D235" s="368">
        <f>SUM(D229:D234)</f>
        <v>126871999</v>
      </c>
      <c r="E235" s="368">
        <f>SUM(E229:E234)</f>
        <v>0</v>
      </c>
      <c r="F235" s="368">
        <f>SUM(F229:F234)</f>
        <v>0</v>
      </c>
      <c r="G235" s="368"/>
      <c r="H235" s="368">
        <f>SUM(H229:H234)</f>
        <v>65398253</v>
      </c>
      <c r="I235" s="368">
        <f>SUM(I229:I234)</f>
        <v>0</v>
      </c>
      <c r="J235" s="368">
        <f>SUM(J229:J234)</f>
        <v>0</v>
      </c>
      <c r="K235" s="368"/>
      <c r="L235" s="368"/>
      <c r="M235" s="368"/>
      <c r="N235" s="368"/>
      <c r="O235" s="368"/>
      <c r="P235" s="368">
        <f>SUM(P229:P234)</f>
        <v>3848000</v>
      </c>
      <c r="Q235" s="368">
        <f>SUM(Q229:Q234)</f>
        <v>-126871999</v>
      </c>
      <c r="R235" s="368">
        <f>SUM(R229:R234)</f>
        <v>0</v>
      </c>
      <c r="S235" s="369">
        <f>SUM(S229:S234)</f>
        <v>-123023999</v>
      </c>
      <c r="U235" s="76"/>
    </row>
    <row r="236" spans="1:21" hidden="1" x14ac:dyDescent="0.2">
      <c r="A236" s="22"/>
      <c r="B236" s="22"/>
      <c r="C236" s="75"/>
      <c r="D236" s="76"/>
      <c r="E236" s="76"/>
      <c r="F236" s="76"/>
      <c r="G236" s="76"/>
      <c r="H236" s="75"/>
      <c r="K236" s="76"/>
      <c r="L236" s="93"/>
      <c r="M236" s="88"/>
      <c r="O236" s="76"/>
      <c r="P236" s="75"/>
      <c r="Q236" s="75"/>
      <c r="R236" s="75"/>
      <c r="S236" s="75"/>
      <c r="U236" s="76"/>
    </row>
    <row r="237" spans="1:21" hidden="1" x14ac:dyDescent="0.2">
      <c r="A237" s="22"/>
      <c r="B237" s="22"/>
      <c r="C237" s="75">
        <f>+C227+C219</f>
        <v>380434100</v>
      </c>
      <c r="D237" s="76"/>
      <c r="E237" s="76"/>
      <c r="F237" s="76"/>
      <c r="G237" s="76"/>
      <c r="H237" s="75"/>
      <c r="K237" s="76"/>
      <c r="L237" s="93"/>
      <c r="M237" s="88"/>
      <c r="O237" s="76"/>
      <c r="P237" s="75"/>
      <c r="Q237" s="75"/>
      <c r="R237" s="75"/>
      <c r="S237" s="75"/>
      <c r="U237" s="76"/>
    </row>
    <row r="238" spans="1:21" hidden="1" x14ac:dyDescent="0.2">
      <c r="A238" s="22"/>
      <c r="B238" s="22"/>
      <c r="C238" s="75"/>
      <c r="D238" s="76"/>
      <c r="E238" s="76"/>
      <c r="F238" s="76"/>
      <c r="G238" s="76"/>
      <c r="H238" s="75"/>
      <c r="K238" s="76"/>
      <c r="L238" s="93"/>
      <c r="M238" s="88"/>
      <c r="O238" s="76"/>
      <c r="P238" s="75"/>
      <c r="Q238" s="75"/>
      <c r="R238" s="75"/>
      <c r="S238" s="75"/>
      <c r="U238" s="76"/>
    </row>
    <row r="239" spans="1:21" hidden="1" x14ac:dyDescent="0.2">
      <c r="A239" s="22"/>
      <c r="B239" s="22"/>
      <c r="C239" s="75"/>
      <c r="D239" s="76"/>
      <c r="E239" s="76"/>
      <c r="F239" s="76"/>
      <c r="G239" s="76"/>
      <c r="H239" s="75"/>
      <c r="K239" s="76"/>
      <c r="L239" s="93"/>
      <c r="M239" s="88"/>
      <c r="O239" s="76"/>
      <c r="P239" s="75"/>
      <c r="Q239" s="75"/>
      <c r="R239" s="75"/>
      <c r="S239" s="75"/>
      <c r="U239" s="76"/>
    </row>
    <row r="240" spans="1:21" hidden="1" x14ac:dyDescent="0.2">
      <c r="A240" s="22"/>
      <c r="B240" s="22"/>
      <c r="C240" s="22"/>
      <c r="D240" s="23"/>
      <c r="H240" s="22"/>
      <c r="L240" s="93"/>
      <c r="M240" s="88"/>
      <c r="P240" s="22"/>
      <c r="Q240" s="22"/>
      <c r="R240" s="22"/>
      <c r="S240" s="22"/>
    </row>
    <row r="241" spans="1:19" hidden="1" x14ac:dyDescent="0.2">
      <c r="A241" s="22"/>
      <c r="B241" s="22"/>
      <c r="C241" s="22"/>
      <c r="D241" s="23"/>
      <c r="H241" s="22"/>
      <c r="L241" s="22"/>
      <c r="P241" s="22"/>
      <c r="Q241" s="22"/>
      <c r="R241" s="22"/>
      <c r="S241" s="22"/>
    </row>
    <row r="242" spans="1:19" hidden="1" x14ac:dyDescent="0.2">
      <c r="A242" s="22"/>
      <c r="B242" s="22"/>
      <c r="C242" s="22"/>
      <c r="D242" s="23"/>
      <c r="H242" s="22"/>
      <c r="L242" s="22"/>
      <c r="P242" s="22"/>
      <c r="Q242" s="22"/>
      <c r="R242" s="22"/>
      <c r="S242" s="22"/>
    </row>
    <row r="243" spans="1:19" hidden="1" x14ac:dyDescent="0.2">
      <c r="A243" s="22"/>
      <c r="B243" s="22"/>
      <c r="C243" s="22"/>
      <c r="D243" s="23"/>
      <c r="H243" s="22"/>
      <c r="L243" s="22"/>
      <c r="P243" s="22"/>
      <c r="Q243" s="22"/>
      <c r="R243" s="22"/>
      <c r="S243" s="22"/>
    </row>
    <row r="244" spans="1:19" hidden="1" x14ac:dyDescent="0.2">
      <c r="A244" s="22"/>
      <c r="B244" s="22"/>
      <c r="C244" s="22"/>
      <c r="D244" s="23"/>
      <c r="H244" s="22"/>
      <c r="L244" s="22"/>
      <c r="P244" s="22"/>
      <c r="Q244" s="22"/>
      <c r="R244" s="22"/>
      <c r="S244" s="22"/>
    </row>
    <row r="245" spans="1:19" hidden="1" x14ac:dyDescent="0.2">
      <c r="A245" s="22"/>
      <c r="B245" s="22"/>
      <c r="C245" s="22"/>
      <c r="D245" s="23"/>
      <c r="H245" s="22"/>
      <c r="L245" s="22"/>
      <c r="P245" s="22"/>
      <c r="Q245" s="22"/>
      <c r="R245" s="22"/>
      <c r="S245" s="22"/>
    </row>
    <row r="246" spans="1:19" hidden="1" x14ac:dyDescent="0.2">
      <c r="A246" s="22"/>
      <c r="B246" s="22"/>
      <c r="C246" s="22"/>
      <c r="D246" s="23"/>
      <c r="H246" s="22"/>
      <c r="L246" s="22"/>
      <c r="P246" s="22"/>
      <c r="Q246" s="22"/>
      <c r="R246" s="22"/>
      <c r="S246" s="22"/>
    </row>
    <row r="247" spans="1:19" hidden="1" x14ac:dyDescent="0.2">
      <c r="A247" s="22"/>
      <c r="B247" s="22"/>
      <c r="C247" s="22"/>
      <c r="D247" s="23"/>
      <c r="H247" s="22"/>
      <c r="L247" s="22"/>
      <c r="P247" s="22"/>
      <c r="Q247" s="22"/>
      <c r="R247" s="22"/>
      <c r="S247" s="22"/>
    </row>
    <row r="248" spans="1:19" hidden="1" x14ac:dyDescent="0.2">
      <c r="A248" s="22"/>
      <c r="B248" s="22"/>
      <c r="C248" s="22"/>
      <c r="D248" s="23"/>
      <c r="H248" s="22"/>
      <c r="L248" s="22"/>
      <c r="P248" s="22"/>
      <c r="Q248" s="22"/>
      <c r="R248" s="22"/>
      <c r="S248" s="22"/>
    </row>
    <row r="249" spans="1:19" hidden="1" x14ac:dyDescent="0.2">
      <c r="A249" s="22"/>
      <c r="B249" s="22"/>
      <c r="C249" s="22"/>
      <c r="D249" s="23"/>
      <c r="H249" s="22"/>
      <c r="L249" s="22"/>
      <c r="P249" s="22"/>
      <c r="Q249" s="22"/>
      <c r="R249" s="22"/>
      <c r="S249" s="22"/>
    </row>
    <row r="250" spans="1:19" hidden="1" x14ac:dyDescent="0.2">
      <c r="A250" s="22"/>
      <c r="B250" s="22"/>
      <c r="C250" s="22"/>
      <c r="D250" s="23"/>
      <c r="H250" s="22"/>
      <c r="L250" s="22"/>
      <c r="P250" s="22"/>
      <c r="Q250" s="22"/>
      <c r="R250" s="22"/>
      <c r="S250" s="22"/>
    </row>
    <row r="251" spans="1:19" hidden="1" x14ac:dyDescent="0.2">
      <c r="A251" s="22"/>
      <c r="B251" s="22"/>
      <c r="C251" s="22"/>
      <c r="D251" s="23"/>
      <c r="H251" s="22"/>
      <c r="L251" s="22"/>
      <c r="P251" s="22"/>
      <c r="Q251" s="22"/>
      <c r="R251" s="22"/>
      <c r="S251" s="22"/>
    </row>
    <row r="252" spans="1:19" hidden="1" x14ac:dyDescent="0.2">
      <c r="A252" s="22"/>
      <c r="B252" s="22"/>
      <c r="C252" s="22"/>
      <c r="D252" s="23"/>
      <c r="H252" s="22"/>
      <c r="L252" s="22"/>
      <c r="P252" s="22"/>
      <c r="Q252" s="22"/>
      <c r="R252" s="22"/>
      <c r="S252" s="22"/>
    </row>
    <row r="253" spans="1:19" hidden="1" x14ac:dyDescent="0.2">
      <c r="A253" s="22"/>
      <c r="B253" s="22"/>
      <c r="C253" s="22"/>
      <c r="D253" s="23"/>
      <c r="H253" s="22"/>
      <c r="L253" s="22"/>
      <c r="P253" s="22"/>
      <c r="Q253" s="22"/>
      <c r="R253" s="22"/>
      <c r="S253" s="22"/>
    </row>
    <row r="254" spans="1:19" hidden="1" x14ac:dyDescent="0.2">
      <c r="A254" s="22"/>
      <c r="B254" s="22"/>
      <c r="C254" s="22"/>
      <c r="D254" s="23"/>
      <c r="H254" s="22"/>
      <c r="L254" s="22"/>
      <c r="P254" s="22"/>
      <c r="Q254" s="22"/>
      <c r="R254" s="22"/>
      <c r="S254" s="22"/>
    </row>
    <row r="255" spans="1:19" hidden="1" x14ac:dyDescent="0.2">
      <c r="A255" s="22"/>
      <c r="B255" s="22"/>
      <c r="C255" s="22"/>
      <c r="D255" s="23"/>
      <c r="H255" s="22"/>
      <c r="L255" s="22"/>
      <c r="P255" s="22"/>
      <c r="Q255" s="22"/>
      <c r="R255" s="22"/>
      <c r="S255" s="22"/>
    </row>
    <row r="256" spans="1:19" hidden="1" x14ac:dyDescent="0.2">
      <c r="A256" s="22"/>
      <c r="B256" s="22"/>
      <c r="C256" s="22"/>
      <c r="D256" s="23"/>
      <c r="H256" s="22"/>
      <c r="L256" s="22"/>
      <c r="P256" s="22"/>
      <c r="Q256" s="22"/>
      <c r="R256" s="22"/>
      <c r="S256" s="22"/>
    </row>
    <row r="257" spans="1:19" hidden="1" x14ac:dyDescent="0.2">
      <c r="A257" s="22"/>
      <c r="B257" s="22"/>
      <c r="C257" s="22"/>
      <c r="D257" s="23"/>
      <c r="H257" s="22"/>
      <c r="L257" s="22"/>
      <c r="P257" s="22"/>
      <c r="Q257" s="22"/>
      <c r="R257" s="22"/>
      <c r="S257" s="22"/>
    </row>
    <row r="258" spans="1:19" hidden="1" x14ac:dyDescent="0.2">
      <c r="A258" s="22"/>
      <c r="B258" s="22"/>
      <c r="C258" s="22"/>
      <c r="D258" s="23"/>
      <c r="H258" s="22"/>
      <c r="L258" s="22"/>
      <c r="P258" s="22"/>
      <c r="Q258" s="22"/>
      <c r="R258" s="22"/>
      <c r="S258" s="22"/>
    </row>
    <row r="259" spans="1:19" hidden="1" x14ac:dyDescent="0.2">
      <c r="A259" s="22"/>
      <c r="B259" s="22"/>
      <c r="C259" s="22"/>
      <c r="D259" s="23"/>
      <c r="H259" s="22"/>
      <c r="L259" s="22"/>
      <c r="P259" s="22"/>
      <c r="Q259" s="22"/>
      <c r="R259" s="22"/>
      <c r="S259" s="22"/>
    </row>
    <row r="260" spans="1:19" hidden="1" x14ac:dyDescent="0.2">
      <c r="A260" s="22"/>
      <c r="B260" s="22"/>
      <c r="C260" s="22"/>
      <c r="D260" s="23"/>
      <c r="H260" s="22"/>
      <c r="L260" s="22"/>
      <c r="P260" s="22"/>
      <c r="Q260" s="22"/>
      <c r="R260" s="22"/>
      <c r="S260" s="22"/>
    </row>
    <row r="261" spans="1:19" hidden="1" x14ac:dyDescent="0.2">
      <c r="A261" s="22"/>
      <c r="B261" s="22"/>
      <c r="C261" s="22"/>
      <c r="D261" s="23"/>
      <c r="H261" s="22"/>
      <c r="L261" s="22"/>
      <c r="P261" s="22"/>
      <c r="Q261" s="22"/>
      <c r="R261" s="22"/>
      <c r="S261" s="22"/>
    </row>
    <row r="262" spans="1:19" hidden="1" x14ac:dyDescent="0.2">
      <c r="A262" s="22"/>
      <c r="B262" s="22"/>
      <c r="C262" s="22"/>
      <c r="D262" s="23"/>
      <c r="H262" s="22"/>
      <c r="L262" s="22"/>
      <c r="P262" s="22"/>
      <c r="Q262" s="22"/>
      <c r="R262" s="22"/>
      <c r="S262" s="22"/>
    </row>
    <row r="263" spans="1:19" hidden="1" x14ac:dyDescent="0.2">
      <c r="A263" s="22"/>
      <c r="B263" s="22"/>
      <c r="C263" s="22"/>
      <c r="D263" s="23"/>
      <c r="H263" s="22"/>
      <c r="L263" s="22"/>
      <c r="P263" s="22"/>
      <c r="Q263" s="22"/>
      <c r="R263" s="22"/>
      <c r="S263" s="22"/>
    </row>
    <row r="264" spans="1:19" hidden="1" x14ac:dyDescent="0.2">
      <c r="A264" s="22"/>
      <c r="B264" s="22"/>
      <c r="C264" s="22"/>
      <c r="D264" s="23"/>
      <c r="H264" s="22"/>
      <c r="L264" s="22"/>
      <c r="P264" s="22"/>
      <c r="Q264" s="22"/>
      <c r="R264" s="22"/>
      <c r="S264" s="22"/>
    </row>
    <row r="265" spans="1:19" hidden="1" x14ac:dyDescent="0.2">
      <c r="A265" s="22"/>
      <c r="B265" s="22"/>
      <c r="C265" s="22"/>
      <c r="D265" s="23"/>
      <c r="H265" s="22"/>
      <c r="L265" s="22"/>
      <c r="P265" s="22"/>
      <c r="Q265" s="22"/>
      <c r="R265" s="22"/>
      <c r="S265" s="22"/>
    </row>
    <row r="266" spans="1:19" hidden="1" x14ac:dyDescent="0.2">
      <c r="A266" s="22"/>
      <c r="B266" s="22"/>
      <c r="C266" s="22"/>
      <c r="D266" s="23"/>
      <c r="H266" s="22"/>
      <c r="L266" s="22"/>
      <c r="P266" s="22"/>
      <c r="Q266" s="22"/>
      <c r="R266" s="22"/>
      <c r="S266" s="22"/>
    </row>
    <row r="267" spans="1:19" hidden="1" x14ac:dyDescent="0.2">
      <c r="A267" s="22"/>
      <c r="B267" s="22"/>
      <c r="C267" s="22"/>
      <c r="D267" s="23"/>
      <c r="H267" s="22"/>
      <c r="L267" s="22"/>
      <c r="P267" s="22"/>
      <c r="Q267" s="22"/>
      <c r="R267" s="22"/>
      <c r="S267" s="22"/>
    </row>
    <row r="268" spans="1:19" hidden="1" x14ac:dyDescent="0.2">
      <c r="A268" s="22"/>
      <c r="B268" s="22"/>
      <c r="C268" s="22"/>
      <c r="D268" s="23"/>
      <c r="H268" s="22"/>
      <c r="L268" s="22"/>
      <c r="P268" s="22"/>
      <c r="Q268" s="22"/>
      <c r="R268" s="22"/>
      <c r="S268" s="22"/>
    </row>
    <row r="269" spans="1:19" hidden="1" x14ac:dyDescent="0.2">
      <c r="A269" s="22"/>
      <c r="B269" s="22"/>
      <c r="C269" s="22"/>
      <c r="D269" s="23"/>
      <c r="H269" s="22"/>
      <c r="L269" s="22"/>
      <c r="P269" s="22"/>
      <c r="Q269" s="22"/>
      <c r="R269" s="22"/>
      <c r="S269" s="22"/>
    </row>
    <row r="270" spans="1:19" hidden="1" x14ac:dyDescent="0.2">
      <c r="A270" s="22"/>
      <c r="B270" s="22"/>
      <c r="C270" s="22"/>
      <c r="D270" s="23"/>
      <c r="H270" s="22"/>
      <c r="L270" s="22"/>
      <c r="P270" s="22"/>
      <c r="Q270" s="22"/>
      <c r="R270" s="22"/>
      <c r="S270" s="22"/>
    </row>
    <row r="271" spans="1:19" hidden="1" x14ac:dyDescent="0.2">
      <c r="A271" s="22"/>
      <c r="B271" s="22"/>
      <c r="C271" s="22"/>
      <c r="D271" s="23"/>
      <c r="H271" s="22"/>
      <c r="L271" s="22"/>
      <c r="P271" s="22"/>
      <c r="Q271" s="22"/>
      <c r="R271" s="22"/>
      <c r="S271" s="22"/>
    </row>
    <row r="272" spans="1:19" hidden="1" x14ac:dyDescent="0.2">
      <c r="A272" s="22"/>
      <c r="B272" s="22"/>
      <c r="C272" s="22"/>
      <c r="D272" s="23"/>
      <c r="H272" s="22"/>
      <c r="L272" s="22"/>
      <c r="P272" s="22"/>
      <c r="Q272" s="22"/>
      <c r="R272" s="22"/>
      <c r="S272" s="22"/>
    </row>
    <row r="273" spans="1:19" hidden="1" x14ac:dyDescent="0.2">
      <c r="A273" s="22"/>
      <c r="B273" s="22"/>
      <c r="C273" s="22"/>
      <c r="D273" s="23"/>
      <c r="H273" s="22"/>
      <c r="L273" s="22"/>
      <c r="P273" s="22"/>
      <c r="Q273" s="22"/>
      <c r="R273" s="22"/>
      <c r="S273" s="22"/>
    </row>
    <row r="274" spans="1:19" hidden="1" x14ac:dyDescent="0.2">
      <c r="A274" s="22"/>
      <c r="B274" s="22"/>
      <c r="C274" s="22"/>
      <c r="D274" s="23"/>
      <c r="H274" s="22"/>
      <c r="L274" s="22"/>
      <c r="P274" s="22"/>
      <c r="Q274" s="22"/>
      <c r="R274" s="22"/>
      <c r="S274" s="22"/>
    </row>
    <row r="275" spans="1:19" hidden="1" x14ac:dyDescent="0.2">
      <c r="A275" s="22"/>
      <c r="B275" s="22"/>
      <c r="C275" s="22"/>
      <c r="D275" s="23"/>
      <c r="H275" s="22"/>
      <c r="L275" s="22"/>
      <c r="P275" s="22"/>
      <c r="Q275" s="22"/>
      <c r="R275" s="22"/>
      <c r="S275" s="22"/>
    </row>
    <row r="276" spans="1:19" hidden="1" x14ac:dyDescent="0.2">
      <c r="A276" s="22"/>
      <c r="B276" s="22"/>
      <c r="C276" s="22"/>
      <c r="D276" s="23"/>
      <c r="H276" s="22"/>
      <c r="L276" s="22"/>
      <c r="P276" s="22"/>
      <c r="Q276" s="22"/>
      <c r="R276" s="22"/>
      <c r="S276" s="22"/>
    </row>
    <row r="277" spans="1:19" hidden="1" x14ac:dyDescent="0.2">
      <c r="A277" s="22"/>
      <c r="B277" s="22"/>
      <c r="C277" s="22"/>
      <c r="D277" s="23"/>
      <c r="H277" s="22"/>
      <c r="L277" s="22"/>
      <c r="P277" s="22"/>
      <c r="Q277" s="22"/>
      <c r="R277" s="22"/>
      <c r="S277" s="22"/>
    </row>
    <row r="278" spans="1:19" hidden="1" x14ac:dyDescent="0.2">
      <c r="A278" s="22"/>
      <c r="B278" s="22"/>
      <c r="C278" s="22"/>
      <c r="D278" s="23"/>
      <c r="H278" s="22"/>
      <c r="L278" s="22"/>
      <c r="P278" s="22"/>
      <c r="Q278" s="22"/>
      <c r="R278" s="22"/>
      <c r="S278" s="22"/>
    </row>
    <row r="279" spans="1:19" hidden="1" x14ac:dyDescent="0.2">
      <c r="A279" s="22"/>
      <c r="B279" s="22"/>
      <c r="C279" s="22"/>
      <c r="D279" s="23"/>
      <c r="H279" s="22"/>
      <c r="L279" s="22"/>
      <c r="P279" s="22"/>
      <c r="Q279" s="22"/>
      <c r="R279" s="22"/>
      <c r="S279" s="22"/>
    </row>
    <row r="280" spans="1:19" hidden="1" x14ac:dyDescent="0.2">
      <c r="A280" s="22"/>
      <c r="B280" s="22"/>
      <c r="C280" s="22"/>
      <c r="D280" s="23"/>
      <c r="H280" s="22"/>
      <c r="L280" s="22"/>
      <c r="P280" s="22"/>
      <c r="Q280" s="22"/>
      <c r="R280" s="22"/>
      <c r="S280" s="22"/>
    </row>
    <row r="281" spans="1:19" hidden="1" x14ac:dyDescent="0.2">
      <c r="A281" s="22"/>
      <c r="B281" s="22"/>
      <c r="C281" s="22"/>
      <c r="D281" s="23"/>
      <c r="H281" s="22"/>
      <c r="L281" s="22"/>
      <c r="P281" s="22"/>
      <c r="Q281" s="22"/>
      <c r="R281" s="22"/>
      <c r="S281" s="22"/>
    </row>
    <row r="282" spans="1:19" hidden="1" x14ac:dyDescent="0.2">
      <c r="A282" s="22"/>
      <c r="B282" s="22"/>
      <c r="C282" s="22"/>
      <c r="D282" s="23"/>
      <c r="H282" s="22"/>
      <c r="L282" s="22"/>
      <c r="P282" s="22"/>
      <c r="Q282" s="22"/>
      <c r="R282" s="22"/>
      <c r="S282" s="22"/>
    </row>
    <row r="283" spans="1:19" hidden="1" x14ac:dyDescent="0.2">
      <c r="A283" s="22"/>
      <c r="B283" s="22"/>
      <c r="C283" s="22"/>
      <c r="D283" s="23"/>
      <c r="H283" s="22"/>
      <c r="L283" s="22"/>
      <c r="P283" s="22"/>
      <c r="Q283" s="22"/>
      <c r="R283" s="22"/>
      <c r="S283" s="22"/>
    </row>
    <row r="284" spans="1:19" hidden="1" x14ac:dyDescent="0.2">
      <c r="A284" s="22"/>
      <c r="B284" s="22"/>
      <c r="C284" s="22"/>
      <c r="D284" s="23"/>
      <c r="H284" s="22"/>
      <c r="L284" s="22"/>
      <c r="P284" s="22"/>
      <c r="Q284" s="22"/>
      <c r="R284" s="22"/>
      <c r="S284" s="22"/>
    </row>
    <row r="285" spans="1:19" hidden="1" x14ac:dyDescent="0.2">
      <c r="A285" s="22"/>
      <c r="B285" s="22"/>
      <c r="C285" s="22"/>
      <c r="D285" s="23"/>
      <c r="H285" s="22"/>
      <c r="L285" s="22"/>
      <c r="P285" s="22"/>
      <c r="Q285" s="22"/>
      <c r="R285" s="22"/>
      <c r="S285" s="22"/>
    </row>
    <row r="286" spans="1:19" hidden="1" x14ac:dyDescent="0.2">
      <c r="A286" s="22"/>
      <c r="B286" s="22"/>
      <c r="C286" s="22"/>
      <c r="D286" s="23"/>
      <c r="H286" s="22"/>
      <c r="L286" s="22"/>
      <c r="P286" s="22"/>
      <c r="Q286" s="22"/>
      <c r="R286" s="22"/>
      <c r="S286" s="22"/>
    </row>
    <row r="287" spans="1:19" hidden="1" x14ac:dyDescent="0.2">
      <c r="A287" s="22"/>
      <c r="B287" s="22"/>
      <c r="C287" s="22"/>
      <c r="D287" s="23"/>
      <c r="H287" s="22"/>
      <c r="L287" s="22"/>
      <c r="P287" s="22"/>
      <c r="Q287" s="22"/>
      <c r="R287" s="22"/>
      <c r="S287" s="22"/>
    </row>
    <row r="288" spans="1:19" hidden="1" x14ac:dyDescent="0.2">
      <c r="A288" s="22"/>
      <c r="B288" s="22"/>
      <c r="C288" s="22"/>
      <c r="D288" s="23"/>
      <c r="H288" s="22"/>
      <c r="L288" s="22"/>
      <c r="P288" s="22"/>
      <c r="Q288" s="22"/>
      <c r="R288" s="22"/>
      <c r="S288" s="22"/>
    </row>
    <row r="289" spans="1:19" hidden="1" x14ac:dyDescent="0.2">
      <c r="A289" s="22"/>
      <c r="B289" s="22"/>
      <c r="C289" s="22"/>
      <c r="D289" s="23"/>
      <c r="H289" s="22"/>
      <c r="L289" s="22"/>
      <c r="P289" s="22"/>
      <c r="Q289" s="22"/>
      <c r="R289" s="22"/>
      <c r="S289" s="22"/>
    </row>
    <row r="290" spans="1:19" hidden="1" x14ac:dyDescent="0.2">
      <c r="A290" s="22"/>
      <c r="B290" s="22"/>
      <c r="C290" s="22"/>
      <c r="D290" s="23"/>
      <c r="H290" s="22"/>
      <c r="L290" s="22"/>
      <c r="P290" s="22"/>
      <c r="Q290" s="22"/>
      <c r="R290" s="22"/>
      <c r="S290" s="22"/>
    </row>
    <row r="291" spans="1:19" x14ac:dyDescent="0.2">
      <c r="A291" s="22"/>
      <c r="B291" s="22"/>
      <c r="C291" s="22"/>
      <c r="D291" s="23"/>
      <c r="H291" s="22"/>
      <c r="L291" s="22"/>
      <c r="P291" s="22"/>
      <c r="Q291" s="22"/>
      <c r="R291" s="22"/>
      <c r="S291" s="22"/>
    </row>
    <row r="292" spans="1:19" x14ac:dyDescent="0.2">
      <c r="A292" s="22"/>
      <c r="B292" s="22"/>
      <c r="C292" s="22"/>
      <c r="D292" s="23"/>
      <c r="H292" s="22"/>
      <c r="L292" s="22"/>
      <c r="P292" s="22"/>
      <c r="Q292" s="22"/>
      <c r="R292" s="22"/>
      <c r="S292" s="22"/>
    </row>
    <row r="293" spans="1:19" x14ac:dyDescent="0.2">
      <c r="A293" s="22"/>
      <c r="B293" s="22"/>
      <c r="C293" s="22"/>
      <c r="D293" s="23"/>
      <c r="H293" s="22"/>
      <c r="L293" s="22"/>
      <c r="P293" s="22"/>
      <c r="Q293" s="22"/>
      <c r="R293" s="22"/>
      <c r="S293" s="22"/>
    </row>
    <row r="294" spans="1:19" x14ac:dyDescent="0.2">
      <c r="A294" s="22"/>
      <c r="B294" s="22"/>
      <c r="C294" s="22"/>
      <c r="D294" s="23"/>
      <c r="H294" s="22"/>
      <c r="L294" s="22"/>
      <c r="P294" s="22"/>
      <c r="Q294" s="22"/>
      <c r="R294" s="22"/>
      <c r="S294" s="22"/>
    </row>
    <row r="295" spans="1:19" x14ac:dyDescent="0.2">
      <c r="A295" s="22"/>
      <c r="B295" s="22"/>
      <c r="C295" s="22"/>
      <c r="D295" s="23"/>
      <c r="H295" s="22"/>
      <c r="L295" s="22"/>
      <c r="P295" s="22"/>
      <c r="Q295" s="22"/>
      <c r="R295" s="22"/>
      <c r="S295" s="22"/>
    </row>
    <row r="296" spans="1:19" x14ac:dyDescent="0.2">
      <c r="A296" s="22"/>
      <c r="B296" s="22"/>
      <c r="C296" s="22"/>
      <c r="D296" s="23"/>
      <c r="H296" s="22"/>
      <c r="L296" s="22"/>
      <c r="P296" s="22"/>
      <c r="Q296" s="22"/>
      <c r="R296" s="22"/>
      <c r="S296" s="22"/>
    </row>
    <row r="297" spans="1:19" x14ac:dyDescent="0.2">
      <c r="A297" s="22"/>
      <c r="B297" s="22"/>
      <c r="C297" s="22"/>
      <c r="D297" s="23"/>
      <c r="H297" s="22"/>
      <c r="L297" s="22"/>
      <c r="P297" s="22"/>
      <c r="Q297" s="22"/>
      <c r="R297" s="22"/>
      <c r="S297" s="22"/>
    </row>
    <row r="298" spans="1:19" x14ac:dyDescent="0.2">
      <c r="A298" s="22"/>
      <c r="B298" s="22"/>
      <c r="C298" s="22"/>
      <c r="D298" s="23"/>
      <c r="H298" s="22"/>
      <c r="L298" s="22"/>
      <c r="P298" s="22"/>
      <c r="Q298" s="22"/>
      <c r="R298" s="22"/>
      <c r="S298" s="22"/>
    </row>
    <row r="299" spans="1:19" x14ac:dyDescent="0.2">
      <c r="A299" s="22"/>
      <c r="B299" s="22"/>
      <c r="C299" s="22"/>
      <c r="D299" s="23"/>
      <c r="H299" s="22"/>
      <c r="L299" s="22"/>
      <c r="P299" s="22"/>
      <c r="Q299" s="22"/>
      <c r="R299" s="22"/>
      <c r="S299" s="22"/>
    </row>
    <row r="300" spans="1:19" x14ac:dyDescent="0.2">
      <c r="A300" s="22"/>
      <c r="B300" s="22"/>
      <c r="C300" s="22"/>
      <c r="D300" s="23"/>
      <c r="H300" s="22"/>
      <c r="L300" s="22"/>
      <c r="P300" s="22"/>
      <c r="Q300" s="22"/>
      <c r="R300" s="22"/>
      <c r="S300" s="22"/>
    </row>
    <row r="301" spans="1:19" x14ac:dyDescent="0.2">
      <c r="A301" s="22"/>
      <c r="B301" s="22"/>
      <c r="C301" s="22"/>
      <c r="D301" s="23"/>
      <c r="H301" s="22"/>
      <c r="L301" s="22"/>
      <c r="P301" s="22"/>
      <c r="Q301" s="22"/>
      <c r="R301" s="22"/>
      <c r="S301" s="22"/>
    </row>
    <row r="302" spans="1:19" x14ac:dyDescent="0.2">
      <c r="A302" s="22"/>
      <c r="B302" s="22"/>
      <c r="C302" s="22"/>
      <c r="D302" s="23"/>
      <c r="H302" s="22"/>
      <c r="L302" s="22"/>
      <c r="P302" s="22"/>
      <c r="Q302" s="22"/>
      <c r="R302" s="22"/>
      <c r="S302" s="22"/>
    </row>
    <row r="303" spans="1:19" x14ac:dyDescent="0.2">
      <c r="A303" s="22"/>
      <c r="B303" s="22"/>
      <c r="C303" s="22"/>
      <c r="D303" s="23"/>
      <c r="H303" s="22"/>
      <c r="L303" s="22"/>
      <c r="P303" s="22"/>
      <c r="Q303" s="22"/>
      <c r="R303" s="22"/>
      <c r="S303" s="22"/>
    </row>
    <row r="304" spans="1:19" x14ac:dyDescent="0.2">
      <c r="A304" s="22"/>
      <c r="B304" s="22"/>
      <c r="C304" s="22"/>
      <c r="D304" s="23"/>
      <c r="H304" s="22"/>
      <c r="L304" s="22"/>
      <c r="P304" s="22"/>
      <c r="Q304" s="22"/>
      <c r="R304" s="22"/>
      <c r="S304" s="22"/>
    </row>
    <row r="305" spans="1:19" x14ac:dyDescent="0.2">
      <c r="A305" s="22"/>
      <c r="B305" s="22"/>
      <c r="C305" s="22"/>
      <c r="D305" s="23"/>
      <c r="H305" s="22"/>
      <c r="L305" s="22"/>
      <c r="P305" s="22"/>
      <c r="Q305" s="22"/>
      <c r="R305" s="22"/>
      <c r="S305" s="22"/>
    </row>
    <row r="306" spans="1:19" x14ac:dyDescent="0.2">
      <c r="A306" s="22"/>
      <c r="B306" s="22"/>
      <c r="C306" s="22"/>
      <c r="D306" s="23"/>
      <c r="H306" s="22"/>
      <c r="L306" s="22"/>
      <c r="P306" s="22"/>
      <c r="Q306" s="22"/>
      <c r="R306" s="22"/>
      <c r="S306" s="22"/>
    </row>
    <row r="307" spans="1:19" x14ac:dyDescent="0.2">
      <c r="A307" s="22"/>
      <c r="B307" s="22"/>
      <c r="C307" s="22"/>
      <c r="D307" s="23"/>
      <c r="H307" s="22"/>
      <c r="L307" s="22"/>
      <c r="P307" s="22"/>
      <c r="Q307" s="22"/>
      <c r="R307" s="22"/>
      <c r="S307" s="22"/>
    </row>
    <row r="308" spans="1:19" x14ac:dyDescent="0.2">
      <c r="A308" s="22"/>
      <c r="B308" s="22"/>
      <c r="C308" s="22"/>
      <c r="D308" s="23"/>
      <c r="H308" s="22"/>
      <c r="L308" s="22"/>
      <c r="P308" s="22"/>
      <c r="Q308" s="22"/>
      <c r="R308" s="22"/>
      <c r="S308" s="22"/>
    </row>
    <row r="309" spans="1:19" x14ac:dyDescent="0.2">
      <c r="A309" s="22"/>
      <c r="B309" s="22"/>
      <c r="C309" s="22"/>
      <c r="D309" s="23"/>
      <c r="H309" s="22"/>
      <c r="L309" s="22"/>
      <c r="P309" s="22"/>
      <c r="Q309" s="22"/>
      <c r="R309" s="22"/>
      <c r="S309" s="22"/>
    </row>
    <row r="310" spans="1:19" x14ac:dyDescent="0.2">
      <c r="A310" s="22"/>
      <c r="B310" s="22"/>
      <c r="C310" s="22"/>
      <c r="D310" s="23"/>
      <c r="H310" s="22"/>
      <c r="L310" s="22"/>
      <c r="P310" s="22"/>
      <c r="Q310" s="22"/>
      <c r="R310" s="22"/>
      <c r="S310" s="22"/>
    </row>
    <row r="311" spans="1:19" x14ac:dyDescent="0.2">
      <c r="A311" s="22"/>
      <c r="B311" s="22"/>
      <c r="C311" s="22"/>
      <c r="D311" s="23"/>
      <c r="H311" s="22"/>
      <c r="L311" s="22"/>
      <c r="P311" s="22"/>
      <c r="Q311" s="22"/>
      <c r="R311" s="22"/>
      <c r="S311" s="22"/>
    </row>
    <row r="312" spans="1:19" x14ac:dyDescent="0.2">
      <c r="A312" s="22"/>
      <c r="B312" s="22"/>
      <c r="C312" s="22"/>
      <c r="D312" s="23"/>
      <c r="H312" s="22"/>
      <c r="L312" s="22"/>
      <c r="P312" s="22"/>
      <c r="Q312" s="22"/>
      <c r="R312" s="22"/>
      <c r="S312" s="22"/>
    </row>
    <row r="313" spans="1:19" x14ac:dyDescent="0.2">
      <c r="A313" s="22"/>
      <c r="B313" s="22"/>
      <c r="C313" s="22"/>
      <c r="D313" s="23"/>
      <c r="H313" s="22"/>
      <c r="L313" s="22"/>
      <c r="P313" s="22"/>
      <c r="Q313" s="22"/>
      <c r="R313" s="22"/>
      <c r="S313" s="22"/>
    </row>
    <row r="314" spans="1:19" x14ac:dyDescent="0.2">
      <c r="A314" s="22"/>
      <c r="B314" s="22"/>
      <c r="C314" s="22"/>
      <c r="D314" s="23"/>
      <c r="H314" s="22"/>
      <c r="L314" s="22"/>
      <c r="P314" s="22"/>
      <c r="Q314" s="22"/>
      <c r="R314" s="22"/>
      <c r="S314" s="22"/>
    </row>
    <row r="315" spans="1:19" x14ac:dyDescent="0.2">
      <c r="A315" s="22"/>
      <c r="B315" s="22"/>
      <c r="C315" s="22"/>
      <c r="D315" s="23"/>
      <c r="H315" s="22"/>
      <c r="L315" s="22"/>
      <c r="P315" s="22"/>
      <c r="Q315" s="22"/>
      <c r="R315" s="22"/>
      <c r="S315" s="22"/>
    </row>
    <row r="316" spans="1:19" x14ac:dyDescent="0.2">
      <c r="A316" s="22"/>
      <c r="B316" s="22"/>
      <c r="C316" s="22"/>
      <c r="D316" s="23"/>
      <c r="H316" s="22"/>
      <c r="L316" s="22"/>
      <c r="P316" s="22"/>
      <c r="Q316" s="22"/>
      <c r="R316" s="22"/>
      <c r="S316" s="22"/>
    </row>
    <row r="317" spans="1:19" x14ac:dyDescent="0.2">
      <c r="A317" s="22"/>
      <c r="B317" s="22"/>
      <c r="C317" s="22"/>
      <c r="D317" s="23"/>
      <c r="H317" s="22"/>
      <c r="L317" s="22"/>
      <c r="P317" s="22"/>
      <c r="Q317" s="22"/>
      <c r="R317" s="22"/>
      <c r="S317" s="22"/>
    </row>
    <row r="318" spans="1:19" x14ac:dyDescent="0.2">
      <c r="A318" s="22"/>
      <c r="B318" s="22"/>
      <c r="C318" s="22"/>
      <c r="D318" s="23"/>
      <c r="H318" s="22"/>
      <c r="L318" s="22"/>
      <c r="P318" s="22"/>
      <c r="Q318" s="22"/>
      <c r="R318" s="22"/>
      <c r="S318" s="22"/>
    </row>
    <row r="319" spans="1:19" x14ac:dyDescent="0.2">
      <c r="A319" s="22"/>
      <c r="B319" s="22"/>
      <c r="C319" s="22"/>
      <c r="D319" s="23"/>
      <c r="H319" s="22"/>
      <c r="L319" s="22"/>
      <c r="P319" s="22"/>
      <c r="Q319" s="22"/>
      <c r="R319" s="22"/>
      <c r="S319" s="22"/>
    </row>
    <row r="320" spans="1:19" x14ac:dyDescent="0.2">
      <c r="A320" s="22"/>
      <c r="B320" s="22"/>
      <c r="C320" s="22"/>
      <c r="D320" s="23"/>
      <c r="H320" s="22"/>
      <c r="L320" s="22"/>
      <c r="P320" s="22"/>
      <c r="Q320" s="22"/>
      <c r="R320" s="22"/>
      <c r="S320" s="22"/>
    </row>
    <row r="321" spans="1:19" x14ac:dyDescent="0.2">
      <c r="A321" s="22"/>
      <c r="B321" s="22"/>
      <c r="C321" s="22"/>
      <c r="D321" s="23"/>
      <c r="H321" s="22"/>
      <c r="L321" s="22"/>
      <c r="P321" s="22"/>
      <c r="Q321" s="22"/>
      <c r="R321" s="22"/>
      <c r="S321" s="22"/>
    </row>
    <row r="322" spans="1:19" x14ac:dyDescent="0.2">
      <c r="A322" s="22"/>
      <c r="B322" s="22"/>
      <c r="C322" s="22"/>
      <c r="D322" s="23"/>
      <c r="H322" s="22"/>
      <c r="L322" s="22"/>
      <c r="P322" s="22"/>
      <c r="Q322" s="22"/>
      <c r="R322" s="22"/>
      <c r="S322" s="22"/>
    </row>
    <row r="323" spans="1:19" x14ac:dyDescent="0.2">
      <c r="A323" s="22"/>
      <c r="B323" s="22"/>
      <c r="C323" s="22"/>
      <c r="D323" s="23"/>
      <c r="H323" s="22"/>
      <c r="L323" s="22"/>
      <c r="P323" s="22"/>
      <c r="Q323" s="22"/>
      <c r="R323" s="22"/>
      <c r="S323" s="22"/>
    </row>
    <row r="324" spans="1:19" x14ac:dyDescent="0.2">
      <c r="A324" s="22"/>
      <c r="B324" s="22"/>
      <c r="C324" s="22"/>
      <c r="D324" s="23"/>
      <c r="H324" s="22"/>
      <c r="L324" s="22"/>
      <c r="P324" s="22"/>
      <c r="Q324" s="22"/>
      <c r="R324" s="22"/>
      <c r="S324" s="22"/>
    </row>
    <row r="325" spans="1:19" x14ac:dyDescent="0.2">
      <c r="A325" s="22"/>
      <c r="B325" s="22"/>
      <c r="C325" s="22"/>
      <c r="D325" s="23"/>
      <c r="H325" s="22"/>
      <c r="L325" s="22"/>
      <c r="P325" s="22"/>
      <c r="Q325" s="22"/>
      <c r="R325" s="22"/>
      <c r="S325" s="22"/>
    </row>
    <row r="326" spans="1:19" x14ac:dyDescent="0.2">
      <c r="A326" s="22"/>
      <c r="B326" s="22"/>
      <c r="C326" s="22"/>
      <c r="D326" s="23"/>
      <c r="H326" s="22"/>
      <c r="L326" s="22"/>
      <c r="P326" s="22"/>
      <c r="Q326" s="22"/>
      <c r="R326" s="22"/>
      <c r="S326" s="22"/>
    </row>
    <row r="327" spans="1:19" x14ac:dyDescent="0.2">
      <c r="A327" s="22"/>
      <c r="B327" s="22"/>
      <c r="C327" s="22"/>
      <c r="D327" s="23"/>
      <c r="H327" s="22"/>
      <c r="L327" s="22"/>
      <c r="P327" s="22"/>
      <c r="Q327" s="22"/>
      <c r="R327" s="22"/>
      <c r="S327" s="22"/>
    </row>
    <row r="328" spans="1:19" x14ac:dyDescent="0.2">
      <c r="A328" s="22"/>
      <c r="B328" s="22"/>
      <c r="C328" s="22"/>
      <c r="D328" s="23"/>
      <c r="H328" s="22"/>
      <c r="L328" s="22"/>
      <c r="P328" s="22"/>
      <c r="Q328" s="22"/>
      <c r="R328" s="22"/>
      <c r="S328" s="22"/>
    </row>
    <row r="329" spans="1:19" x14ac:dyDescent="0.2">
      <c r="A329" s="22"/>
      <c r="B329" s="22"/>
      <c r="C329" s="22"/>
      <c r="D329" s="23"/>
      <c r="H329" s="22"/>
      <c r="L329" s="22"/>
      <c r="P329" s="22"/>
      <c r="Q329" s="22"/>
      <c r="R329" s="22"/>
      <c r="S329" s="22"/>
    </row>
    <row r="330" spans="1:19" x14ac:dyDescent="0.2">
      <c r="A330" s="22"/>
      <c r="B330" s="22"/>
      <c r="C330" s="22"/>
      <c r="D330" s="23"/>
      <c r="H330" s="22"/>
      <c r="L330" s="22"/>
      <c r="P330" s="22"/>
      <c r="Q330" s="22"/>
      <c r="R330" s="22"/>
      <c r="S330" s="22"/>
    </row>
    <row r="331" spans="1:19" x14ac:dyDescent="0.2">
      <c r="A331" s="22"/>
      <c r="B331" s="22"/>
      <c r="C331" s="22"/>
      <c r="D331" s="23"/>
      <c r="H331" s="22"/>
      <c r="L331" s="22"/>
      <c r="P331" s="22"/>
      <c r="Q331" s="22"/>
      <c r="R331" s="22"/>
      <c r="S331" s="22"/>
    </row>
    <row r="332" spans="1:19" x14ac:dyDescent="0.2">
      <c r="A332" s="22"/>
      <c r="B332" s="22"/>
      <c r="C332" s="22"/>
      <c r="D332" s="23"/>
      <c r="H332" s="22"/>
      <c r="L332" s="22"/>
      <c r="P332" s="22"/>
      <c r="Q332" s="22"/>
      <c r="R332" s="22"/>
      <c r="S332" s="22"/>
    </row>
    <row r="333" spans="1:19" x14ac:dyDescent="0.2">
      <c r="A333" s="22"/>
      <c r="B333" s="22"/>
      <c r="C333" s="22"/>
      <c r="D333" s="23"/>
      <c r="H333" s="22"/>
      <c r="L333" s="22"/>
      <c r="P333" s="22"/>
      <c r="Q333" s="22"/>
      <c r="R333" s="22"/>
      <c r="S333" s="22"/>
    </row>
    <row r="334" spans="1:19" x14ac:dyDescent="0.2">
      <c r="A334" s="22"/>
      <c r="B334" s="22"/>
      <c r="C334" s="22"/>
      <c r="D334" s="23"/>
      <c r="H334" s="22"/>
      <c r="L334" s="22"/>
      <c r="P334" s="22"/>
      <c r="Q334" s="22"/>
      <c r="R334" s="22"/>
      <c r="S334" s="22"/>
    </row>
    <row r="335" spans="1:19" x14ac:dyDescent="0.2">
      <c r="A335" s="22"/>
      <c r="B335" s="22"/>
      <c r="C335" s="22"/>
      <c r="D335" s="23"/>
      <c r="H335" s="22"/>
      <c r="L335" s="22"/>
      <c r="P335" s="22"/>
      <c r="Q335" s="22"/>
      <c r="R335" s="22"/>
      <c r="S335" s="22"/>
    </row>
    <row r="336" spans="1:19" x14ac:dyDescent="0.2">
      <c r="A336" s="22"/>
      <c r="B336" s="22"/>
      <c r="C336" s="22"/>
      <c r="D336" s="23"/>
      <c r="H336" s="22"/>
      <c r="L336" s="22"/>
      <c r="P336" s="22"/>
      <c r="Q336" s="22"/>
      <c r="R336" s="22"/>
      <c r="S336" s="22"/>
    </row>
    <row r="337" spans="1:19" x14ac:dyDescent="0.2">
      <c r="A337" s="22"/>
      <c r="B337" s="22"/>
      <c r="C337" s="22"/>
      <c r="D337" s="23"/>
      <c r="H337" s="22"/>
      <c r="L337" s="22"/>
      <c r="P337" s="22"/>
      <c r="Q337" s="22"/>
      <c r="R337" s="22"/>
      <c r="S337" s="22"/>
    </row>
    <row r="338" spans="1:19" x14ac:dyDescent="0.2">
      <c r="A338" s="22"/>
      <c r="B338" s="22"/>
      <c r="C338" s="22"/>
      <c r="D338" s="23"/>
      <c r="H338" s="22"/>
      <c r="L338" s="22"/>
      <c r="P338" s="22"/>
      <c r="Q338" s="22"/>
      <c r="R338" s="22"/>
      <c r="S338" s="22"/>
    </row>
    <row r="339" spans="1:19" x14ac:dyDescent="0.2">
      <c r="A339" s="22"/>
      <c r="B339" s="22"/>
      <c r="C339" s="22"/>
      <c r="D339" s="23"/>
      <c r="H339" s="22"/>
      <c r="L339" s="22"/>
      <c r="P339" s="22"/>
      <c r="Q339" s="22"/>
      <c r="R339" s="22"/>
      <c r="S339" s="22"/>
    </row>
    <row r="340" spans="1:19" x14ac:dyDescent="0.2">
      <c r="A340" s="22"/>
      <c r="B340" s="22"/>
      <c r="C340" s="22"/>
      <c r="D340" s="23"/>
      <c r="H340" s="22"/>
      <c r="L340" s="22"/>
      <c r="P340" s="22"/>
      <c r="Q340" s="22"/>
      <c r="R340" s="22"/>
      <c r="S340" s="22"/>
    </row>
    <row r="341" spans="1:19" x14ac:dyDescent="0.2">
      <c r="A341" s="22"/>
      <c r="B341" s="22"/>
      <c r="C341" s="22"/>
      <c r="D341" s="23"/>
      <c r="H341" s="22"/>
      <c r="L341" s="22"/>
      <c r="P341" s="22"/>
      <c r="Q341" s="22"/>
      <c r="R341" s="22"/>
      <c r="S341" s="22"/>
    </row>
    <row r="342" spans="1:19" x14ac:dyDescent="0.2">
      <c r="A342" s="22"/>
      <c r="B342" s="22"/>
      <c r="C342" s="22"/>
      <c r="D342" s="23"/>
      <c r="H342" s="22"/>
      <c r="L342" s="22"/>
      <c r="P342" s="22"/>
      <c r="Q342" s="22"/>
      <c r="R342" s="22"/>
      <c r="S342" s="22"/>
    </row>
    <row r="343" spans="1:19" x14ac:dyDescent="0.2">
      <c r="A343" s="22"/>
      <c r="B343" s="22"/>
      <c r="C343" s="22"/>
      <c r="D343" s="23"/>
      <c r="H343" s="22"/>
      <c r="L343" s="22"/>
      <c r="P343" s="22"/>
      <c r="Q343" s="22"/>
      <c r="R343" s="22"/>
      <c r="S343" s="22"/>
    </row>
    <row r="344" spans="1:19" x14ac:dyDescent="0.2">
      <c r="A344" s="22"/>
      <c r="B344" s="22"/>
      <c r="C344" s="22"/>
      <c r="D344" s="23"/>
      <c r="H344" s="22"/>
      <c r="L344" s="22"/>
      <c r="P344" s="22"/>
      <c r="Q344" s="22"/>
      <c r="R344" s="22"/>
      <c r="S344" s="22"/>
    </row>
    <row r="345" spans="1:19" x14ac:dyDescent="0.2">
      <c r="A345" s="22"/>
      <c r="B345" s="22"/>
      <c r="C345" s="22"/>
      <c r="D345" s="23"/>
      <c r="H345" s="22"/>
      <c r="L345" s="22"/>
      <c r="P345" s="22"/>
      <c r="Q345" s="22"/>
      <c r="R345" s="22"/>
      <c r="S345" s="22"/>
    </row>
    <row r="346" spans="1:19" x14ac:dyDescent="0.2">
      <c r="A346" s="22"/>
      <c r="B346" s="22"/>
      <c r="C346" s="22"/>
      <c r="D346" s="23"/>
      <c r="H346" s="22"/>
      <c r="L346" s="22"/>
      <c r="P346" s="22"/>
      <c r="Q346" s="22"/>
      <c r="R346" s="22"/>
      <c r="S346" s="22"/>
    </row>
    <row r="347" spans="1:19" x14ac:dyDescent="0.2">
      <c r="A347" s="22"/>
      <c r="B347" s="22"/>
      <c r="C347" s="22"/>
      <c r="D347" s="23"/>
      <c r="H347" s="22"/>
      <c r="L347" s="22"/>
      <c r="P347" s="22"/>
      <c r="Q347" s="22"/>
      <c r="R347" s="22"/>
      <c r="S347" s="22"/>
    </row>
    <row r="348" spans="1:19" x14ac:dyDescent="0.2">
      <c r="A348" s="22"/>
      <c r="B348" s="22"/>
      <c r="C348" s="22"/>
      <c r="D348" s="23"/>
      <c r="H348" s="22"/>
      <c r="L348" s="22"/>
      <c r="P348" s="22"/>
      <c r="Q348" s="22"/>
      <c r="R348" s="22"/>
      <c r="S348" s="22"/>
    </row>
    <row r="349" spans="1:19" x14ac:dyDescent="0.2">
      <c r="A349" s="22"/>
      <c r="B349" s="22"/>
      <c r="C349" s="22"/>
      <c r="D349" s="23"/>
      <c r="H349" s="22"/>
      <c r="L349" s="22"/>
      <c r="P349" s="22"/>
      <c r="Q349" s="22"/>
      <c r="R349" s="22"/>
      <c r="S349" s="22"/>
    </row>
    <row r="350" spans="1:19" x14ac:dyDescent="0.2">
      <c r="A350" s="22"/>
      <c r="B350" s="22"/>
      <c r="C350" s="22"/>
      <c r="D350" s="23"/>
      <c r="H350" s="22"/>
      <c r="L350" s="22"/>
      <c r="P350" s="22"/>
      <c r="Q350" s="22"/>
      <c r="R350" s="22"/>
      <c r="S350" s="22"/>
    </row>
    <row r="351" spans="1:19" x14ac:dyDescent="0.2">
      <c r="A351" s="22"/>
      <c r="B351" s="22"/>
      <c r="C351" s="22"/>
      <c r="D351" s="23"/>
      <c r="H351" s="22"/>
      <c r="L351" s="22"/>
      <c r="P351" s="22"/>
      <c r="Q351" s="22"/>
      <c r="R351" s="22"/>
      <c r="S351" s="22"/>
    </row>
    <row r="352" spans="1:19" x14ac:dyDescent="0.2">
      <c r="A352" s="22"/>
      <c r="B352" s="22"/>
      <c r="C352" s="22"/>
      <c r="D352" s="23"/>
      <c r="H352" s="22"/>
      <c r="L352" s="22"/>
      <c r="P352" s="22"/>
      <c r="Q352" s="22"/>
      <c r="R352" s="22"/>
      <c r="S352" s="22"/>
    </row>
    <row r="353" spans="1:19" x14ac:dyDescent="0.2">
      <c r="A353" s="22"/>
      <c r="B353" s="22"/>
      <c r="C353" s="22"/>
      <c r="D353" s="23"/>
      <c r="H353" s="22"/>
      <c r="L353" s="22"/>
      <c r="P353" s="22"/>
      <c r="Q353" s="22"/>
      <c r="R353" s="22"/>
      <c r="S353" s="22"/>
    </row>
    <row r="354" spans="1:19" x14ac:dyDescent="0.2">
      <c r="A354" s="22"/>
      <c r="B354" s="22"/>
      <c r="C354" s="22"/>
      <c r="D354" s="23"/>
      <c r="H354" s="22"/>
      <c r="L354" s="22"/>
      <c r="P354" s="22"/>
      <c r="Q354" s="22"/>
      <c r="R354" s="22"/>
      <c r="S354" s="22"/>
    </row>
    <row r="355" spans="1:19" x14ac:dyDescent="0.2">
      <c r="A355" s="22"/>
      <c r="B355" s="22"/>
      <c r="C355" s="22"/>
      <c r="D355" s="23"/>
      <c r="H355" s="22"/>
      <c r="L355" s="22"/>
      <c r="P355" s="22"/>
      <c r="Q355" s="22"/>
      <c r="R355" s="22"/>
      <c r="S355" s="22"/>
    </row>
    <row r="356" spans="1:19" x14ac:dyDescent="0.2">
      <c r="A356" s="22"/>
      <c r="B356" s="22"/>
      <c r="C356" s="22"/>
      <c r="D356" s="23"/>
      <c r="H356" s="22"/>
      <c r="L356" s="22"/>
      <c r="P356" s="22"/>
      <c r="Q356" s="22"/>
      <c r="R356" s="22"/>
      <c r="S356" s="22"/>
    </row>
    <row r="357" spans="1:19" x14ac:dyDescent="0.2">
      <c r="A357" s="22"/>
      <c r="B357" s="22"/>
      <c r="C357" s="22"/>
      <c r="D357" s="23"/>
      <c r="H357" s="22"/>
      <c r="L357" s="22"/>
      <c r="P357" s="22"/>
      <c r="Q357" s="22"/>
      <c r="R357" s="22"/>
      <c r="S357" s="22"/>
    </row>
    <row r="358" spans="1:19" x14ac:dyDescent="0.2">
      <c r="A358" s="22"/>
      <c r="B358" s="22"/>
      <c r="C358" s="22"/>
      <c r="D358" s="23"/>
      <c r="H358" s="22"/>
      <c r="L358" s="22"/>
      <c r="P358" s="22"/>
      <c r="Q358" s="22"/>
      <c r="R358" s="22"/>
      <c r="S358" s="22"/>
    </row>
    <row r="359" spans="1:19" x14ac:dyDescent="0.2">
      <c r="A359" s="22"/>
      <c r="B359" s="22"/>
      <c r="C359" s="22"/>
      <c r="D359" s="23"/>
      <c r="H359" s="22"/>
      <c r="L359" s="22"/>
      <c r="P359" s="22"/>
      <c r="Q359" s="22"/>
      <c r="R359" s="22"/>
      <c r="S359" s="22"/>
    </row>
    <row r="360" spans="1:19" x14ac:dyDescent="0.2">
      <c r="A360" s="22"/>
      <c r="B360" s="22"/>
      <c r="C360" s="22"/>
      <c r="D360" s="23"/>
      <c r="H360" s="22"/>
      <c r="L360" s="22"/>
      <c r="P360" s="22"/>
      <c r="Q360" s="22"/>
      <c r="R360" s="22"/>
      <c r="S360" s="22"/>
    </row>
    <row r="361" spans="1:19" x14ac:dyDescent="0.2">
      <c r="A361" s="22"/>
      <c r="B361" s="22"/>
      <c r="C361" s="22"/>
      <c r="D361" s="23"/>
      <c r="H361" s="22"/>
      <c r="L361" s="22"/>
      <c r="P361" s="22"/>
      <c r="Q361" s="22"/>
      <c r="R361" s="22"/>
      <c r="S361" s="22"/>
    </row>
    <row r="362" spans="1:19" x14ac:dyDescent="0.2">
      <c r="A362" s="22"/>
      <c r="B362" s="22"/>
      <c r="C362" s="22"/>
      <c r="D362" s="23"/>
      <c r="H362" s="22"/>
      <c r="L362" s="22"/>
      <c r="P362" s="22"/>
      <c r="Q362" s="22"/>
      <c r="R362" s="22"/>
      <c r="S362" s="22"/>
    </row>
    <row r="363" spans="1:19" x14ac:dyDescent="0.2">
      <c r="A363" s="22"/>
      <c r="B363" s="22"/>
      <c r="C363" s="22"/>
      <c r="D363" s="23"/>
      <c r="H363" s="22"/>
      <c r="L363" s="22"/>
      <c r="P363" s="22"/>
      <c r="Q363" s="22"/>
      <c r="R363" s="22"/>
      <c r="S363" s="22"/>
    </row>
    <row r="364" spans="1:19" x14ac:dyDescent="0.2">
      <c r="A364" s="22"/>
      <c r="B364" s="22"/>
      <c r="C364" s="22"/>
      <c r="D364" s="23"/>
      <c r="H364" s="22"/>
      <c r="L364" s="22"/>
      <c r="P364" s="22"/>
      <c r="Q364" s="22"/>
      <c r="R364" s="22"/>
      <c r="S364" s="22"/>
    </row>
    <row r="365" spans="1:19" x14ac:dyDescent="0.2">
      <c r="A365" s="22"/>
      <c r="B365" s="22"/>
      <c r="C365" s="22"/>
      <c r="D365" s="23"/>
      <c r="H365" s="22"/>
      <c r="L365" s="22"/>
      <c r="P365" s="22"/>
      <c r="Q365" s="22"/>
      <c r="R365" s="22"/>
      <c r="S365" s="22"/>
    </row>
    <row r="366" spans="1:19" x14ac:dyDescent="0.2">
      <c r="A366" s="22"/>
      <c r="B366" s="22"/>
      <c r="C366" s="22"/>
      <c r="D366" s="23"/>
      <c r="H366" s="22"/>
      <c r="L366" s="22"/>
      <c r="P366" s="22"/>
      <c r="Q366" s="22"/>
      <c r="R366" s="22"/>
      <c r="S366" s="22"/>
    </row>
    <row r="367" spans="1:19" x14ac:dyDescent="0.2">
      <c r="A367" s="22"/>
      <c r="B367" s="22"/>
      <c r="C367" s="22"/>
      <c r="D367" s="23"/>
      <c r="H367" s="22"/>
      <c r="L367" s="22"/>
      <c r="P367" s="22"/>
      <c r="Q367" s="22"/>
      <c r="R367" s="22"/>
      <c r="S367" s="22"/>
    </row>
    <row r="368" spans="1:19" x14ac:dyDescent="0.2">
      <c r="A368" s="22"/>
      <c r="B368" s="22"/>
      <c r="C368" s="22"/>
      <c r="D368" s="23"/>
      <c r="H368" s="22"/>
      <c r="L368" s="22"/>
      <c r="P368" s="22"/>
      <c r="Q368" s="22"/>
      <c r="R368" s="22"/>
      <c r="S368" s="22"/>
    </row>
    <row r="369" spans="1:19" x14ac:dyDescent="0.2">
      <c r="A369" s="22"/>
      <c r="B369" s="22"/>
      <c r="C369" s="22"/>
      <c r="D369" s="23"/>
      <c r="H369" s="22"/>
      <c r="L369" s="22"/>
      <c r="P369" s="22"/>
      <c r="Q369" s="22"/>
      <c r="R369" s="22"/>
      <c r="S369" s="22"/>
    </row>
    <row r="370" spans="1:19" x14ac:dyDescent="0.2">
      <c r="A370" s="22"/>
      <c r="B370" s="22"/>
      <c r="C370" s="22"/>
      <c r="D370" s="23"/>
      <c r="H370" s="22"/>
      <c r="L370" s="22"/>
      <c r="P370" s="22"/>
      <c r="Q370" s="22"/>
      <c r="R370" s="22"/>
      <c r="S370" s="22"/>
    </row>
    <row r="371" spans="1:19" x14ac:dyDescent="0.2">
      <c r="A371" s="22"/>
      <c r="B371" s="22"/>
      <c r="C371" s="22"/>
      <c r="D371" s="23"/>
      <c r="H371" s="22"/>
      <c r="L371" s="22"/>
      <c r="P371" s="22"/>
      <c r="Q371" s="22"/>
      <c r="R371" s="22"/>
      <c r="S371" s="22"/>
    </row>
    <row r="372" spans="1:19" x14ac:dyDescent="0.2">
      <c r="A372" s="22"/>
      <c r="B372" s="22"/>
      <c r="C372" s="22"/>
      <c r="D372" s="23"/>
      <c r="H372" s="22"/>
      <c r="L372" s="22"/>
      <c r="P372" s="22"/>
      <c r="Q372" s="22"/>
      <c r="R372" s="22"/>
      <c r="S372" s="22"/>
    </row>
    <row r="373" spans="1:19" x14ac:dyDescent="0.2">
      <c r="A373" s="22"/>
      <c r="B373" s="22"/>
      <c r="C373" s="22"/>
      <c r="D373" s="23"/>
      <c r="H373" s="22"/>
      <c r="L373" s="22"/>
      <c r="P373" s="22"/>
      <c r="Q373" s="22"/>
      <c r="R373" s="22"/>
      <c r="S373" s="22"/>
    </row>
    <row r="374" spans="1:19" x14ac:dyDescent="0.2">
      <c r="A374" s="22"/>
      <c r="B374" s="22"/>
      <c r="C374" s="22"/>
      <c r="D374" s="23"/>
      <c r="H374" s="22"/>
      <c r="L374" s="22"/>
      <c r="P374" s="22"/>
      <c r="Q374" s="22"/>
      <c r="R374" s="22"/>
      <c r="S374" s="22"/>
    </row>
    <row r="375" spans="1:19" x14ac:dyDescent="0.2">
      <c r="A375" s="22"/>
      <c r="B375" s="22"/>
      <c r="C375" s="22"/>
      <c r="D375" s="23"/>
      <c r="H375" s="22"/>
      <c r="L375" s="22"/>
      <c r="P375" s="22"/>
      <c r="Q375" s="22"/>
      <c r="R375" s="22"/>
      <c r="S375" s="22"/>
    </row>
    <row r="376" spans="1:19" x14ac:dyDescent="0.2">
      <c r="A376" s="22"/>
      <c r="B376" s="22"/>
      <c r="C376" s="22"/>
      <c r="D376" s="23"/>
      <c r="H376" s="22"/>
      <c r="L376" s="22"/>
      <c r="P376" s="22"/>
      <c r="Q376" s="22"/>
      <c r="R376" s="22"/>
      <c r="S376" s="22"/>
    </row>
    <row r="377" spans="1:19" x14ac:dyDescent="0.2">
      <c r="A377" s="22"/>
      <c r="B377" s="22"/>
      <c r="C377" s="22"/>
      <c r="D377" s="23"/>
      <c r="H377" s="22"/>
      <c r="L377" s="22"/>
      <c r="P377" s="22"/>
      <c r="Q377" s="22"/>
      <c r="R377" s="22"/>
      <c r="S377" s="22"/>
    </row>
    <row r="378" spans="1:19" x14ac:dyDescent="0.2">
      <c r="A378" s="22"/>
      <c r="B378" s="22"/>
      <c r="C378" s="22"/>
      <c r="D378" s="23"/>
      <c r="H378" s="22"/>
      <c r="L378" s="22"/>
      <c r="P378" s="22"/>
      <c r="Q378" s="22"/>
      <c r="R378" s="22"/>
      <c r="S378" s="22"/>
    </row>
    <row r="379" spans="1:19" x14ac:dyDescent="0.2">
      <c r="A379" s="22"/>
      <c r="B379" s="22"/>
      <c r="C379" s="22"/>
      <c r="D379" s="23"/>
      <c r="H379" s="22"/>
      <c r="L379" s="22"/>
      <c r="P379" s="22"/>
      <c r="Q379" s="22"/>
      <c r="R379" s="22"/>
      <c r="S379" s="22"/>
    </row>
    <row r="380" spans="1:19" x14ac:dyDescent="0.2">
      <c r="A380" s="22"/>
      <c r="B380" s="22"/>
      <c r="C380" s="22"/>
      <c r="D380" s="23"/>
      <c r="H380" s="22"/>
      <c r="L380" s="22"/>
      <c r="P380" s="22"/>
      <c r="Q380" s="22"/>
      <c r="R380" s="22"/>
      <c r="S380" s="22"/>
    </row>
    <row r="381" spans="1:19" x14ac:dyDescent="0.2">
      <c r="A381" s="22"/>
      <c r="B381" s="22"/>
      <c r="C381" s="22"/>
      <c r="D381" s="23"/>
      <c r="H381" s="22"/>
      <c r="L381" s="22"/>
      <c r="P381" s="22"/>
      <c r="Q381" s="22"/>
      <c r="R381" s="22"/>
      <c r="S381" s="22"/>
    </row>
    <row r="382" spans="1:19" x14ac:dyDescent="0.2">
      <c r="A382" s="22"/>
      <c r="B382" s="22"/>
      <c r="C382" s="22"/>
      <c r="D382" s="23"/>
      <c r="H382" s="22"/>
      <c r="L382" s="22"/>
      <c r="P382" s="22"/>
      <c r="Q382" s="22"/>
      <c r="R382" s="22"/>
      <c r="S382" s="22"/>
    </row>
    <row r="383" spans="1:19" x14ac:dyDescent="0.2">
      <c r="A383" s="22"/>
      <c r="B383" s="22"/>
      <c r="C383" s="22"/>
      <c r="D383" s="23"/>
      <c r="H383" s="22"/>
      <c r="L383" s="22"/>
      <c r="P383" s="22"/>
      <c r="Q383" s="22"/>
      <c r="R383" s="22"/>
      <c r="S383" s="22"/>
    </row>
    <row r="384" spans="1:19" x14ac:dyDescent="0.2">
      <c r="A384" s="22"/>
      <c r="B384" s="22"/>
      <c r="C384" s="22"/>
      <c r="D384" s="23"/>
      <c r="H384" s="22"/>
      <c r="L384" s="22"/>
      <c r="P384" s="22"/>
      <c r="Q384" s="22"/>
      <c r="R384" s="22"/>
      <c r="S384" s="22"/>
    </row>
    <row r="385" spans="1:19" x14ac:dyDescent="0.2">
      <c r="A385" s="22"/>
      <c r="B385" s="22"/>
      <c r="C385" s="22"/>
      <c r="D385" s="23"/>
      <c r="H385" s="22"/>
      <c r="L385" s="22"/>
      <c r="P385" s="22"/>
      <c r="Q385" s="22"/>
      <c r="R385" s="22"/>
      <c r="S385" s="22"/>
    </row>
    <row r="386" spans="1:19" x14ac:dyDescent="0.2">
      <c r="A386" s="22"/>
      <c r="B386" s="22"/>
      <c r="C386" s="22"/>
      <c r="D386" s="23"/>
      <c r="H386" s="22"/>
      <c r="L386" s="22"/>
      <c r="P386" s="22"/>
      <c r="Q386" s="22"/>
      <c r="R386" s="22"/>
      <c r="S386" s="22"/>
    </row>
    <row r="387" spans="1:19" x14ac:dyDescent="0.2">
      <c r="A387" s="22"/>
      <c r="B387" s="22"/>
      <c r="C387" s="22"/>
      <c r="D387" s="23"/>
      <c r="H387" s="22"/>
      <c r="L387" s="22"/>
      <c r="P387" s="22"/>
      <c r="Q387" s="22"/>
      <c r="R387" s="22"/>
      <c r="S387" s="22"/>
    </row>
    <row r="388" spans="1:19" x14ac:dyDescent="0.2">
      <c r="A388" s="22"/>
      <c r="B388" s="22"/>
      <c r="C388" s="22"/>
      <c r="D388" s="23"/>
      <c r="H388" s="22"/>
      <c r="L388" s="22"/>
      <c r="P388" s="22"/>
      <c r="Q388" s="22"/>
      <c r="R388" s="22"/>
      <c r="S388" s="22"/>
    </row>
    <row r="389" spans="1:19" x14ac:dyDescent="0.2">
      <c r="A389" s="22"/>
      <c r="B389" s="22"/>
      <c r="C389" s="22"/>
      <c r="D389" s="23"/>
      <c r="H389" s="22"/>
      <c r="L389" s="22"/>
      <c r="P389" s="22"/>
      <c r="Q389" s="22"/>
      <c r="R389" s="22"/>
      <c r="S389" s="22"/>
    </row>
    <row r="390" spans="1:19" x14ac:dyDescent="0.2">
      <c r="A390" s="22"/>
      <c r="B390" s="22"/>
      <c r="C390" s="22"/>
      <c r="D390" s="23"/>
      <c r="H390" s="22"/>
      <c r="L390" s="22"/>
      <c r="P390" s="22"/>
      <c r="Q390" s="22"/>
      <c r="R390" s="22"/>
      <c r="S390" s="22"/>
    </row>
    <row r="391" spans="1:19" x14ac:dyDescent="0.2">
      <c r="A391" s="22"/>
      <c r="B391" s="22"/>
      <c r="C391" s="22"/>
      <c r="D391" s="23"/>
      <c r="H391" s="22"/>
      <c r="L391" s="22"/>
      <c r="P391" s="22"/>
      <c r="Q391" s="22"/>
      <c r="R391" s="22"/>
      <c r="S391" s="22"/>
    </row>
    <row r="392" spans="1:19" x14ac:dyDescent="0.2">
      <c r="A392" s="22"/>
      <c r="B392" s="22"/>
      <c r="C392" s="22"/>
      <c r="D392" s="23"/>
      <c r="H392" s="22"/>
      <c r="L392" s="22"/>
      <c r="P392" s="22"/>
      <c r="Q392" s="22"/>
      <c r="R392" s="22"/>
      <c r="S392" s="22"/>
    </row>
    <row r="393" spans="1:19" x14ac:dyDescent="0.2">
      <c r="A393" s="22"/>
      <c r="B393" s="22"/>
      <c r="C393" s="22"/>
      <c r="D393" s="23"/>
      <c r="H393" s="22"/>
      <c r="L393" s="22"/>
      <c r="P393" s="22"/>
      <c r="Q393" s="22"/>
      <c r="R393" s="22"/>
      <c r="S393" s="22"/>
    </row>
    <row r="394" spans="1:19" x14ac:dyDescent="0.2">
      <c r="A394" s="22"/>
      <c r="B394" s="22"/>
      <c r="C394" s="22"/>
      <c r="D394" s="23"/>
      <c r="H394" s="22"/>
      <c r="L394" s="22"/>
      <c r="P394" s="22"/>
      <c r="Q394" s="22"/>
      <c r="R394" s="22"/>
      <c r="S394" s="22"/>
    </row>
    <row r="395" spans="1:19" x14ac:dyDescent="0.2">
      <c r="A395" s="22"/>
      <c r="B395" s="22"/>
      <c r="C395" s="22"/>
      <c r="D395" s="23"/>
      <c r="H395" s="22"/>
      <c r="L395" s="22"/>
      <c r="P395" s="22"/>
      <c r="Q395" s="22"/>
      <c r="R395" s="22"/>
      <c r="S395" s="22"/>
    </row>
    <row r="396" spans="1:19" x14ac:dyDescent="0.2">
      <c r="A396" s="22"/>
      <c r="B396" s="22"/>
      <c r="C396" s="22"/>
      <c r="D396" s="23"/>
      <c r="H396" s="22"/>
      <c r="L396" s="22"/>
      <c r="P396" s="22"/>
      <c r="Q396" s="22"/>
      <c r="R396" s="22"/>
      <c r="S396" s="22"/>
    </row>
    <row r="397" spans="1:19" x14ac:dyDescent="0.2">
      <c r="A397" s="22"/>
      <c r="B397" s="22"/>
      <c r="C397" s="22"/>
      <c r="D397" s="23"/>
      <c r="H397" s="22"/>
      <c r="L397" s="22"/>
      <c r="P397" s="22"/>
      <c r="Q397" s="22"/>
      <c r="R397" s="22"/>
      <c r="S397" s="22"/>
    </row>
    <row r="398" spans="1:19" x14ac:dyDescent="0.2">
      <c r="A398" s="22"/>
      <c r="B398" s="22"/>
      <c r="C398" s="22"/>
      <c r="D398" s="23"/>
      <c r="H398" s="22"/>
      <c r="L398" s="22"/>
      <c r="P398" s="22"/>
      <c r="Q398" s="22"/>
      <c r="R398" s="22"/>
      <c r="S398" s="22"/>
    </row>
    <row r="399" spans="1:19" x14ac:dyDescent="0.2">
      <c r="A399" s="22"/>
      <c r="B399" s="22"/>
      <c r="C399" s="22"/>
      <c r="D399" s="23"/>
      <c r="H399" s="22"/>
      <c r="L399" s="22"/>
      <c r="P399" s="22"/>
      <c r="Q399" s="22"/>
      <c r="R399" s="22"/>
      <c r="S399" s="22"/>
    </row>
    <row r="400" spans="1:19" x14ac:dyDescent="0.2">
      <c r="A400" s="22"/>
      <c r="B400" s="22"/>
      <c r="C400" s="22"/>
      <c r="D400" s="23"/>
      <c r="H400" s="22"/>
      <c r="L400" s="22"/>
      <c r="P400" s="22"/>
      <c r="Q400" s="22"/>
      <c r="R400" s="22"/>
      <c r="S400" s="22"/>
    </row>
    <row r="401" spans="1:19" x14ac:dyDescent="0.2">
      <c r="A401" s="22"/>
      <c r="B401" s="22"/>
      <c r="C401" s="22"/>
      <c r="D401" s="23"/>
      <c r="H401" s="22"/>
      <c r="L401" s="22"/>
      <c r="P401" s="22"/>
      <c r="Q401" s="22"/>
      <c r="R401" s="22"/>
      <c r="S401" s="22"/>
    </row>
    <row r="402" spans="1:19" x14ac:dyDescent="0.2">
      <c r="A402" s="22"/>
      <c r="B402" s="22"/>
      <c r="C402" s="22"/>
      <c r="D402" s="23"/>
      <c r="H402" s="22"/>
      <c r="L402" s="22"/>
      <c r="P402" s="22"/>
      <c r="Q402" s="22"/>
      <c r="R402" s="22"/>
      <c r="S402" s="22"/>
    </row>
    <row r="403" spans="1:19" x14ac:dyDescent="0.2">
      <c r="A403" s="22"/>
      <c r="B403" s="22"/>
      <c r="C403" s="22"/>
      <c r="D403" s="23"/>
      <c r="H403" s="22"/>
      <c r="L403" s="22"/>
      <c r="P403" s="22"/>
      <c r="Q403" s="22"/>
      <c r="R403" s="22"/>
      <c r="S403" s="22"/>
    </row>
    <row r="404" spans="1:19" x14ac:dyDescent="0.2">
      <c r="A404" s="22"/>
      <c r="B404" s="22"/>
      <c r="C404" s="22"/>
      <c r="D404" s="23"/>
      <c r="H404" s="22"/>
      <c r="L404" s="22"/>
      <c r="P404" s="22"/>
      <c r="Q404" s="22"/>
      <c r="R404" s="22"/>
      <c r="S404" s="22"/>
    </row>
    <row r="405" spans="1:19" x14ac:dyDescent="0.2">
      <c r="A405" s="22"/>
      <c r="B405" s="22"/>
      <c r="C405" s="22"/>
      <c r="D405" s="23"/>
      <c r="H405" s="22"/>
      <c r="L405" s="22"/>
      <c r="P405" s="22"/>
      <c r="Q405" s="22"/>
      <c r="R405" s="22"/>
      <c r="S405" s="22"/>
    </row>
    <row r="406" spans="1:19" x14ac:dyDescent="0.2">
      <c r="A406" s="22"/>
      <c r="B406" s="22"/>
      <c r="C406" s="22"/>
      <c r="D406" s="23"/>
      <c r="H406" s="22"/>
      <c r="L406" s="22"/>
      <c r="P406" s="22"/>
      <c r="Q406" s="22"/>
      <c r="R406" s="22"/>
      <c r="S406" s="22"/>
    </row>
    <row r="407" spans="1:19" x14ac:dyDescent="0.2">
      <c r="A407" s="22"/>
      <c r="B407" s="22"/>
      <c r="C407" s="22"/>
      <c r="D407" s="23"/>
      <c r="H407" s="22"/>
      <c r="L407" s="22"/>
      <c r="P407" s="22"/>
      <c r="Q407" s="22"/>
      <c r="R407" s="22"/>
      <c r="S407" s="22"/>
    </row>
    <row r="408" spans="1:19" x14ac:dyDescent="0.2">
      <c r="A408" s="22"/>
      <c r="B408" s="22"/>
      <c r="C408" s="22"/>
      <c r="D408" s="23"/>
      <c r="H408" s="22"/>
      <c r="L408" s="22"/>
      <c r="P408" s="22"/>
      <c r="Q408" s="22"/>
      <c r="R408" s="22"/>
      <c r="S408" s="22"/>
    </row>
    <row r="409" spans="1:19" x14ac:dyDescent="0.2">
      <c r="A409" s="22"/>
      <c r="B409" s="22"/>
      <c r="C409" s="22"/>
      <c r="D409" s="23"/>
      <c r="H409" s="22"/>
      <c r="L409" s="22"/>
      <c r="P409" s="22"/>
      <c r="Q409" s="22"/>
      <c r="R409" s="22"/>
      <c r="S409" s="22"/>
    </row>
    <row r="410" spans="1:19" x14ac:dyDescent="0.2">
      <c r="A410" s="22"/>
      <c r="B410" s="22"/>
      <c r="C410" s="22"/>
      <c r="D410" s="23"/>
      <c r="H410" s="22"/>
      <c r="L410" s="22"/>
      <c r="P410" s="22"/>
      <c r="Q410" s="22"/>
      <c r="R410" s="22"/>
      <c r="S410" s="22"/>
    </row>
    <row r="411" spans="1:19" x14ac:dyDescent="0.2">
      <c r="A411" s="22"/>
      <c r="B411" s="22"/>
      <c r="C411" s="22"/>
      <c r="D411" s="23"/>
      <c r="H411" s="22"/>
      <c r="L411" s="22"/>
      <c r="P411" s="22"/>
      <c r="Q411" s="22"/>
      <c r="R411" s="22"/>
      <c r="S411" s="22"/>
    </row>
    <row r="412" spans="1:19" x14ac:dyDescent="0.2">
      <c r="A412" s="22"/>
      <c r="B412" s="22"/>
      <c r="C412" s="22"/>
      <c r="D412" s="23"/>
      <c r="H412" s="22"/>
      <c r="L412" s="22"/>
      <c r="P412" s="22"/>
      <c r="Q412" s="22"/>
      <c r="R412" s="22"/>
      <c r="S412" s="22"/>
    </row>
    <row r="413" spans="1:19" x14ac:dyDescent="0.2">
      <c r="A413" s="22"/>
      <c r="B413" s="22"/>
      <c r="C413" s="22"/>
      <c r="D413" s="23"/>
      <c r="H413" s="22"/>
      <c r="L413" s="22"/>
      <c r="P413" s="22"/>
      <c r="Q413" s="22"/>
      <c r="R413" s="22"/>
      <c r="S413" s="22"/>
    </row>
    <row r="414" spans="1:19" x14ac:dyDescent="0.2">
      <c r="A414" s="22"/>
      <c r="B414" s="22"/>
      <c r="C414" s="22"/>
      <c r="D414" s="23"/>
      <c r="H414" s="22"/>
      <c r="L414" s="22"/>
      <c r="P414" s="22"/>
      <c r="Q414" s="22"/>
      <c r="R414" s="22"/>
      <c r="S414" s="22"/>
    </row>
    <row r="415" spans="1:19" x14ac:dyDescent="0.2">
      <c r="A415" s="22"/>
      <c r="B415" s="22"/>
      <c r="C415" s="22"/>
      <c r="D415" s="23"/>
      <c r="H415" s="22"/>
      <c r="L415" s="22"/>
      <c r="P415" s="22"/>
      <c r="Q415" s="22"/>
      <c r="R415" s="22"/>
      <c r="S415" s="22"/>
    </row>
    <row r="416" spans="1:19" x14ac:dyDescent="0.2">
      <c r="A416" s="22"/>
      <c r="B416" s="22"/>
      <c r="C416" s="22"/>
      <c r="D416" s="23"/>
      <c r="H416" s="22"/>
      <c r="L416" s="22"/>
      <c r="P416" s="22"/>
      <c r="Q416" s="22"/>
      <c r="R416" s="22"/>
      <c r="S416" s="22"/>
    </row>
    <row r="417" spans="1:19" x14ac:dyDescent="0.2">
      <c r="A417" s="22"/>
      <c r="B417" s="22"/>
      <c r="C417" s="22"/>
      <c r="D417" s="23"/>
      <c r="H417" s="22"/>
      <c r="L417" s="22"/>
      <c r="P417" s="22"/>
      <c r="Q417" s="22"/>
      <c r="R417" s="22"/>
      <c r="S417" s="22"/>
    </row>
    <row r="418" spans="1:19" x14ac:dyDescent="0.2">
      <c r="A418" s="22"/>
      <c r="B418" s="22"/>
      <c r="C418" s="22"/>
      <c r="D418" s="23"/>
      <c r="H418" s="22"/>
      <c r="L418" s="22"/>
      <c r="P418" s="22"/>
      <c r="Q418" s="22"/>
      <c r="R418" s="22"/>
      <c r="S418" s="22"/>
    </row>
    <row r="419" spans="1:19" x14ac:dyDescent="0.2">
      <c r="A419" s="22"/>
      <c r="B419" s="22"/>
      <c r="C419" s="22"/>
      <c r="D419" s="23"/>
      <c r="H419" s="22"/>
      <c r="L419" s="22"/>
      <c r="P419" s="22"/>
      <c r="Q419" s="22"/>
      <c r="R419" s="22"/>
      <c r="S419" s="22"/>
    </row>
    <row r="420" spans="1:19" x14ac:dyDescent="0.2">
      <c r="A420" s="22"/>
      <c r="B420" s="22"/>
      <c r="C420" s="22"/>
      <c r="D420" s="23"/>
      <c r="H420" s="22"/>
      <c r="L420" s="22"/>
      <c r="P420" s="22"/>
      <c r="Q420" s="22"/>
      <c r="R420" s="22"/>
      <c r="S420" s="22"/>
    </row>
    <row r="421" spans="1:19" x14ac:dyDescent="0.2">
      <c r="A421" s="22"/>
      <c r="B421" s="22"/>
      <c r="C421" s="22"/>
      <c r="D421" s="23"/>
      <c r="H421" s="22"/>
      <c r="L421" s="22"/>
      <c r="P421" s="22"/>
      <c r="Q421" s="22"/>
      <c r="R421" s="22"/>
      <c r="S421" s="22"/>
    </row>
    <row r="422" spans="1:19" x14ac:dyDescent="0.2">
      <c r="A422" s="22"/>
      <c r="B422" s="22"/>
      <c r="C422" s="22"/>
      <c r="D422" s="23"/>
      <c r="H422" s="22"/>
      <c r="L422" s="22"/>
      <c r="P422" s="22"/>
      <c r="Q422" s="22"/>
      <c r="R422" s="22"/>
      <c r="S422" s="22"/>
    </row>
    <row r="423" spans="1:19" x14ac:dyDescent="0.2">
      <c r="A423" s="22"/>
      <c r="B423" s="22"/>
      <c r="C423" s="22"/>
      <c r="D423" s="23"/>
      <c r="H423" s="22"/>
      <c r="L423" s="22"/>
      <c r="P423" s="22"/>
      <c r="Q423" s="22"/>
      <c r="R423" s="22"/>
      <c r="S423" s="22"/>
    </row>
    <row r="424" spans="1:19" x14ac:dyDescent="0.2">
      <c r="A424" s="22"/>
      <c r="B424" s="22"/>
      <c r="C424" s="22"/>
      <c r="D424" s="23"/>
      <c r="H424" s="22"/>
      <c r="L424" s="22"/>
      <c r="P424" s="22"/>
      <c r="Q424" s="22"/>
      <c r="R424" s="22"/>
      <c r="S424" s="22"/>
    </row>
    <row r="425" spans="1:19" x14ac:dyDescent="0.2">
      <c r="A425" s="22"/>
      <c r="B425" s="22"/>
      <c r="C425" s="22"/>
      <c r="D425" s="23"/>
      <c r="H425" s="22"/>
      <c r="L425" s="22"/>
      <c r="P425" s="22"/>
      <c r="Q425" s="22"/>
      <c r="R425" s="22"/>
      <c r="S425" s="22"/>
    </row>
    <row r="426" spans="1:19" x14ac:dyDescent="0.2">
      <c r="A426" s="22"/>
      <c r="B426" s="22"/>
      <c r="C426" s="22"/>
      <c r="D426" s="23"/>
      <c r="H426" s="22"/>
      <c r="L426" s="22"/>
      <c r="P426" s="22"/>
      <c r="Q426" s="22"/>
      <c r="R426" s="22"/>
      <c r="S426" s="22"/>
    </row>
    <row r="427" spans="1:19" x14ac:dyDescent="0.2">
      <c r="A427" s="22"/>
      <c r="B427" s="22"/>
      <c r="C427" s="22"/>
      <c r="D427" s="23"/>
      <c r="H427" s="22"/>
      <c r="L427" s="22"/>
      <c r="P427" s="22"/>
      <c r="Q427" s="22"/>
      <c r="R427" s="22"/>
      <c r="S427" s="22"/>
    </row>
    <row r="428" spans="1:19" x14ac:dyDescent="0.2">
      <c r="A428" s="22"/>
      <c r="B428" s="22"/>
      <c r="C428" s="22"/>
      <c r="D428" s="23"/>
      <c r="H428" s="22"/>
      <c r="L428" s="22"/>
      <c r="P428" s="22"/>
      <c r="Q428" s="22"/>
      <c r="R428" s="22"/>
      <c r="S428" s="22"/>
    </row>
    <row r="429" spans="1:19" x14ac:dyDescent="0.2">
      <c r="A429" s="22"/>
      <c r="B429" s="22"/>
      <c r="C429" s="22"/>
      <c r="D429" s="23"/>
      <c r="H429" s="22"/>
      <c r="L429" s="22"/>
      <c r="P429" s="22"/>
      <c r="Q429" s="22"/>
      <c r="R429" s="22"/>
      <c r="S429" s="22"/>
    </row>
    <row r="430" spans="1:19" x14ac:dyDescent="0.2">
      <c r="A430" s="22"/>
      <c r="B430" s="22"/>
      <c r="C430" s="22"/>
      <c r="D430" s="23"/>
      <c r="H430" s="22"/>
      <c r="L430" s="22"/>
      <c r="P430" s="22"/>
      <c r="Q430" s="22"/>
      <c r="R430" s="22"/>
      <c r="S430" s="22"/>
    </row>
    <row r="431" spans="1:19" x14ac:dyDescent="0.2">
      <c r="A431" s="22"/>
      <c r="B431" s="22"/>
      <c r="C431" s="22"/>
      <c r="D431" s="23"/>
      <c r="H431" s="22"/>
      <c r="L431" s="22"/>
      <c r="P431" s="22"/>
      <c r="Q431" s="22"/>
      <c r="R431" s="22"/>
      <c r="S431" s="22"/>
    </row>
    <row r="432" spans="1:19" x14ac:dyDescent="0.2">
      <c r="A432" s="22"/>
      <c r="B432" s="22"/>
      <c r="C432" s="22"/>
      <c r="D432" s="23"/>
      <c r="H432" s="22"/>
      <c r="L432" s="22"/>
      <c r="P432" s="22"/>
      <c r="Q432" s="22"/>
      <c r="R432" s="22"/>
      <c r="S432" s="22"/>
    </row>
    <row r="433" spans="1:19" x14ac:dyDescent="0.2">
      <c r="A433" s="22"/>
      <c r="B433" s="22"/>
      <c r="C433" s="22"/>
      <c r="D433" s="23"/>
      <c r="H433" s="22"/>
      <c r="L433" s="22"/>
      <c r="P433" s="22"/>
      <c r="Q433" s="22"/>
      <c r="R433" s="22"/>
      <c r="S433" s="22"/>
    </row>
    <row r="434" spans="1:19" x14ac:dyDescent="0.2">
      <c r="A434" s="22"/>
      <c r="B434" s="22"/>
      <c r="C434" s="22"/>
      <c r="D434" s="23"/>
      <c r="H434" s="22"/>
      <c r="L434" s="22"/>
      <c r="P434" s="22"/>
      <c r="Q434" s="22"/>
      <c r="R434" s="22"/>
      <c r="S434" s="22"/>
    </row>
    <row r="435" spans="1:19" x14ac:dyDescent="0.2">
      <c r="A435" s="22"/>
      <c r="B435" s="22"/>
      <c r="C435" s="22"/>
      <c r="D435" s="23"/>
      <c r="H435" s="22"/>
      <c r="L435" s="22"/>
      <c r="P435" s="22"/>
      <c r="Q435" s="22"/>
      <c r="R435" s="22"/>
      <c r="S435" s="22"/>
    </row>
    <row r="436" spans="1:19" x14ac:dyDescent="0.2">
      <c r="A436" s="22"/>
      <c r="B436" s="22"/>
      <c r="C436" s="22"/>
      <c r="D436" s="23"/>
      <c r="H436" s="22"/>
      <c r="L436" s="22"/>
      <c r="P436" s="22"/>
      <c r="Q436" s="22"/>
      <c r="R436" s="22"/>
      <c r="S436" s="22"/>
    </row>
    <row r="437" spans="1:19" x14ac:dyDescent="0.2">
      <c r="A437" s="22"/>
      <c r="B437" s="22"/>
      <c r="C437" s="22"/>
      <c r="D437" s="23"/>
      <c r="H437" s="22"/>
      <c r="L437" s="22"/>
      <c r="P437" s="22"/>
      <c r="Q437" s="22"/>
      <c r="R437" s="22"/>
      <c r="S437" s="22"/>
    </row>
    <row r="438" spans="1:19" x14ac:dyDescent="0.2">
      <c r="A438" s="22"/>
      <c r="B438" s="22"/>
      <c r="C438" s="22"/>
      <c r="D438" s="23"/>
      <c r="H438" s="22"/>
      <c r="L438" s="22"/>
      <c r="P438" s="22"/>
      <c r="Q438" s="22"/>
      <c r="R438" s="22"/>
      <c r="S438" s="22"/>
    </row>
    <row r="439" spans="1:19" x14ac:dyDescent="0.2">
      <c r="A439" s="22"/>
      <c r="B439" s="22"/>
      <c r="C439" s="22"/>
      <c r="D439" s="23"/>
      <c r="H439" s="22"/>
      <c r="L439" s="22"/>
      <c r="P439" s="22"/>
      <c r="Q439" s="22"/>
      <c r="R439" s="22"/>
      <c r="S439" s="22"/>
    </row>
    <row r="440" spans="1:19" x14ac:dyDescent="0.2">
      <c r="A440" s="22"/>
      <c r="B440" s="22"/>
      <c r="C440" s="22"/>
      <c r="D440" s="23"/>
      <c r="H440" s="22"/>
      <c r="L440" s="22"/>
      <c r="P440" s="22"/>
      <c r="Q440" s="22"/>
      <c r="R440" s="22"/>
      <c r="S440" s="22"/>
    </row>
    <row r="441" spans="1:19" x14ac:dyDescent="0.2">
      <c r="A441" s="22"/>
      <c r="B441" s="22"/>
      <c r="C441" s="22"/>
      <c r="D441" s="23"/>
      <c r="H441" s="22"/>
      <c r="L441" s="22"/>
      <c r="P441" s="22"/>
      <c r="Q441" s="22"/>
      <c r="R441" s="22"/>
      <c r="S441" s="22"/>
    </row>
    <row r="442" spans="1:19" x14ac:dyDescent="0.2">
      <c r="A442" s="22"/>
      <c r="B442" s="22"/>
      <c r="C442" s="22"/>
      <c r="D442" s="23"/>
      <c r="H442" s="22"/>
      <c r="L442" s="22"/>
      <c r="P442" s="22"/>
      <c r="Q442" s="22"/>
      <c r="R442" s="22"/>
      <c r="S442" s="22"/>
    </row>
    <row r="443" spans="1:19" x14ac:dyDescent="0.2">
      <c r="A443" s="22"/>
      <c r="B443" s="22"/>
      <c r="C443" s="22"/>
      <c r="D443" s="23"/>
      <c r="H443" s="22"/>
      <c r="L443" s="22"/>
      <c r="P443" s="22"/>
      <c r="Q443" s="22"/>
      <c r="R443" s="22"/>
      <c r="S443" s="22"/>
    </row>
    <row r="444" spans="1:19" x14ac:dyDescent="0.2">
      <c r="A444" s="22"/>
      <c r="B444" s="22"/>
      <c r="C444" s="22"/>
      <c r="D444" s="23"/>
      <c r="H444" s="22"/>
      <c r="L444" s="22"/>
      <c r="P444" s="22"/>
      <c r="Q444" s="22"/>
      <c r="R444" s="22"/>
      <c r="S444" s="22"/>
    </row>
    <row r="445" spans="1:19" x14ac:dyDescent="0.2">
      <c r="A445" s="22"/>
      <c r="B445" s="22"/>
      <c r="C445" s="22"/>
      <c r="D445" s="23"/>
      <c r="H445" s="22"/>
      <c r="L445" s="22"/>
      <c r="P445" s="22"/>
      <c r="Q445" s="22"/>
      <c r="R445" s="22"/>
      <c r="S445" s="22"/>
    </row>
    <row r="446" spans="1:19" x14ac:dyDescent="0.2">
      <c r="A446" s="22"/>
      <c r="B446" s="22"/>
      <c r="C446" s="22"/>
      <c r="D446" s="23"/>
      <c r="H446" s="22"/>
      <c r="L446" s="22"/>
      <c r="P446" s="22"/>
      <c r="Q446" s="22"/>
      <c r="R446" s="22"/>
      <c r="S446" s="22"/>
    </row>
    <row r="447" spans="1:19" x14ac:dyDescent="0.2">
      <c r="A447" s="22"/>
      <c r="B447" s="22"/>
      <c r="C447" s="22"/>
      <c r="D447" s="23"/>
      <c r="H447" s="22"/>
      <c r="L447" s="22"/>
      <c r="P447" s="22"/>
      <c r="Q447" s="22"/>
      <c r="R447" s="22"/>
      <c r="S447" s="22"/>
    </row>
    <row r="448" spans="1:19" x14ac:dyDescent="0.2">
      <c r="A448" s="22"/>
      <c r="B448" s="22"/>
      <c r="C448" s="22"/>
      <c r="D448" s="23"/>
      <c r="H448" s="22"/>
      <c r="L448" s="22"/>
      <c r="P448" s="22"/>
      <c r="Q448" s="22"/>
      <c r="R448" s="22"/>
      <c r="S448" s="22"/>
    </row>
    <row r="449" spans="1:19" x14ac:dyDescent="0.2">
      <c r="A449" s="22"/>
      <c r="B449" s="22"/>
      <c r="C449" s="22"/>
      <c r="D449" s="23"/>
      <c r="H449" s="22"/>
      <c r="L449" s="22"/>
      <c r="P449" s="22"/>
      <c r="Q449" s="22"/>
      <c r="R449" s="22"/>
      <c r="S449" s="22"/>
    </row>
    <row r="450" spans="1:19" x14ac:dyDescent="0.2">
      <c r="A450" s="22"/>
      <c r="B450" s="22"/>
      <c r="C450" s="22"/>
      <c r="D450" s="23"/>
      <c r="H450" s="22"/>
      <c r="L450" s="22"/>
      <c r="P450" s="22"/>
      <c r="Q450" s="22"/>
      <c r="R450" s="22"/>
      <c r="S450" s="22"/>
    </row>
    <row r="451" spans="1:19" x14ac:dyDescent="0.2">
      <c r="A451" s="22"/>
      <c r="B451" s="22"/>
      <c r="C451" s="22"/>
      <c r="D451" s="23"/>
      <c r="H451" s="22"/>
      <c r="L451" s="22"/>
      <c r="P451" s="22"/>
      <c r="Q451" s="22"/>
      <c r="R451" s="22"/>
      <c r="S451" s="22"/>
    </row>
    <row r="452" spans="1:19" x14ac:dyDescent="0.2">
      <c r="A452" s="22"/>
      <c r="B452" s="22"/>
      <c r="C452" s="22"/>
      <c r="D452" s="23"/>
      <c r="H452" s="22"/>
      <c r="L452" s="22"/>
      <c r="P452" s="22"/>
      <c r="Q452" s="22"/>
      <c r="R452" s="22"/>
      <c r="S452" s="22"/>
    </row>
    <row r="453" spans="1:19" x14ac:dyDescent="0.2">
      <c r="A453" s="22"/>
      <c r="B453" s="22"/>
      <c r="C453" s="22"/>
      <c r="D453" s="23"/>
      <c r="H453" s="22"/>
      <c r="L453" s="22"/>
      <c r="P453" s="22"/>
      <c r="Q453" s="22"/>
      <c r="R453" s="22"/>
      <c r="S453" s="22"/>
    </row>
    <row r="454" spans="1:19" x14ac:dyDescent="0.2">
      <c r="A454" s="22"/>
      <c r="B454" s="22"/>
      <c r="C454" s="22"/>
      <c r="D454" s="23"/>
      <c r="H454" s="22"/>
      <c r="L454" s="22"/>
      <c r="P454" s="22"/>
      <c r="Q454" s="22"/>
      <c r="R454" s="22"/>
      <c r="S454" s="22"/>
    </row>
    <row r="455" spans="1:19" x14ac:dyDescent="0.2">
      <c r="A455" s="22"/>
      <c r="B455" s="22"/>
      <c r="C455" s="22"/>
      <c r="D455" s="23"/>
      <c r="H455" s="22"/>
      <c r="L455" s="22"/>
      <c r="P455" s="22"/>
      <c r="Q455" s="22"/>
      <c r="R455" s="22"/>
      <c r="S455" s="22"/>
    </row>
    <row r="456" spans="1:19" x14ac:dyDescent="0.2">
      <c r="A456" s="22"/>
      <c r="B456" s="22"/>
      <c r="C456" s="22"/>
      <c r="D456" s="23"/>
      <c r="H456" s="22"/>
      <c r="L456" s="22"/>
      <c r="P456" s="22"/>
      <c r="Q456" s="22"/>
      <c r="R456" s="22"/>
      <c r="S456" s="22"/>
    </row>
    <row r="457" spans="1:19" x14ac:dyDescent="0.2">
      <c r="A457" s="22"/>
      <c r="B457" s="22"/>
      <c r="C457" s="22"/>
      <c r="D457" s="23"/>
      <c r="H457" s="22"/>
      <c r="L457" s="22"/>
      <c r="P457" s="22"/>
      <c r="Q457" s="22"/>
      <c r="R457" s="22"/>
      <c r="S457" s="22"/>
    </row>
    <row r="458" spans="1:19" x14ac:dyDescent="0.2">
      <c r="A458" s="22"/>
      <c r="B458" s="22"/>
      <c r="C458" s="22"/>
      <c r="D458" s="23"/>
      <c r="H458" s="22"/>
      <c r="L458" s="22"/>
      <c r="P458" s="22"/>
      <c r="Q458" s="22"/>
      <c r="R458" s="22"/>
      <c r="S458" s="22"/>
    </row>
    <row r="459" spans="1:19" x14ac:dyDescent="0.2">
      <c r="A459" s="22"/>
      <c r="B459" s="22"/>
      <c r="C459" s="22"/>
      <c r="D459" s="23"/>
      <c r="H459" s="22"/>
      <c r="L459" s="22"/>
      <c r="P459" s="22"/>
      <c r="Q459" s="22"/>
      <c r="R459" s="22"/>
      <c r="S459" s="22"/>
    </row>
    <row r="460" spans="1:19" x14ac:dyDescent="0.2">
      <c r="A460" s="22"/>
      <c r="B460" s="22"/>
      <c r="C460" s="22"/>
      <c r="D460" s="23"/>
      <c r="H460" s="22"/>
      <c r="L460" s="22"/>
      <c r="P460" s="22"/>
      <c r="Q460" s="22"/>
      <c r="R460" s="22"/>
      <c r="S460" s="22"/>
    </row>
    <row r="461" spans="1:19" x14ac:dyDescent="0.2">
      <c r="A461" s="22"/>
      <c r="B461" s="22"/>
      <c r="C461" s="22"/>
      <c r="D461" s="23"/>
      <c r="H461" s="22"/>
      <c r="L461" s="22"/>
      <c r="P461" s="22"/>
      <c r="Q461" s="22"/>
      <c r="R461" s="22"/>
      <c r="S461" s="22"/>
    </row>
    <row r="462" spans="1:19" x14ac:dyDescent="0.2">
      <c r="A462" s="22"/>
      <c r="B462" s="22"/>
      <c r="C462" s="22"/>
      <c r="D462" s="23"/>
      <c r="H462" s="22"/>
      <c r="L462" s="22"/>
      <c r="P462" s="22"/>
      <c r="Q462" s="22"/>
      <c r="R462" s="22"/>
      <c r="S462" s="22"/>
    </row>
    <row r="463" spans="1:19" x14ac:dyDescent="0.2">
      <c r="A463" s="22"/>
      <c r="B463" s="22"/>
      <c r="C463" s="22"/>
      <c r="D463" s="23"/>
      <c r="H463" s="22"/>
      <c r="L463" s="22"/>
      <c r="P463" s="22"/>
      <c r="Q463" s="22"/>
      <c r="R463" s="22"/>
      <c r="S463" s="22"/>
    </row>
    <row r="464" spans="1:19" x14ac:dyDescent="0.2">
      <c r="A464" s="22"/>
      <c r="B464" s="22"/>
      <c r="C464" s="22"/>
      <c r="D464" s="23"/>
      <c r="H464" s="22"/>
      <c r="L464" s="22"/>
      <c r="P464" s="22"/>
      <c r="Q464" s="22"/>
      <c r="R464" s="22"/>
      <c r="S464" s="22"/>
    </row>
    <row r="465" spans="1:19" x14ac:dyDescent="0.2">
      <c r="A465" s="22"/>
      <c r="B465" s="22"/>
      <c r="C465" s="22"/>
      <c r="D465" s="23"/>
      <c r="H465" s="22"/>
      <c r="L465" s="22"/>
      <c r="P465" s="22"/>
      <c r="Q465" s="22"/>
      <c r="R465" s="22"/>
      <c r="S465" s="22"/>
    </row>
    <row r="466" spans="1:19" x14ac:dyDescent="0.2">
      <c r="A466" s="22"/>
      <c r="B466" s="22"/>
      <c r="C466" s="22"/>
      <c r="D466" s="23"/>
      <c r="H466" s="22"/>
      <c r="L466" s="22"/>
      <c r="P466" s="22"/>
      <c r="Q466" s="22"/>
      <c r="R466" s="22"/>
      <c r="S466" s="22"/>
    </row>
    <row r="467" spans="1:19" x14ac:dyDescent="0.2">
      <c r="A467" s="22"/>
      <c r="B467" s="22"/>
      <c r="C467" s="22"/>
      <c r="D467" s="23"/>
      <c r="H467" s="22"/>
      <c r="L467" s="22"/>
      <c r="P467" s="22"/>
      <c r="Q467" s="22"/>
      <c r="R467" s="22"/>
      <c r="S467" s="22"/>
    </row>
    <row r="468" spans="1:19" x14ac:dyDescent="0.2">
      <c r="A468" s="22"/>
      <c r="B468" s="22"/>
      <c r="C468" s="22"/>
      <c r="D468" s="23"/>
      <c r="H468" s="22"/>
      <c r="L468" s="22"/>
      <c r="P468" s="22"/>
      <c r="Q468" s="22"/>
      <c r="R468" s="22"/>
      <c r="S468" s="22"/>
    </row>
    <row r="469" spans="1:19" x14ac:dyDescent="0.2">
      <c r="A469" s="22"/>
      <c r="B469" s="22"/>
      <c r="C469" s="22"/>
      <c r="D469" s="23"/>
      <c r="H469" s="22"/>
      <c r="L469" s="22"/>
      <c r="P469" s="22"/>
      <c r="Q469" s="22"/>
      <c r="R469" s="22"/>
      <c r="S469" s="22"/>
    </row>
    <row r="470" spans="1:19" x14ac:dyDescent="0.2">
      <c r="A470" s="22"/>
      <c r="B470" s="22"/>
      <c r="C470" s="22"/>
      <c r="D470" s="23"/>
      <c r="H470" s="22"/>
      <c r="L470" s="22"/>
      <c r="P470" s="22"/>
      <c r="Q470" s="22"/>
      <c r="R470" s="22"/>
      <c r="S470" s="22"/>
    </row>
    <row r="471" spans="1:19" x14ac:dyDescent="0.2">
      <c r="A471" s="22"/>
      <c r="B471" s="22"/>
      <c r="C471" s="22"/>
      <c r="D471" s="23"/>
      <c r="H471" s="22"/>
      <c r="L471" s="22"/>
      <c r="P471" s="22"/>
      <c r="Q471" s="22"/>
      <c r="R471" s="22"/>
      <c r="S471" s="22"/>
    </row>
    <row r="472" spans="1:19" x14ac:dyDescent="0.2">
      <c r="A472" s="22"/>
      <c r="B472" s="22"/>
      <c r="C472" s="22"/>
      <c r="D472" s="23"/>
      <c r="H472" s="22"/>
      <c r="L472" s="22"/>
      <c r="P472" s="22"/>
      <c r="Q472" s="22"/>
      <c r="R472" s="22"/>
      <c r="S472" s="22"/>
    </row>
    <row r="473" spans="1:19" x14ac:dyDescent="0.2">
      <c r="A473" s="22"/>
      <c r="B473" s="22"/>
      <c r="C473" s="22"/>
      <c r="D473" s="23"/>
      <c r="H473" s="22"/>
      <c r="L473" s="22"/>
      <c r="P473" s="22"/>
      <c r="Q473" s="22"/>
      <c r="R473" s="22"/>
      <c r="S473" s="22"/>
    </row>
    <row r="474" spans="1:19" x14ac:dyDescent="0.2">
      <c r="A474" s="22"/>
      <c r="B474" s="22"/>
      <c r="C474" s="22"/>
      <c r="D474" s="23"/>
      <c r="H474" s="22"/>
      <c r="L474" s="22"/>
      <c r="P474" s="22"/>
      <c r="Q474" s="22"/>
      <c r="R474" s="22"/>
      <c r="S474" s="22"/>
    </row>
    <row r="475" spans="1:19" x14ac:dyDescent="0.2">
      <c r="A475" s="22"/>
      <c r="B475" s="22"/>
      <c r="C475" s="22"/>
      <c r="D475" s="23"/>
      <c r="H475" s="22"/>
      <c r="L475" s="22"/>
      <c r="P475" s="22"/>
      <c r="Q475" s="22"/>
      <c r="R475" s="22"/>
      <c r="S475" s="22"/>
    </row>
    <row r="476" spans="1:19" x14ac:dyDescent="0.2">
      <c r="A476" s="22"/>
      <c r="B476" s="22"/>
      <c r="C476" s="22"/>
      <c r="D476" s="23"/>
      <c r="H476" s="22"/>
      <c r="L476" s="22"/>
      <c r="P476" s="22"/>
      <c r="Q476" s="22"/>
      <c r="R476" s="22"/>
      <c r="S476" s="22"/>
    </row>
    <row r="477" spans="1:19" x14ac:dyDescent="0.2">
      <c r="A477" s="22"/>
      <c r="B477" s="22"/>
      <c r="C477" s="22"/>
      <c r="D477" s="23"/>
      <c r="H477" s="22"/>
      <c r="L477" s="22"/>
      <c r="P477" s="22"/>
      <c r="Q477" s="22"/>
      <c r="R477" s="22"/>
      <c r="S477" s="22"/>
    </row>
    <row r="478" spans="1:19" x14ac:dyDescent="0.2">
      <c r="A478" s="22"/>
      <c r="B478" s="22"/>
      <c r="C478" s="22"/>
      <c r="D478" s="23"/>
      <c r="H478" s="22"/>
      <c r="L478" s="22"/>
      <c r="P478" s="22"/>
      <c r="Q478" s="22"/>
      <c r="R478" s="22"/>
      <c r="S478" s="22"/>
    </row>
    <row r="479" spans="1:19" x14ac:dyDescent="0.2">
      <c r="A479" s="22"/>
      <c r="B479" s="22"/>
      <c r="C479" s="22"/>
      <c r="D479" s="23"/>
      <c r="H479" s="22"/>
      <c r="L479" s="22"/>
      <c r="P479" s="22"/>
      <c r="Q479" s="22"/>
      <c r="R479" s="22"/>
      <c r="S479" s="22"/>
    </row>
    <row r="480" spans="1:19" x14ac:dyDescent="0.2">
      <c r="A480" s="22"/>
      <c r="B480" s="22"/>
      <c r="C480" s="22"/>
      <c r="D480" s="23"/>
      <c r="H480" s="22"/>
      <c r="L480" s="22"/>
      <c r="P480" s="22"/>
      <c r="Q480" s="22"/>
      <c r="R480" s="22"/>
      <c r="S480" s="22"/>
    </row>
    <row r="481" spans="1:19" x14ac:dyDescent="0.2">
      <c r="A481" s="22"/>
      <c r="B481" s="22"/>
      <c r="C481" s="22"/>
      <c r="D481" s="23"/>
      <c r="H481" s="22"/>
      <c r="L481" s="22"/>
      <c r="P481" s="22"/>
      <c r="Q481" s="22"/>
      <c r="R481" s="22"/>
      <c r="S481" s="22"/>
    </row>
    <row r="482" spans="1:19" x14ac:dyDescent="0.2">
      <c r="A482" s="22"/>
      <c r="B482" s="22"/>
      <c r="C482" s="22"/>
      <c r="D482" s="23"/>
      <c r="H482" s="22"/>
      <c r="L482" s="22"/>
      <c r="P482" s="22"/>
      <c r="Q482" s="22"/>
      <c r="R482" s="22"/>
      <c r="S482" s="22"/>
    </row>
    <row r="483" spans="1:19" x14ac:dyDescent="0.2">
      <c r="A483" s="22"/>
      <c r="B483" s="22"/>
      <c r="C483" s="22"/>
      <c r="D483" s="23"/>
      <c r="H483" s="22"/>
      <c r="L483" s="22"/>
      <c r="P483" s="22"/>
      <c r="Q483" s="22"/>
      <c r="R483" s="22"/>
      <c r="S483" s="22"/>
    </row>
    <row r="484" spans="1:19" x14ac:dyDescent="0.2">
      <c r="A484" s="22"/>
      <c r="B484" s="22"/>
      <c r="C484" s="22"/>
      <c r="D484" s="23"/>
      <c r="H484" s="22"/>
      <c r="L484" s="22"/>
      <c r="P484" s="22"/>
      <c r="Q484" s="22"/>
      <c r="R484" s="22"/>
      <c r="S484" s="22"/>
    </row>
    <row r="485" spans="1:19" x14ac:dyDescent="0.2">
      <c r="A485" s="22"/>
      <c r="B485" s="22"/>
      <c r="C485" s="22"/>
      <c r="D485" s="23"/>
      <c r="H485" s="22"/>
      <c r="L485" s="22"/>
      <c r="P485" s="22"/>
      <c r="Q485" s="22"/>
      <c r="R485" s="22"/>
      <c r="S485" s="22"/>
    </row>
    <row r="486" spans="1:19" x14ac:dyDescent="0.2">
      <c r="A486" s="22"/>
      <c r="B486" s="22"/>
      <c r="C486" s="22"/>
      <c r="D486" s="23"/>
      <c r="H486" s="22"/>
      <c r="L486" s="22"/>
      <c r="P486" s="22"/>
      <c r="Q486" s="22"/>
      <c r="R486" s="22"/>
      <c r="S486" s="22"/>
    </row>
    <row r="487" spans="1:19" x14ac:dyDescent="0.2">
      <c r="A487" s="22"/>
      <c r="B487" s="22"/>
      <c r="C487" s="22"/>
      <c r="D487" s="23"/>
      <c r="H487" s="22"/>
      <c r="L487" s="22"/>
      <c r="P487" s="22"/>
      <c r="Q487" s="22"/>
      <c r="R487" s="22"/>
      <c r="S487" s="22"/>
    </row>
    <row r="488" spans="1:19" x14ac:dyDescent="0.2">
      <c r="A488" s="22"/>
      <c r="B488" s="22"/>
      <c r="C488" s="22"/>
      <c r="D488" s="23"/>
      <c r="H488" s="22"/>
      <c r="L488" s="22"/>
      <c r="P488" s="22"/>
      <c r="Q488" s="22"/>
      <c r="R488" s="22"/>
      <c r="S488" s="22"/>
    </row>
    <row r="489" spans="1:19" x14ac:dyDescent="0.2">
      <c r="A489" s="22"/>
      <c r="B489" s="22"/>
      <c r="C489" s="22"/>
      <c r="D489" s="23"/>
      <c r="H489" s="22"/>
      <c r="L489" s="22"/>
      <c r="P489" s="22"/>
      <c r="Q489" s="22"/>
      <c r="R489" s="22"/>
      <c r="S489" s="22"/>
    </row>
    <row r="490" spans="1:19" x14ac:dyDescent="0.2">
      <c r="A490" s="22"/>
      <c r="B490" s="22"/>
      <c r="C490" s="22"/>
      <c r="D490" s="23"/>
      <c r="H490" s="22"/>
      <c r="L490" s="22"/>
      <c r="P490" s="22"/>
      <c r="Q490" s="22"/>
      <c r="R490" s="22"/>
      <c r="S490" s="22"/>
    </row>
    <row r="491" spans="1:19" x14ac:dyDescent="0.2">
      <c r="A491" s="22"/>
      <c r="B491" s="22"/>
      <c r="C491" s="22"/>
      <c r="D491" s="23"/>
      <c r="H491" s="22"/>
      <c r="L491" s="22"/>
      <c r="P491" s="22"/>
      <c r="Q491" s="22"/>
      <c r="R491" s="22"/>
      <c r="S491" s="22"/>
    </row>
    <row r="492" spans="1:19" x14ac:dyDescent="0.2">
      <c r="A492" s="22"/>
      <c r="B492" s="22"/>
      <c r="C492" s="22"/>
      <c r="D492" s="23"/>
      <c r="H492" s="22"/>
      <c r="L492" s="22"/>
      <c r="P492" s="22"/>
      <c r="Q492" s="22"/>
      <c r="R492" s="22"/>
      <c r="S492" s="22"/>
    </row>
    <row r="493" spans="1:19" x14ac:dyDescent="0.2">
      <c r="A493" s="22"/>
      <c r="B493" s="22"/>
      <c r="C493" s="22"/>
      <c r="D493" s="23"/>
      <c r="H493" s="22"/>
      <c r="L493" s="22"/>
      <c r="P493" s="22"/>
      <c r="Q493" s="22"/>
      <c r="R493" s="22"/>
      <c r="S493" s="22"/>
    </row>
    <row r="494" spans="1:19" x14ac:dyDescent="0.2">
      <c r="A494" s="22"/>
      <c r="B494" s="22"/>
      <c r="C494" s="22"/>
      <c r="D494" s="23"/>
      <c r="H494" s="22"/>
      <c r="L494" s="22"/>
      <c r="P494" s="22"/>
      <c r="Q494" s="22"/>
      <c r="R494" s="22"/>
      <c r="S494" s="22"/>
    </row>
    <row r="495" spans="1:19" x14ac:dyDescent="0.2">
      <c r="A495" s="22"/>
      <c r="B495" s="22"/>
      <c r="C495" s="22"/>
      <c r="D495" s="23"/>
      <c r="H495" s="22"/>
      <c r="L495" s="22"/>
      <c r="P495" s="22"/>
      <c r="Q495" s="22"/>
      <c r="R495" s="22"/>
      <c r="S495" s="22"/>
    </row>
    <row r="496" spans="1:19" x14ac:dyDescent="0.2">
      <c r="A496" s="22"/>
      <c r="B496" s="22"/>
      <c r="C496" s="22"/>
      <c r="D496" s="23"/>
      <c r="H496" s="22"/>
      <c r="L496" s="22"/>
      <c r="P496" s="22"/>
      <c r="Q496" s="22"/>
      <c r="R496" s="22"/>
      <c r="S496" s="22"/>
    </row>
    <row r="497" spans="1:19" x14ac:dyDescent="0.2">
      <c r="A497" s="22"/>
      <c r="B497" s="22"/>
      <c r="C497" s="22"/>
      <c r="D497" s="23"/>
      <c r="H497" s="22"/>
      <c r="L497" s="22"/>
      <c r="P497" s="22"/>
      <c r="Q497" s="22"/>
      <c r="R497" s="22"/>
      <c r="S497" s="22"/>
    </row>
    <row r="498" spans="1:19" x14ac:dyDescent="0.2">
      <c r="A498" s="22"/>
      <c r="B498" s="22"/>
      <c r="C498" s="22"/>
      <c r="D498" s="23"/>
      <c r="H498" s="22"/>
      <c r="L498" s="22"/>
      <c r="P498" s="22"/>
      <c r="Q498" s="22"/>
      <c r="R498" s="22"/>
      <c r="S498" s="22"/>
    </row>
    <row r="499" spans="1:19" x14ac:dyDescent="0.2">
      <c r="A499" s="22"/>
      <c r="B499" s="22"/>
      <c r="C499" s="22"/>
      <c r="D499" s="23"/>
      <c r="H499" s="22"/>
      <c r="L499" s="22"/>
      <c r="P499" s="22"/>
      <c r="Q499" s="22"/>
      <c r="R499" s="22"/>
      <c r="S499" s="22"/>
    </row>
    <row r="500" spans="1:19" x14ac:dyDescent="0.2">
      <c r="A500" s="22"/>
      <c r="B500" s="22"/>
      <c r="C500" s="22"/>
      <c r="D500" s="23"/>
      <c r="H500" s="22"/>
      <c r="L500" s="22"/>
      <c r="P500" s="22"/>
      <c r="Q500" s="22"/>
      <c r="R500" s="22"/>
      <c r="S500" s="22"/>
    </row>
    <row r="501" spans="1:19" x14ac:dyDescent="0.2">
      <c r="A501" s="22"/>
      <c r="B501" s="22"/>
      <c r="C501" s="22"/>
      <c r="D501" s="23"/>
      <c r="H501" s="22"/>
      <c r="L501" s="22"/>
      <c r="P501" s="22"/>
      <c r="Q501" s="22"/>
      <c r="R501" s="22"/>
      <c r="S501" s="22"/>
    </row>
    <row r="502" spans="1:19" x14ac:dyDescent="0.2">
      <c r="A502" s="22"/>
      <c r="B502" s="22"/>
      <c r="C502" s="22"/>
      <c r="D502" s="23"/>
      <c r="H502" s="22"/>
      <c r="L502" s="22"/>
      <c r="P502" s="22"/>
      <c r="Q502" s="22"/>
      <c r="R502" s="22"/>
      <c r="S502" s="22"/>
    </row>
    <row r="503" spans="1:19" x14ac:dyDescent="0.2">
      <c r="A503" s="22"/>
      <c r="B503" s="22"/>
      <c r="C503" s="22"/>
      <c r="D503" s="23"/>
      <c r="H503" s="22"/>
      <c r="L503" s="22"/>
      <c r="P503" s="22"/>
      <c r="Q503" s="22"/>
      <c r="R503" s="22"/>
      <c r="S503" s="22"/>
    </row>
    <row r="504" spans="1:19" x14ac:dyDescent="0.2">
      <c r="A504" s="22"/>
      <c r="B504" s="22"/>
      <c r="C504" s="22"/>
      <c r="D504" s="23"/>
      <c r="H504" s="22"/>
      <c r="L504" s="22"/>
      <c r="P504" s="22"/>
      <c r="Q504" s="22"/>
      <c r="R504" s="22"/>
      <c r="S504" s="22"/>
    </row>
    <row r="505" spans="1:19" x14ac:dyDescent="0.2">
      <c r="A505" s="22"/>
      <c r="B505" s="22"/>
      <c r="C505" s="22"/>
      <c r="D505" s="23"/>
      <c r="H505" s="22"/>
      <c r="L505" s="22"/>
      <c r="P505" s="22"/>
      <c r="Q505" s="22"/>
      <c r="R505" s="22"/>
      <c r="S505" s="22"/>
    </row>
    <row r="506" spans="1:19" x14ac:dyDescent="0.2">
      <c r="A506" s="22"/>
      <c r="B506" s="22"/>
      <c r="C506" s="22"/>
      <c r="D506" s="23"/>
      <c r="H506" s="22"/>
      <c r="L506" s="22"/>
      <c r="P506" s="22"/>
      <c r="Q506" s="22"/>
      <c r="R506" s="22"/>
      <c r="S506" s="22"/>
    </row>
    <row r="507" spans="1:19" x14ac:dyDescent="0.2">
      <c r="A507" s="22"/>
      <c r="B507" s="22"/>
      <c r="C507" s="22"/>
      <c r="D507" s="23"/>
      <c r="H507" s="22"/>
      <c r="L507" s="22"/>
      <c r="P507" s="22"/>
      <c r="Q507" s="22"/>
      <c r="R507" s="22"/>
      <c r="S507" s="22"/>
    </row>
    <row r="508" spans="1:19" x14ac:dyDescent="0.2">
      <c r="A508" s="22"/>
      <c r="B508" s="22"/>
      <c r="C508" s="22"/>
      <c r="D508" s="23"/>
      <c r="H508" s="22"/>
      <c r="L508" s="22"/>
      <c r="P508" s="22"/>
      <c r="Q508" s="22"/>
      <c r="R508" s="22"/>
      <c r="S508" s="22"/>
    </row>
    <row r="509" spans="1:19" x14ac:dyDescent="0.2">
      <c r="A509" s="22"/>
      <c r="B509" s="22"/>
      <c r="C509" s="22"/>
      <c r="D509" s="23"/>
      <c r="H509" s="22"/>
      <c r="L509" s="22"/>
      <c r="P509" s="22"/>
      <c r="Q509" s="22"/>
      <c r="R509" s="22"/>
      <c r="S509" s="22"/>
    </row>
    <row r="510" spans="1:19" x14ac:dyDescent="0.2">
      <c r="A510" s="22"/>
      <c r="B510" s="22"/>
      <c r="C510" s="22"/>
      <c r="D510" s="23"/>
      <c r="H510" s="22"/>
      <c r="L510" s="22"/>
      <c r="P510" s="22"/>
      <c r="Q510" s="22"/>
      <c r="R510" s="22"/>
      <c r="S510" s="22"/>
    </row>
    <row r="511" spans="1:19" x14ac:dyDescent="0.2">
      <c r="A511" s="22"/>
      <c r="B511" s="22"/>
      <c r="C511" s="22"/>
      <c r="D511" s="23"/>
      <c r="H511" s="22"/>
      <c r="L511" s="22"/>
      <c r="P511" s="22"/>
      <c r="Q511" s="22"/>
      <c r="R511" s="22"/>
      <c r="S511" s="22"/>
    </row>
    <row r="512" spans="1:19" x14ac:dyDescent="0.2">
      <c r="A512" s="22"/>
      <c r="B512" s="22"/>
      <c r="C512" s="22"/>
      <c r="D512" s="23"/>
      <c r="H512" s="22"/>
      <c r="L512" s="22"/>
      <c r="P512" s="22"/>
      <c r="Q512" s="22"/>
      <c r="R512" s="22"/>
      <c r="S512" s="22"/>
    </row>
    <row r="513" spans="1:19" x14ac:dyDescent="0.2">
      <c r="A513" s="22"/>
      <c r="B513" s="22"/>
      <c r="C513" s="22"/>
      <c r="D513" s="23"/>
      <c r="H513" s="22"/>
      <c r="L513" s="22"/>
      <c r="P513" s="22"/>
      <c r="Q513" s="22"/>
      <c r="R513" s="22"/>
      <c r="S513" s="22"/>
    </row>
    <row r="514" spans="1:19" x14ac:dyDescent="0.2">
      <c r="A514" s="22"/>
      <c r="B514" s="22"/>
      <c r="C514" s="22"/>
      <c r="D514" s="23"/>
      <c r="H514" s="22"/>
      <c r="L514" s="22"/>
      <c r="P514" s="22"/>
      <c r="Q514" s="22"/>
      <c r="R514" s="22"/>
      <c r="S514" s="22"/>
    </row>
    <row r="515" spans="1:19" x14ac:dyDescent="0.2">
      <c r="A515" s="22"/>
      <c r="B515" s="22"/>
      <c r="C515" s="22"/>
      <c r="D515" s="23"/>
      <c r="H515" s="22"/>
      <c r="L515" s="22"/>
      <c r="P515" s="22"/>
      <c r="Q515" s="22"/>
      <c r="R515" s="22"/>
      <c r="S515" s="22"/>
    </row>
    <row r="516" spans="1:19" x14ac:dyDescent="0.2">
      <c r="A516" s="22"/>
      <c r="B516" s="22"/>
      <c r="C516" s="22"/>
      <c r="D516" s="23"/>
      <c r="H516" s="22"/>
      <c r="L516" s="22"/>
      <c r="P516" s="22"/>
      <c r="Q516" s="22"/>
      <c r="R516" s="22"/>
      <c r="S516" s="22"/>
    </row>
    <row r="517" spans="1:19" x14ac:dyDescent="0.2">
      <c r="A517" s="22"/>
      <c r="B517" s="22"/>
      <c r="C517" s="22"/>
      <c r="D517" s="23"/>
      <c r="H517" s="22"/>
      <c r="L517" s="22"/>
      <c r="P517" s="22"/>
      <c r="Q517" s="22"/>
      <c r="R517" s="22"/>
      <c r="S517" s="22"/>
    </row>
    <row r="518" spans="1:19" x14ac:dyDescent="0.2">
      <c r="A518" s="22"/>
      <c r="B518" s="22"/>
      <c r="C518" s="22"/>
      <c r="D518" s="23"/>
      <c r="H518" s="22"/>
      <c r="L518" s="22"/>
      <c r="P518" s="22"/>
      <c r="Q518" s="22"/>
      <c r="R518" s="22"/>
      <c r="S518" s="22"/>
    </row>
    <row r="519" spans="1:19" x14ac:dyDescent="0.2">
      <c r="A519" s="22"/>
      <c r="B519" s="22"/>
      <c r="C519" s="22"/>
      <c r="D519" s="23"/>
      <c r="H519" s="22"/>
      <c r="L519" s="22"/>
      <c r="P519" s="22"/>
      <c r="Q519" s="22"/>
      <c r="R519" s="22"/>
      <c r="S519" s="22"/>
    </row>
    <row r="520" spans="1:19" x14ac:dyDescent="0.2">
      <c r="A520" s="22"/>
      <c r="B520" s="22"/>
      <c r="C520" s="22"/>
      <c r="D520" s="23"/>
      <c r="H520" s="22"/>
      <c r="L520" s="22"/>
      <c r="P520" s="22"/>
      <c r="Q520" s="22"/>
      <c r="R520" s="22"/>
      <c r="S520" s="22"/>
    </row>
    <row r="521" spans="1:19" x14ac:dyDescent="0.2">
      <c r="A521" s="22"/>
      <c r="B521" s="22"/>
      <c r="C521" s="22"/>
      <c r="D521" s="23"/>
      <c r="H521" s="22"/>
      <c r="L521" s="22"/>
      <c r="P521" s="22"/>
      <c r="Q521" s="22"/>
      <c r="R521" s="22"/>
      <c r="S521" s="22"/>
    </row>
    <row r="522" spans="1:19" x14ac:dyDescent="0.2">
      <c r="A522" s="22"/>
      <c r="B522" s="22"/>
      <c r="C522" s="22"/>
      <c r="D522" s="23"/>
      <c r="H522" s="22"/>
      <c r="L522" s="22"/>
      <c r="P522" s="22"/>
      <c r="Q522" s="22"/>
      <c r="R522" s="22"/>
      <c r="S522" s="22"/>
    </row>
    <row r="523" spans="1:19" x14ac:dyDescent="0.2">
      <c r="A523" s="22"/>
      <c r="B523" s="22"/>
      <c r="C523" s="22"/>
      <c r="D523" s="23"/>
      <c r="H523" s="22"/>
      <c r="L523" s="22"/>
      <c r="P523" s="22"/>
      <c r="Q523" s="22"/>
      <c r="R523" s="22"/>
      <c r="S523" s="22"/>
    </row>
    <row r="524" spans="1:19" x14ac:dyDescent="0.2">
      <c r="A524" s="22"/>
      <c r="B524" s="22"/>
      <c r="C524" s="22"/>
      <c r="D524" s="23"/>
      <c r="H524" s="22"/>
      <c r="L524" s="22"/>
      <c r="P524" s="22"/>
      <c r="Q524" s="22"/>
      <c r="R524" s="22"/>
      <c r="S524" s="22"/>
    </row>
    <row r="525" spans="1:19" x14ac:dyDescent="0.2">
      <c r="A525" s="22"/>
      <c r="B525" s="22"/>
      <c r="C525" s="22"/>
      <c r="D525" s="23"/>
      <c r="H525" s="22"/>
      <c r="L525" s="22"/>
      <c r="P525" s="22"/>
      <c r="Q525" s="22"/>
      <c r="R525" s="22"/>
      <c r="S525" s="22"/>
    </row>
    <row r="526" spans="1:19" x14ac:dyDescent="0.2">
      <c r="A526" s="22"/>
      <c r="B526" s="22"/>
      <c r="C526" s="22"/>
      <c r="D526" s="23"/>
      <c r="H526" s="22"/>
      <c r="L526" s="22"/>
      <c r="P526" s="22"/>
      <c r="Q526" s="22"/>
      <c r="R526" s="22"/>
      <c r="S526" s="22"/>
    </row>
    <row r="527" spans="1:19" x14ac:dyDescent="0.2">
      <c r="A527" s="22"/>
      <c r="B527" s="22"/>
      <c r="C527" s="22"/>
      <c r="D527" s="23"/>
      <c r="H527" s="22"/>
      <c r="L527" s="22"/>
      <c r="P527" s="22"/>
      <c r="Q527" s="22"/>
      <c r="R527" s="22"/>
      <c r="S527" s="22"/>
    </row>
    <row r="528" spans="1:19" x14ac:dyDescent="0.2">
      <c r="A528" s="22"/>
      <c r="B528" s="22"/>
      <c r="C528" s="22"/>
      <c r="D528" s="23"/>
      <c r="H528" s="22"/>
      <c r="L528" s="22"/>
      <c r="P528" s="22"/>
      <c r="Q528" s="22"/>
      <c r="R528" s="22"/>
      <c r="S528" s="22"/>
    </row>
    <row r="529" spans="1:19" x14ac:dyDescent="0.2">
      <c r="A529" s="22"/>
      <c r="B529" s="22"/>
      <c r="C529" s="22"/>
      <c r="D529" s="23"/>
      <c r="H529" s="22"/>
      <c r="L529" s="22"/>
      <c r="P529" s="22"/>
      <c r="Q529" s="22"/>
      <c r="R529" s="22"/>
      <c r="S529" s="22"/>
    </row>
    <row r="530" spans="1:19" x14ac:dyDescent="0.2">
      <c r="A530" s="22"/>
      <c r="B530" s="22"/>
      <c r="C530" s="22"/>
      <c r="D530" s="23"/>
      <c r="H530" s="22"/>
      <c r="L530" s="22"/>
      <c r="P530" s="22"/>
      <c r="Q530" s="22"/>
      <c r="R530" s="22"/>
      <c r="S530" s="22"/>
    </row>
    <row r="531" spans="1:19" x14ac:dyDescent="0.2">
      <c r="A531" s="22"/>
      <c r="B531" s="22"/>
      <c r="C531" s="22"/>
      <c r="D531" s="23"/>
      <c r="H531" s="22"/>
      <c r="L531" s="22"/>
      <c r="P531" s="22"/>
      <c r="Q531" s="22"/>
      <c r="R531" s="22"/>
      <c r="S531" s="22"/>
    </row>
    <row r="532" spans="1:19" x14ac:dyDescent="0.2">
      <c r="A532" s="22"/>
      <c r="B532" s="22"/>
      <c r="C532" s="22"/>
      <c r="D532" s="23"/>
      <c r="H532" s="22"/>
      <c r="L532" s="22"/>
      <c r="P532" s="22"/>
      <c r="Q532" s="22"/>
      <c r="R532" s="22"/>
      <c r="S532" s="22"/>
    </row>
    <row r="533" spans="1:19" x14ac:dyDescent="0.2">
      <c r="A533" s="22"/>
      <c r="B533" s="22"/>
      <c r="C533" s="22"/>
      <c r="D533" s="23"/>
      <c r="H533" s="22"/>
      <c r="L533" s="22"/>
      <c r="P533" s="22"/>
      <c r="Q533" s="22"/>
      <c r="R533" s="22"/>
      <c r="S533" s="22"/>
    </row>
    <row r="534" spans="1:19" x14ac:dyDescent="0.2">
      <c r="A534" s="22"/>
      <c r="B534" s="22"/>
      <c r="C534" s="22"/>
      <c r="D534" s="23"/>
      <c r="H534" s="22"/>
      <c r="L534" s="22"/>
      <c r="P534" s="22"/>
      <c r="Q534" s="22"/>
      <c r="R534" s="22"/>
      <c r="S534" s="22"/>
    </row>
    <row r="535" spans="1:19" x14ac:dyDescent="0.2">
      <c r="A535" s="22"/>
      <c r="B535" s="22"/>
      <c r="C535" s="22"/>
      <c r="D535" s="23"/>
      <c r="H535" s="22"/>
      <c r="L535" s="22"/>
      <c r="P535" s="22"/>
      <c r="Q535" s="22"/>
      <c r="R535" s="22"/>
      <c r="S535" s="22"/>
    </row>
    <row r="536" spans="1:19" x14ac:dyDescent="0.2">
      <c r="A536" s="22"/>
      <c r="B536" s="22"/>
      <c r="C536" s="22"/>
      <c r="D536" s="23"/>
      <c r="H536" s="22"/>
      <c r="L536" s="22"/>
      <c r="P536" s="22"/>
      <c r="Q536" s="22"/>
      <c r="R536" s="22"/>
      <c r="S536" s="22"/>
    </row>
    <row r="537" spans="1:19" x14ac:dyDescent="0.2">
      <c r="A537" s="22"/>
      <c r="B537" s="22"/>
      <c r="C537" s="22"/>
      <c r="D537" s="23"/>
      <c r="H537" s="22"/>
      <c r="L537" s="22"/>
      <c r="P537" s="22"/>
      <c r="Q537" s="22"/>
      <c r="R537" s="22"/>
      <c r="S537" s="22"/>
    </row>
    <row r="538" spans="1:19" x14ac:dyDescent="0.2">
      <c r="A538" s="22"/>
      <c r="B538" s="22"/>
      <c r="C538" s="22"/>
      <c r="D538" s="23"/>
      <c r="H538" s="22"/>
      <c r="L538" s="22"/>
      <c r="P538" s="22"/>
      <c r="Q538" s="22"/>
      <c r="R538" s="22"/>
      <c r="S538" s="22"/>
    </row>
    <row r="539" spans="1:19" x14ac:dyDescent="0.2">
      <c r="A539" s="22"/>
      <c r="B539" s="22"/>
      <c r="C539" s="22"/>
      <c r="D539" s="23"/>
      <c r="H539" s="22"/>
      <c r="L539" s="22"/>
      <c r="P539" s="22"/>
      <c r="Q539" s="22"/>
      <c r="R539" s="22"/>
      <c r="S539" s="22"/>
    </row>
    <row r="540" spans="1:19" x14ac:dyDescent="0.2">
      <c r="A540" s="22"/>
      <c r="B540" s="22"/>
      <c r="C540" s="22"/>
      <c r="D540" s="23"/>
      <c r="H540" s="22"/>
      <c r="L540" s="22"/>
      <c r="P540" s="22"/>
      <c r="Q540" s="22"/>
      <c r="R540" s="22"/>
      <c r="S540" s="22"/>
    </row>
    <row r="541" spans="1:19" x14ac:dyDescent="0.2">
      <c r="A541" s="22"/>
      <c r="B541" s="22"/>
      <c r="C541" s="22"/>
      <c r="D541" s="23"/>
      <c r="H541" s="22"/>
      <c r="L541" s="22"/>
      <c r="P541" s="22"/>
      <c r="Q541" s="22"/>
      <c r="R541" s="22"/>
      <c r="S541" s="22"/>
    </row>
    <row r="542" spans="1:19" x14ac:dyDescent="0.2">
      <c r="A542" s="22"/>
      <c r="B542" s="22"/>
      <c r="C542" s="22"/>
      <c r="D542" s="23"/>
      <c r="H542" s="22"/>
      <c r="L542" s="22"/>
      <c r="P542" s="22"/>
      <c r="Q542" s="22"/>
      <c r="R542" s="22"/>
      <c r="S542" s="22"/>
    </row>
    <row r="543" spans="1:19" x14ac:dyDescent="0.2">
      <c r="A543" s="22"/>
      <c r="B543" s="22"/>
      <c r="C543" s="22"/>
      <c r="D543" s="23"/>
      <c r="H543" s="22"/>
      <c r="L543" s="22"/>
      <c r="P543" s="22"/>
      <c r="Q543" s="22"/>
      <c r="R543" s="22"/>
      <c r="S543" s="22"/>
    </row>
    <row r="544" spans="1:19" x14ac:dyDescent="0.2">
      <c r="A544" s="22"/>
      <c r="B544" s="22"/>
      <c r="C544" s="22"/>
      <c r="D544" s="23"/>
      <c r="H544" s="22"/>
      <c r="L544" s="22"/>
      <c r="P544" s="22"/>
      <c r="Q544" s="22"/>
      <c r="R544" s="22"/>
      <c r="S544" s="22"/>
    </row>
    <row r="545" spans="1:19" x14ac:dyDescent="0.2">
      <c r="A545" s="22"/>
      <c r="B545" s="22"/>
      <c r="C545" s="22"/>
      <c r="D545" s="23"/>
      <c r="H545" s="22"/>
      <c r="L545" s="22"/>
      <c r="P545" s="22"/>
      <c r="Q545" s="22"/>
      <c r="R545" s="22"/>
      <c r="S545" s="22"/>
    </row>
    <row r="546" spans="1:19" x14ac:dyDescent="0.2">
      <c r="A546" s="22"/>
      <c r="B546" s="22"/>
      <c r="C546" s="22"/>
      <c r="D546" s="23"/>
      <c r="H546" s="22"/>
      <c r="L546" s="22"/>
      <c r="P546" s="22"/>
      <c r="Q546" s="22"/>
      <c r="R546" s="22"/>
      <c r="S546" s="22"/>
    </row>
    <row r="547" spans="1:19" x14ac:dyDescent="0.2">
      <c r="A547" s="22"/>
      <c r="B547" s="22"/>
      <c r="C547" s="22"/>
      <c r="D547" s="23"/>
      <c r="H547" s="22"/>
      <c r="L547" s="22"/>
      <c r="P547" s="22"/>
      <c r="Q547" s="22"/>
      <c r="R547" s="22"/>
      <c r="S547" s="22"/>
    </row>
    <row r="548" spans="1:19" x14ac:dyDescent="0.2">
      <c r="A548" s="22"/>
      <c r="B548" s="22"/>
      <c r="C548" s="22"/>
      <c r="D548" s="23"/>
      <c r="H548" s="22"/>
      <c r="L548" s="22"/>
      <c r="P548" s="22"/>
      <c r="Q548" s="22"/>
      <c r="R548" s="22"/>
      <c r="S548" s="22"/>
    </row>
    <row r="549" spans="1:19" x14ac:dyDescent="0.2">
      <c r="A549" s="22"/>
      <c r="B549" s="22"/>
      <c r="C549" s="22"/>
      <c r="D549" s="23"/>
      <c r="H549" s="22"/>
      <c r="L549" s="22"/>
      <c r="P549" s="22"/>
      <c r="Q549" s="22"/>
      <c r="R549" s="22"/>
      <c r="S549" s="22"/>
    </row>
    <row r="550" spans="1:19" x14ac:dyDescent="0.2">
      <c r="A550" s="22"/>
      <c r="B550" s="22"/>
      <c r="C550" s="22"/>
      <c r="D550" s="23"/>
      <c r="H550" s="22"/>
      <c r="L550" s="22"/>
      <c r="P550" s="22"/>
      <c r="Q550" s="22"/>
      <c r="R550" s="22"/>
      <c r="S550" s="22"/>
    </row>
    <row r="551" spans="1:19" x14ac:dyDescent="0.2">
      <c r="A551" s="22"/>
      <c r="B551" s="22"/>
      <c r="C551" s="22"/>
      <c r="D551" s="23"/>
      <c r="H551" s="22"/>
      <c r="L551" s="22"/>
      <c r="P551" s="22"/>
      <c r="Q551" s="22"/>
      <c r="R551" s="22"/>
      <c r="S551" s="22"/>
    </row>
    <row r="552" spans="1:19" x14ac:dyDescent="0.2">
      <c r="A552" s="22"/>
      <c r="B552" s="22"/>
      <c r="C552" s="22"/>
      <c r="D552" s="23"/>
      <c r="H552" s="22"/>
      <c r="L552" s="22"/>
      <c r="P552" s="22"/>
      <c r="Q552" s="22"/>
      <c r="R552" s="22"/>
      <c r="S552" s="22"/>
    </row>
    <row r="553" spans="1:19" x14ac:dyDescent="0.2">
      <c r="A553" s="22"/>
      <c r="B553" s="22"/>
      <c r="C553" s="22"/>
      <c r="D553" s="23"/>
      <c r="H553" s="22"/>
      <c r="L553" s="22"/>
      <c r="P553" s="22"/>
      <c r="Q553" s="22"/>
      <c r="R553" s="22"/>
      <c r="S553" s="22"/>
    </row>
    <row r="554" spans="1:19" x14ac:dyDescent="0.2">
      <c r="A554" s="22"/>
      <c r="B554" s="22"/>
      <c r="C554" s="22"/>
      <c r="D554" s="23"/>
      <c r="H554" s="22"/>
      <c r="L554" s="22"/>
      <c r="P554" s="22"/>
      <c r="Q554" s="22"/>
      <c r="R554" s="22"/>
      <c r="S554" s="22"/>
    </row>
    <row r="555" spans="1:19" x14ac:dyDescent="0.2">
      <c r="A555" s="22"/>
      <c r="B555" s="22"/>
      <c r="C555" s="22"/>
      <c r="D555" s="23"/>
      <c r="H555" s="22"/>
      <c r="L555" s="22"/>
      <c r="P555" s="22"/>
      <c r="Q555" s="22"/>
      <c r="R555" s="22"/>
      <c r="S555" s="22"/>
    </row>
    <row r="556" spans="1:19" x14ac:dyDescent="0.2">
      <c r="A556" s="22"/>
      <c r="B556" s="22"/>
      <c r="C556" s="22"/>
      <c r="D556" s="23"/>
      <c r="H556" s="22"/>
      <c r="L556" s="22"/>
      <c r="P556" s="22"/>
      <c r="Q556" s="22"/>
      <c r="R556" s="22"/>
      <c r="S556" s="22"/>
    </row>
    <row r="557" spans="1:19" x14ac:dyDescent="0.2">
      <c r="A557" s="22"/>
      <c r="B557" s="22"/>
      <c r="C557" s="22"/>
      <c r="D557" s="23"/>
      <c r="H557" s="22"/>
      <c r="L557" s="22"/>
      <c r="P557" s="22"/>
      <c r="Q557" s="22"/>
      <c r="R557" s="22"/>
      <c r="S557" s="22"/>
    </row>
    <row r="558" spans="1:19" x14ac:dyDescent="0.2">
      <c r="A558" s="22"/>
      <c r="B558" s="22"/>
      <c r="C558" s="22"/>
      <c r="D558" s="23"/>
      <c r="H558" s="22"/>
      <c r="L558" s="22"/>
      <c r="P558" s="22"/>
      <c r="Q558" s="22"/>
      <c r="R558" s="22"/>
      <c r="S558" s="22"/>
    </row>
    <row r="559" spans="1:19" x14ac:dyDescent="0.2">
      <c r="A559" s="22"/>
      <c r="B559" s="22"/>
      <c r="C559" s="22"/>
      <c r="D559" s="23"/>
      <c r="H559" s="22"/>
      <c r="L559" s="22"/>
      <c r="P559" s="22"/>
      <c r="Q559" s="22"/>
      <c r="R559" s="22"/>
      <c r="S559" s="22"/>
    </row>
    <row r="560" spans="1:19" x14ac:dyDescent="0.2">
      <c r="A560" s="22"/>
      <c r="B560" s="22"/>
      <c r="C560" s="22"/>
      <c r="D560" s="23"/>
      <c r="H560" s="22"/>
      <c r="L560" s="22"/>
      <c r="P560" s="22"/>
      <c r="Q560" s="22"/>
      <c r="R560" s="22"/>
      <c r="S560" s="22"/>
    </row>
    <row r="561" spans="1:19" x14ac:dyDescent="0.2">
      <c r="A561" s="22"/>
      <c r="B561" s="22"/>
      <c r="C561" s="22"/>
      <c r="D561" s="23"/>
      <c r="H561" s="22"/>
      <c r="L561" s="22"/>
      <c r="P561" s="22"/>
      <c r="Q561" s="22"/>
      <c r="R561" s="22"/>
      <c r="S561" s="22"/>
    </row>
    <row r="562" spans="1:19" x14ac:dyDescent="0.2">
      <c r="A562" s="22"/>
      <c r="B562" s="22"/>
      <c r="C562" s="22"/>
      <c r="D562" s="23"/>
      <c r="H562" s="22"/>
      <c r="L562" s="22"/>
      <c r="P562" s="22"/>
      <c r="Q562" s="22"/>
      <c r="R562" s="22"/>
      <c r="S562" s="22"/>
    </row>
    <row r="563" spans="1:19" x14ac:dyDescent="0.2">
      <c r="A563" s="22"/>
      <c r="B563" s="22"/>
      <c r="C563" s="22"/>
      <c r="D563" s="23"/>
      <c r="H563" s="22"/>
      <c r="L563" s="22"/>
      <c r="P563" s="22"/>
      <c r="Q563" s="22"/>
      <c r="R563" s="22"/>
      <c r="S563" s="22"/>
    </row>
    <row r="564" spans="1:19" x14ac:dyDescent="0.2">
      <c r="A564" s="22"/>
      <c r="B564" s="22"/>
      <c r="C564" s="22"/>
      <c r="D564" s="23"/>
      <c r="H564" s="22"/>
      <c r="L564" s="22"/>
      <c r="P564" s="22"/>
      <c r="Q564" s="22"/>
      <c r="R564" s="22"/>
      <c r="S564" s="22"/>
    </row>
    <row r="565" spans="1:19" x14ac:dyDescent="0.2">
      <c r="A565" s="22"/>
      <c r="B565" s="22"/>
      <c r="C565" s="22"/>
      <c r="D565" s="23"/>
      <c r="H565" s="22"/>
      <c r="L565" s="22"/>
      <c r="P565" s="22"/>
      <c r="Q565" s="22"/>
      <c r="R565" s="22"/>
      <c r="S565" s="22"/>
    </row>
    <row r="566" spans="1:19" x14ac:dyDescent="0.2">
      <c r="A566" s="22"/>
      <c r="B566" s="22"/>
      <c r="C566" s="22"/>
      <c r="D566" s="23"/>
      <c r="H566" s="22"/>
      <c r="L566" s="22"/>
      <c r="P566" s="22"/>
      <c r="Q566" s="22"/>
      <c r="R566" s="22"/>
      <c r="S566" s="22"/>
    </row>
    <row r="567" spans="1:19" x14ac:dyDescent="0.2">
      <c r="A567" s="22"/>
      <c r="B567" s="22"/>
      <c r="C567" s="22"/>
      <c r="D567" s="23"/>
      <c r="H567" s="22"/>
      <c r="L567" s="22"/>
      <c r="P567" s="22"/>
      <c r="Q567" s="22"/>
      <c r="R567" s="22"/>
      <c r="S567" s="22"/>
    </row>
    <row r="568" spans="1:19" x14ac:dyDescent="0.2">
      <c r="A568" s="22"/>
      <c r="B568" s="22"/>
      <c r="C568" s="22"/>
      <c r="D568" s="23"/>
      <c r="H568" s="22"/>
      <c r="L568" s="22"/>
      <c r="P568" s="22"/>
      <c r="Q568" s="22"/>
      <c r="R568" s="22"/>
      <c r="S568" s="22"/>
    </row>
    <row r="569" spans="1:19" x14ac:dyDescent="0.2">
      <c r="A569" s="22"/>
      <c r="B569" s="22"/>
      <c r="C569" s="22"/>
      <c r="D569" s="23"/>
      <c r="H569" s="22"/>
      <c r="L569" s="22"/>
      <c r="P569" s="22"/>
      <c r="Q569" s="22"/>
      <c r="R569" s="22"/>
      <c r="S569" s="22"/>
    </row>
    <row r="570" spans="1:19" x14ac:dyDescent="0.2">
      <c r="A570" s="22"/>
      <c r="B570" s="22"/>
      <c r="C570" s="22"/>
      <c r="D570" s="23"/>
      <c r="H570" s="22"/>
      <c r="L570" s="22"/>
      <c r="P570" s="22"/>
      <c r="Q570" s="22"/>
      <c r="R570" s="22"/>
      <c r="S570" s="22"/>
    </row>
    <row r="571" spans="1:19" x14ac:dyDescent="0.2">
      <c r="A571" s="22"/>
      <c r="B571" s="22"/>
      <c r="C571" s="22"/>
      <c r="D571" s="23"/>
      <c r="H571" s="22"/>
      <c r="L571" s="22"/>
      <c r="P571" s="22"/>
      <c r="Q571" s="22"/>
      <c r="R571" s="22"/>
      <c r="S571" s="22"/>
    </row>
    <row r="572" spans="1:19" x14ac:dyDescent="0.2">
      <c r="A572" s="22"/>
      <c r="B572" s="22"/>
      <c r="C572" s="22"/>
      <c r="D572" s="23"/>
      <c r="H572" s="22"/>
      <c r="L572" s="22"/>
      <c r="P572" s="22"/>
      <c r="Q572" s="22"/>
      <c r="R572" s="22"/>
      <c r="S572" s="22"/>
    </row>
    <row r="573" spans="1:19" x14ac:dyDescent="0.2">
      <c r="A573" s="22"/>
      <c r="B573" s="22"/>
      <c r="C573" s="22"/>
      <c r="D573" s="23"/>
      <c r="H573" s="22"/>
      <c r="L573" s="22"/>
      <c r="P573" s="22"/>
      <c r="Q573" s="22"/>
      <c r="R573" s="22"/>
      <c r="S573" s="22"/>
    </row>
    <row r="574" spans="1:19" x14ac:dyDescent="0.2">
      <c r="A574" s="22"/>
      <c r="B574" s="22"/>
      <c r="C574" s="22"/>
      <c r="D574" s="23"/>
      <c r="H574" s="22"/>
      <c r="L574" s="22"/>
      <c r="P574" s="22"/>
      <c r="Q574" s="22"/>
      <c r="R574" s="22"/>
      <c r="S574" s="22"/>
    </row>
    <row r="575" spans="1:19" x14ac:dyDescent="0.2">
      <c r="A575" s="22"/>
      <c r="B575" s="22"/>
      <c r="C575" s="22"/>
      <c r="D575" s="23"/>
      <c r="H575" s="22"/>
      <c r="L575" s="22"/>
      <c r="P575" s="22"/>
      <c r="Q575" s="22"/>
      <c r="R575" s="22"/>
      <c r="S575" s="22"/>
    </row>
    <row r="576" spans="1:19" x14ac:dyDescent="0.2">
      <c r="A576" s="22"/>
      <c r="B576" s="22"/>
      <c r="C576" s="22"/>
      <c r="D576" s="23"/>
      <c r="H576" s="22"/>
      <c r="L576" s="22"/>
      <c r="P576" s="22"/>
      <c r="Q576" s="22"/>
      <c r="R576" s="22"/>
      <c r="S576" s="22"/>
    </row>
    <row r="577" spans="1:19" x14ac:dyDescent="0.2">
      <c r="A577" s="22"/>
      <c r="B577" s="22"/>
      <c r="C577" s="22"/>
      <c r="D577" s="23"/>
      <c r="H577" s="22"/>
      <c r="L577" s="22"/>
      <c r="P577" s="22"/>
      <c r="Q577" s="22"/>
      <c r="R577" s="22"/>
      <c r="S577" s="22"/>
    </row>
    <row r="578" spans="1:19" x14ac:dyDescent="0.2">
      <c r="A578" s="22"/>
      <c r="B578" s="22"/>
      <c r="C578" s="22"/>
      <c r="D578" s="23"/>
      <c r="H578" s="22"/>
      <c r="L578" s="22"/>
      <c r="P578" s="22"/>
      <c r="Q578" s="22"/>
      <c r="R578" s="22"/>
      <c r="S578" s="22"/>
    </row>
    <row r="579" spans="1:19" x14ac:dyDescent="0.2">
      <c r="A579" s="22"/>
      <c r="B579" s="22"/>
      <c r="C579" s="22"/>
      <c r="D579" s="23"/>
      <c r="H579" s="22"/>
      <c r="L579" s="22"/>
      <c r="P579" s="22"/>
      <c r="Q579" s="22"/>
      <c r="R579" s="22"/>
      <c r="S579" s="22"/>
    </row>
    <row r="580" spans="1:19" x14ac:dyDescent="0.2">
      <c r="A580" s="22"/>
      <c r="B580" s="22"/>
      <c r="C580" s="22"/>
      <c r="D580" s="23"/>
      <c r="H580" s="22"/>
      <c r="L580" s="22"/>
      <c r="P580" s="22"/>
      <c r="Q580" s="22"/>
      <c r="R580" s="22"/>
      <c r="S580" s="22"/>
    </row>
    <row r="581" spans="1:19" x14ac:dyDescent="0.2">
      <c r="A581" s="22"/>
      <c r="B581" s="22"/>
      <c r="C581" s="22"/>
      <c r="D581" s="23"/>
      <c r="H581" s="22"/>
      <c r="L581" s="22"/>
      <c r="P581" s="22"/>
      <c r="Q581" s="22"/>
      <c r="R581" s="22"/>
      <c r="S581" s="22"/>
    </row>
    <row r="582" spans="1:19" x14ac:dyDescent="0.2">
      <c r="A582" s="22"/>
      <c r="B582" s="22"/>
      <c r="C582" s="22"/>
      <c r="D582" s="23"/>
      <c r="H582" s="22"/>
      <c r="L582" s="22"/>
      <c r="P582" s="22"/>
      <c r="Q582" s="22"/>
      <c r="R582" s="22"/>
      <c r="S582" s="22"/>
    </row>
    <row r="583" spans="1:19" x14ac:dyDescent="0.2">
      <c r="A583" s="22"/>
      <c r="B583" s="22"/>
      <c r="C583" s="22"/>
      <c r="D583" s="23"/>
      <c r="H583" s="22"/>
      <c r="L583" s="22"/>
      <c r="P583" s="22"/>
      <c r="Q583" s="22"/>
      <c r="R583" s="22"/>
      <c r="S583" s="22"/>
    </row>
    <row r="584" spans="1:19" x14ac:dyDescent="0.2">
      <c r="A584" s="22"/>
      <c r="B584" s="22"/>
      <c r="C584" s="22"/>
      <c r="D584" s="23"/>
      <c r="H584" s="22"/>
      <c r="L584" s="22"/>
      <c r="P584" s="22"/>
      <c r="Q584" s="22"/>
      <c r="R584" s="22"/>
      <c r="S584" s="22"/>
    </row>
    <row r="585" spans="1:19" x14ac:dyDescent="0.2">
      <c r="A585" s="22"/>
      <c r="B585" s="22"/>
      <c r="C585" s="22"/>
      <c r="D585" s="23"/>
      <c r="H585" s="22"/>
      <c r="L585" s="22"/>
      <c r="P585" s="22"/>
      <c r="Q585" s="22"/>
      <c r="R585" s="22"/>
      <c r="S585" s="22"/>
    </row>
    <row r="586" spans="1:19" x14ac:dyDescent="0.2">
      <c r="A586" s="22"/>
      <c r="B586" s="22"/>
      <c r="C586" s="22"/>
      <c r="D586" s="23"/>
      <c r="H586" s="22"/>
      <c r="L586" s="22"/>
      <c r="P586" s="22"/>
      <c r="Q586" s="22"/>
      <c r="R586" s="22"/>
      <c r="S586" s="22"/>
    </row>
    <row r="587" spans="1:19" x14ac:dyDescent="0.2">
      <c r="A587" s="22"/>
      <c r="B587" s="22"/>
      <c r="C587" s="22"/>
      <c r="D587" s="23"/>
      <c r="H587" s="22"/>
      <c r="L587" s="22"/>
      <c r="P587" s="22"/>
      <c r="Q587" s="22"/>
      <c r="R587" s="22"/>
      <c r="S587" s="22"/>
    </row>
    <row r="588" spans="1:19" x14ac:dyDescent="0.2">
      <c r="A588" s="22"/>
      <c r="B588" s="22"/>
      <c r="C588" s="22"/>
      <c r="D588" s="23"/>
      <c r="H588" s="22"/>
      <c r="L588" s="22"/>
      <c r="P588" s="22"/>
      <c r="Q588" s="22"/>
      <c r="R588" s="22"/>
      <c r="S588" s="22"/>
    </row>
    <row r="589" spans="1:19" x14ac:dyDescent="0.2">
      <c r="A589" s="22"/>
      <c r="B589" s="22"/>
      <c r="C589" s="22"/>
      <c r="D589" s="23"/>
      <c r="H589" s="22"/>
      <c r="L589" s="22"/>
      <c r="P589" s="22"/>
      <c r="Q589" s="22"/>
      <c r="R589" s="22"/>
      <c r="S589" s="22"/>
    </row>
    <row r="590" spans="1:19" x14ac:dyDescent="0.2">
      <c r="A590" s="22"/>
      <c r="B590" s="22"/>
      <c r="C590" s="22"/>
      <c r="D590" s="23"/>
      <c r="H590" s="22"/>
      <c r="L590" s="22"/>
      <c r="P590" s="22"/>
      <c r="Q590" s="22"/>
      <c r="R590" s="22"/>
      <c r="S590" s="22"/>
    </row>
    <row r="591" spans="1:19" x14ac:dyDescent="0.2">
      <c r="A591" s="22"/>
      <c r="B591" s="22"/>
      <c r="C591" s="22"/>
      <c r="D591" s="23"/>
      <c r="H591" s="22"/>
      <c r="L591" s="22"/>
      <c r="P591" s="22"/>
      <c r="Q591" s="22"/>
      <c r="R591" s="22"/>
      <c r="S591" s="22"/>
    </row>
    <row r="592" spans="1:19" x14ac:dyDescent="0.2">
      <c r="A592" s="22"/>
      <c r="B592" s="22"/>
      <c r="C592" s="22"/>
      <c r="D592" s="23"/>
      <c r="H592" s="22"/>
      <c r="L592" s="22"/>
      <c r="P592" s="22"/>
      <c r="Q592" s="22"/>
      <c r="R592" s="22"/>
      <c r="S592" s="22"/>
    </row>
    <row r="593" spans="1:19" x14ac:dyDescent="0.2">
      <c r="A593" s="22"/>
      <c r="B593" s="22"/>
      <c r="C593" s="22"/>
      <c r="D593" s="23"/>
      <c r="H593" s="22"/>
      <c r="L593" s="22"/>
      <c r="P593" s="22"/>
      <c r="Q593" s="22"/>
      <c r="R593" s="22"/>
      <c r="S593" s="22"/>
    </row>
    <row r="594" spans="1:19" x14ac:dyDescent="0.2">
      <c r="A594" s="22"/>
      <c r="B594" s="22"/>
      <c r="C594" s="22"/>
      <c r="D594" s="23"/>
      <c r="H594" s="22"/>
      <c r="L594" s="22"/>
      <c r="P594" s="22"/>
      <c r="Q594" s="22"/>
      <c r="R594" s="22"/>
      <c r="S594" s="22"/>
    </row>
    <row r="595" spans="1:19" x14ac:dyDescent="0.2">
      <c r="A595" s="22"/>
      <c r="B595" s="22"/>
      <c r="C595" s="22"/>
      <c r="D595" s="23"/>
      <c r="H595" s="22"/>
      <c r="L595" s="22"/>
      <c r="P595" s="22"/>
      <c r="Q595" s="22"/>
      <c r="R595" s="22"/>
      <c r="S595" s="22"/>
    </row>
    <row r="596" spans="1:19" x14ac:dyDescent="0.2">
      <c r="A596" s="22"/>
      <c r="B596" s="22"/>
      <c r="C596" s="22"/>
      <c r="D596" s="23"/>
      <c r="H596" s="22"/>
      <c r="L596" s="22"/>
      <c r="P596" s="22"/>
      <c r="Q596" s="22"/>
      <c r="R596" s="22"/>
      <c r="S596" s="22"/>
    </row>
    <row r="597" spans="1:19" x14ac:dyDescent="0.2">
      <c r="A597" s="22"/>
      <c r="B597" s="22"/>
      <c r="C597" s="22"/>
      <c r="D597" s="23"/>
      <c r="H597" s="22"/>
      <c r="L597" s="22"/>
      <c r="P597" s="22"/>
      <c r="Q597" s="22"/>
      <c r="R597" s="22"/>
      <c r="S597" s="22"/>
    </row>
    <row r="598" spans="1:19" x14ac:dyDescent="0.2">
      <c r="A598" s="22"/>
      <c r="B598" s="22"/>
      <c r="C598" s="22"/>
      <c r="D598" s="23"/>
      <c r="H598" s="22"/>
      <c r="L598" s="22"/>
      <c r="P598" s="22"/>
      <c r="Q598" s="22"/>
      <c r="R598" s="22"/>
      <c r="S598" s="22"/>
    </row>
    <row r="599" spans="1:19" x14ac:dyDescent="0.2">
      <c r="A599" s="22"/>
      <c r="B599" s="22"/>
      <c r="C599" s="22"/>
      <c r="D599" s="23"/>
      <c r="H599" s="22"/>
      <c r="L599" s="22"/>
      <c r="P599" s="22"/>
      <c r="Q599" s="22"/>
      <c r="R599" s="22"/>
      <c r="S599" s="22"/>
    </row>
    <row r="600" spans="1:19" x14ac:dyDescent="0.2">
      <c r="A600" s="22"/>
      <c r="B600" s="22"/>
      <c r="C600" s="22"/>
      <c r="D600" s="23"/>
      <c r="H600" s="22"/>
      <c r="L600" s="22"/>
      <c r="P600" s="22"/>
      <c r="Q600" s="22"/>
      <c r="R600" s="22"/>
      <c r="S600" s="22"/>
    </row>
    <row r="601" spans="1:19" x14ac:dyDescent="0.2">
      <c r="A601" s="22"/>
      <c r="B601" s="22"/>
      <c r="C601" s="22"/>
      <c r="D601" s="23"/>
      <c r="H601" s="22"/>
      <c r="L601" s="22"/>
      <c r="P601" s="22"/>
      <c r="Q601" s="22"/>
      <c r="R601" s="22"/>
      <c r="S601" s="22"/>
    </row>
    <row r="602" spans="1:19" x14ac:dyDescent="0.2">
      <c r="A602" s="22"/>
      <c r="B602" s="22"/>
      <c r="C602" s="22"/>
      <c r="D602" s="23"/>
      <c r="H602" s="22"/>
      <c r="L602" s="22"/>
      <c r="P602" s="22"/>
      <c r="Q602" s="22"/>
      <c r="R602" s="22"/>
      <c r="S602" s="22"/>
    </row>
    <row r="603" spans="1:19" x14ac:dyDescent="0.2">
      <c r="A603" s="22"/>
      <c r="B603" s="22"/>
      <c r="C603" s="22"/>
      <c r="D603" s="23"/>
      <c r="H603" s="22"/>
      <c r="L603" s="22"/>
      <c r="P603" s="22"/>
      <c r="Q603" s="22"/>
      <c r="R603" s="22"/>
      <c r="S603" s="22"/>
    </row>
    <row r="604" spans="1:19" x14ac:dyDescent="0.2">
      <c r="A604" s="22"/>
      <c r="B604" s="22"/>
      <c r="C604" s="22"/>
      <c r="D604" s="23"/>
      <c r="H604" s="22"/>
      <c r="L604" s="22"/>
      <c r="P604" s="22"/>
      <c r="Q604" s="22"/>
      <c r="R604" s="22"/>
      <c r="S604" s="22"/>
    </row>
    <row r="605" spans="1:19" x14ac:dyDescent="0.2">
      <c r="A605" s="22"/>
      <c r="B605" s="22"/>
      <c r="C605" s="22"/>
      <c r="D605" s="23"/>
      <c r="H605" s="22"/>
      <c r="L605" s="22"/>
      <c r="P605" s="22"/>
      <c r="Q605" s="22"/>
      <c r="R605" s="22"/>
      <c r="S605" s="22"/>
    </row>
    <row r="606" spans="1:19" x14ac:dyDescent="0.2">
      <c r="A606" s="22"/>
      <c r="B606" s="22"/>
      <c r="C606" s="22"/>
      <c r="D606" s="23"/>
      <c r="H606" s="22"/>
      <c r="L606" s="22"/>
      <c r="P606" s="22"/>
      <c r="Q606" s="22"/>
      <c r="R606" s="22"/>
      <c r="S606" s="22"/>
    </row>
    <row r="607" spans="1:19" x14ac:dyDescent="0.2">
      <c r="A607" s="22"/>
      <c r="B607" s="22"/>
      <c r="C607" s="22"/>
      <c r="D607" s="23"/>
      <c r="H607" s="22"/>
      <c r="L607" s="22"/>
      <c r="P607" s="22"/>
      <c r="Q607" s="22"/>
      <c r="R607" s="22"/>
      <c r="S607" s="22"/>
    </row>
    <row r="608" spans="1:19" x14ac:dyDescent="0.2">
      <c r="A608" s="22"/>
      <c r="B608" s="22"/>
      <c r="C608" s="22"/>
      <c r="D608" s="23"/>
      <c r="H608" s="22"/>
      <c r="L608" s="22"/>
      <c r="P608" s="22"/>
      <c r="Q608" s="22"/>
      <c r="R608" s="22"/>
      <c r="S608" s="22"/>
    </row>
    <row r="609" spans="1:19" x14ac:dyDescent="0.2">
      <c r="A609" s="22"/>
      <c r="B609" s="22"/>
      <c r="C609" s="22"/>
      <c r="D609" s="23"/>
      <c r="H609" s="22"/>
      <c r="L609" s="22"/>
      <c r="P609" s="22"/>
      <c r="Q609" s="22"/>
      <c r="R609" s="22"/>
      <c r="S609" s="22"/>
    </row>
    <row r="610" spans="1:19" x14ac:dyDescent="0.2">
      <c r="A610" s="22"/>
      <c r="B610" s="22"/>
      <c r="C610" s="22"/>
      <c r="D610" s="23"/>
      <c r="H610" s="22"/>
      <c r="L610" s="22"/>
      <c r="P610" s="22"/>
      <c r="Q610" s="22"/>
      <c r="R610" s="22"/>
      <c r="S610" s="22"/>
    </row>
    <row r="611" spans="1:19" x14ac:dyDescent="0.2">
      <c r="A611" s="22"/>
      <c r="B611" s="22"/>
      <c r="C611" s="22"/>
      <c r="D611" s="23"/>
      <c r="H611" s="22"/>
      <c r="L611" s="22"/>
      <c r="P611" s="22"/>
      <c r="Q611" s="22"/>
      <c r="R611" s="22"/>
      <c r="S611" s="22"/>
    </row>
    <row r="612" spans="1:19" x14ac:dyDescent="0.2">
      <c r="A612" s="22"/>
      <c r="B612" s="22"/>
      <c r="C612" s="22"/>
      <c r="D612" s="23"/>
      <c r="H612" s="22"/>
      <c r="L612" s="22"/>
      <c r="P612" s="22"/>
      <c r="Q612" s="22"/>
      <c r="R612" s="22"/>
      <c r="S612" s="22"/>
    </row>
    <row r="613" spans="1:19" x14ac:dyDescent="0.2">
      <c r="A613" s="22"/>
      <c r="B613" s="22"/>
      <c r="C613" s="22"/>
      <c r="D613" s="23"/>
      <c r="H613" s="22"/>
      <c r="L613" s="22"/>
      <c r="P613" s="22"/>
      <c r="Q613" s="22"/>
      <c r="R613" s="22"/>
      <c r="S613" s="22"/>
    </row>
    <row r="614" spans="1:19" x14ac:dyDescent="0.2">
      <c r="A614" s="22"/>
      <c r="B614" s="22"/>
      <c r="C614" s="22"/>
      <c r="D614" s="23"/>
      <c r="H614" s="22"/>
      <c r="L614" s="22"/>
      <c r="P614" s="22"/>
      <c r="Q614" s="22"/>
      <c r="R614" s="22"/>
      <c r="S614" s="22"/>
    </row>
    <row r="615" spans="1:19" x14ac:dyDescent="0.2">
      <c r="A615" s="22"/>
      <c r="B615" s="22"/>
      <c r="C615" s="22"/>
      <c r="D615" s="23"/>
      <c r="H615" s="22"/>
      <c r="L615" s="22"/>
      <c r="P615" s="22"/>
      <c r="Q615" s="22"/>
      <c r="R615" s="22"/>
      <c r="S615" s="22"/>
    </row>
    <row r="616" spans="1:19" x14ac:dyDescent="0.2">
      <c r="A616" s="22"/>
      <c r="B616" s="22"/>
      <c r="C616" s="22"/>
      <c r="D616" s="23"/>
      <c r="H616" s="22"/>
      <c r="L616" s="22"/>
      <c r="P616" s="22"/>
      <c r="Q616" s="22"/>
      <c r="R616" s="22"/>
      <c r="S616" s="22"/>
    </row>
    <row r="617" spans="1:19" x14ac:dyDescent="0.2">
      <c r="A617" s="22"/>
      <c r="B617" s="22"/>
      <c r="C617" s="22"/>
      <c r="D617" s="23"/>
      <c r="H617" s="22"/>
      <c r="L617" s="22"/>
      <c r="P617" s="22"/>
      <c r="Q617" s="22"/>
      <c r="R617" s="22"/>
      <c r="S617" s="22"/>
    </row>
    <row r="618" spans="1:19" x14ac:dyDescent="0.2">
      <c r="A618" s="22"/>
      <c r="B618" s="22"/>
      <c r="C618" s="22"/>
      <c r="D618" s="23"/>
      <c r="H618" s="22"/>
      <c r="L618" s="22"/>
      <c r="P618" s="22"/>
      <c r="Q618" s="22"/>
      <c r="R618" s="22"/>
      <c r="S618" s="22"/>
    </row>
    <row r="619" spans="1:19" x14ac:dyDescent="0.2">
      <c r="A619" s="22"/>
      <c r="B619" s="22"/>
      <c r="C619" s="22"/>
      <c r="D619" s="23"/>
      <c r="H619" s="22"/>
      <c r="L619" s="22"/>
      <c r="P619" s="22"/>
      <c r="Q619" s="22"/>
      <c r="R619" s="22"/>
      <c r="S619" s="22"/>
    </row>
    <row r="620" spans="1:19" x14ac:dyDescent="0.2">
      <c r="A620" s="22"/>
      <c r="B620" s="22"/>
      <c r="C620" s="22"/>
      <c r="D620" s="23"/>
      <c r="H620" s="22"/>
      <c r="L620" s="22"/>
      <c r="P620" s="22"/>
      <c r="Q620" s="22"/>
      <c r="R620" s="22"/>
      <c r="S620" s="22"/>
    </row>
    <row r="621" spans="1:19" x14ac:dyDescent="0.2">
      <c r="A621" s="22"/>
      <c r="B621" s="22"/>
      <c r="C621" s="22"/>
      <c r="D621" s="23"/>
      <c r="H621" s="22"/>
      <c r="L621" s="22"/>
      <c r="P621" s="22"/>
      <c r="Q621" s="22"/>
      <c r="R621" s="22"/>
      <c r="S621" s="22"/>
    </row>
    <row r="622" spans="1:19" x14ac:dyDescent="0.2">
      <c r="A622" s="22"/>
      <c r="B622" s="22"/>
      <c r="C622" s="22"/>
      <c r="D622" s="23"/>
      <c r="H622" s="22"/>
      <c r="L622" s="22"/>
      <c r="P622" s="22"/>
      <c r="Q622" s="22"/>
      <c r="R622" s="22"/>
      <c r="S622" s="22"/>
    </row>
    <row r="623" spans="1:19" x14ac:dyDescent="0.2">
      <c r="A623" s="22"/>
      <c r="B623" s="22"/>
      <c r="C623" s="22"/>
      <c r="D623" s="23"/>
      <c r="H623" s="22"/>
      <c r="L623" s="22"/>
      <c r="P623" s="22"/>
      <c r="Q623" s="22"/>
      <c r="R623" s="22"/>
      <c r="S623" s="22"/>
    </row>
    <row r="624" spans="1:19" x14ac:dyDescent="0.2">
      <c r="A624" s="22"/>
      <c r="B624" s="22"/>
      <c r="C624" s="22"/>
      <c r="D624" s="23"/>
      <c r="H624" s="22"/>
      <c r="L624" s="22"/>
      <c r="P624" s="22"/>
      <c r="Q624" s="22"/>
      <c r="R624" s="22"/>
      <c r="S624" s="22"/>
    </row>
    <row r="625" spans="1:19" x14ac:dyDescent="0.2">
      <c r="A625" s="22"/>
      <c r="B625" s="22"/>
      <c r="C625" s="22"/>
      <c r="D625" s="23"/>
      <c r="H625" s="22"/>
      <c r="L625" s="22"/>
      <c r="P625" s="22"/>
      <c r="Q625" s="22"/>
      <c r="R625" s="22"/>
      <c r="S625" s="22"/>
    </row>
    <row r="626" spans="1:19" x14ac:dyDescent="0.2">
      <c r="A626" s="22"/>
      <c r="B626" s="22"/>
      <c r="C626" s="22"/>
      <c r="D626" s="23"/>
      <c r="H626" s="22"/>
      <c r="L626" s="22"/>
      <c r="P626" s="22"/>
      <c r="Q626" s="22"/>
      <c r="R626" s="22"/>
      <c r="S626" s="22"/>
    </row>
    <row r="627" spans="1:19" x14ac:dyDescent="0.2">
      <c r="A627" s="22"/>
      <c r="B627" s="22"/>
      <c r="C627" s="22"/>
      <c r="D627" s="23"/>
      <c r="H627" s="22"/>
      <c r="L627" s="22"/>
      <c r="P627" s="22"/>
      <c r="Q627" s="22"/>
      <c r="R627" s="22"/>
      <c r="S627" s="22"/>
    </row>
    <row r="628" spans="1:19" x14ac:dyDescent="0.2">
      <c r="A628" s="22"/>
      <c r="B628" s="22"/>
      <c r="C628" s="22"/>
      <c r="D628" s="23"/>
      <c r="H628" s="22"/>
      <c r="L628" s="22"/>
      <c r="P628" s="22"/>
      <c r="Q628" s="22"/>
      <c r="R628" s="22"/>
      <c r="S628" s="22"/>
    </row>
    <row r="629" spans="1:19" x14ac:dyDescent="0.2">
      <c r="A629" s="22"/>
      <c r="B629" s="22"/>
      <c r="C629" s="22"/>
      <c r="D629" s="23"/>
      <c r="H629" s="22"/>
      <c r="L629" s="22"/>
      <c r="P629" s="22"/>
      <c r="Q629" s="22"/>
      <c r="R629" s="22"/>
      <c r="S629" s="22"/>
    </row>
    <row r="630" spans="1:19" x14ac:dyDescent="0.2">
      <c r="A630" s="22"/>
      <c r="B630" s="22"/>
      <c r="C630" s="22"/>
      <c r="D630" s="23"/>
      <c r="H630" s="22"/>
      <c r="L630" s="22"/>
      <c r="P630" s="22"/>
      <c r="Q630" s="22"/>
      <c r="R630" s="22"/>
      <c r="S630" s="22"/>
    </row>
    <row r="631" spans="1:19" x14ac:dyDescent="0.2">
      <c r="A631" s="22"/>
      <c r="B631" s="22"/>
      <c r="C631" s="22"/>
      <c r="D631" s="23"/>
      <c r="H631" s="22"/>
      <c r="L631" s="22"/>
      <c r="P631" s="22"/>
      <c r="Q631" s="22"/>
      <c r="R631" s="22"/>
      <c r="S631" s="22"/>
    </row>
    <row r="632" spans="1:19" x14ac:dyDescent="0.2">
      <c r="A632" s="22"/>
      <c r="B632" s="22"/>
      <c r="C632" s="22"/>
      <c r="D632" s="23"/>
      <c r="H632" s="22"/>
      <c r="L632" s="22"/>
      <c r="P632" s="22"/>
      <c r="Q632" s="22"/>
      <c r="R632" s="22"/>
      <c r="S632" s="22"/>
    </row>
    <row r="633" spans="1:19" x14ac:dyDescent="0.2">
      <c r="A633" s="22"/>
      <c r="B633" s="22"/>
      <c r="C633" s="22"/>
      <c r="D633" s="23"/>
      <c r="H633" s="22"/>
      <c r="L633" s="22"/>
      <c r="P633" s="22"/>
      <c r="Q633" s="22"/>
      <c r="R633" s="22"/>
      <c r="S633" s="22"/>
    </row>
    <row r="634" spans="1:19" x14ac:dyDescent="0.2">
      <c r="A634" s="22"/>
      <c r="B634" s="22"/>
      <c r="C634" s="22"/>
      <c r="D634" s="23"/>
      <c r="H634" s="22"/>
      <c r="L634" s="22"/>
      <c r="P634" s="22"/>
      <c r="Q634" s="22"/>
      <c r="R634" s="22"/>
      <c r="S634" s="22"/>
    </row>
    <row r="635" spans="1:19" x14ac:dyDescent="0.2">
      <c r="A635" s="22"/>
      <c r="B635" s="22"/>
      <c r="C635" s="22"/>
      <c r="D635" s="23"/>
      <c r="H635" s="22"/>
      <c r="L635" s="22"/>
      <c r="P635" s="22"/>
      <c r="Q635" s="22"/>
      <c r="R635" s="22"/>
      <c r="S635" s="22"/>
    </row>
    <row r="636" spans="1:19" x14ac:dyDescent="0.2">
      <c r="A636" s="22"/>
      <c r="B636" s="22"/>
      <c r="C636" s="22"/>
      <c r="D636" s="23"/>
      <c r="H636" s="22"/>
      <c r="L636" s="22"/>
      <c r="P636" s="22"/>
      <c r="Q636" s="22"/>
      <c r="R636" s="22"/>
      <c r="S636" s="22"/>
    </row>
    <row r="637" spans="1:19" x14ac:dyDescent="0.2">
      <c r="A637" s="22"/>
      <c r="B637" s="22"/>
      <c r="C637" s="22"/>
      <c r="D637" s="23"/>
      <c r="H637" s="22"/>
      <c r="L637" s="22"/>
      <c r="P637" s="22"/>
      <c r="Q637" s="22"/>
      <c r="R637" s="22"/>
      <c r="S637" s="22"/>
    </row>
    <row r="638" spans="1:19" x14ac:dyDescent="0.2">
      <c r="A638" s="22"/>
      <c r="B638" s="22"/>
      <c r="C638" s="22"/>
      <c r="D638" s="23"/>
      <c r="H638" s="22"/>
      <c r="L638" s="22"/>
      <c r="P638" s="22"/>
      <c r="Q638" s="22"/>
      <c r="R638" s="22"/>
      <c r="S638" s="22"/>
    </row>
    <row r="639" spans="1:19" x14ac:dyDescent="0.2">
      <c r="A639" s="22"/>
      <c r="B639" s="22"/>
      <c r="C639" s="22"/>
      <c r="D639" s="23"/>
      <c r="H639" s="22"/>
      <c r="L639" s="22"/>
      <c r="P639" s="22"/>
      <c r="Q639" s="22"/>
      <c r="R639" s="22"/>
      <c r="S639" s="22"/>
    </row>
    <row r="640" spans="1:19" x14ac:dyDescent="0.2">
      <c r="A640" s="22"/>
      <c r="B640" s="22"/>
      <c r="C640" s="22"/>
      <c r="D640" s="23"/>
      <c r="H640" s="22"/>
      <c r="L640" s="22"/>
      <c r="P640" s="22"/>
      <c r="Q640" s="22"/>
      <c r="R640" s="22"/>
      <c r="S640" s="22"/>
    </row>
    <row r="641" spans="1:19" x14ac:dyDescent="0.2">
      <c r="A641" s="22"/>
      <c r="B641" s="22"/>
      <c r="C641" s="22"/>
      <c r="D641" s="23"/>
      <c r="H641" s="22"/>
      <c r="L641" s="22"/>
      <c r="P641" s="22"/>
      <c r="Q641" s="22"/>
      <c r="R641" s="22"/>
      <c r="S641" s="22"/>
    </row>
    <row r="642" spans="1:19" x14ac:dyDescent="0.2">
      <c r="A642" s="22"/>
      <c r="B642" s="22"/>
      <c r="C642" s="22"/>
      <c r="D642" s="23"/>
      <c r="H642" s="22"/>
      <c r="L642" s="22"/>
      <c r="P642" s="22"/>
      <c r="Q642" s="22"/>
      <c r="R642" s="22"/>
      <c r="S642" s="22"/>
    </row>
    <row r="643" spans="1:19" x14ac:dyDescent="0.2">
      <c r="A643" s="22"/>
      <c r="B643" s="22"/>
      <c r="C643" s="22"/>
      <c r="D643" s="23"/>
      <c r="H643" s="22"/>
      <c r="L643" s="22"/>
      <c r="P643" s="22"/>
      <c r="Q643" s="22"/>
      <c r="R643" s="22"/>
      <c r="S643" s="22"/>
    </row>
    <row r="644" spans="1:19" x14ac:dyDescent="0.2">
      <c r="A644" s="22"/>
      <c r="B644" s="22"/>
      <c r="C644" s="22"/>
      <c r="D644" s="23"/>
      <c r="H644" s="22"/>
      <c r="L644" s="22"/>
      <c r="P644" s="22"/>
      <c r="Q644" s="22"/>
      <c r="R644" s="22"/>
      <c r="S644" s="22"/>
    </row>
    <row r="645" spans="1:19" x14ac:dyDescent="0.2">
      <c r="A645" s="22"/>
      <c r="B645" s="22"/>
      <c r="C645" s="22"/>
      <c r="D645" s="23"/>
      <c r="H645" s="22"/>
      <c r="L645" s="22"/>
      <c r="P645" s="22"/>
      <c r="Q645" s="22"/>
      <c r="R645" s="22"/>
      <c r="S645" s="22"/>
    </row>
    <row r="646" spans="1:19" x14ac:dyDescent="0.2">
      <c r="A646" s="22"/>
      <c r="B646" s="22"/>
      <c r="C646" s="22"/>
      <c r="D646" s="23"/>
      <c r="H646" s="22"/>
      <c r="L646" s="22"/>
      <c r="P646" s="22"/>
      <c r="Q646" s="22"/>
      <c r="R646" s="22"/>
      <c r="S646" s="22"/>
    </row>
    <row r="647" spans="1:19" x14ac:dyDescent="0.2">
      <c r="A647" s="22"/>
      <c r="B647" s="22"/>
      <c r="C647" s="22"/>
      <c r="D647" s="23"/>
      <c r="H647" s="22"/>
      <c r="L647" s="22"/>
      <c r="P647" s="22"/>
      <c r="Q647" s="22"/>
      <c r="R647" s="22"/>
      <c r="S647" s="22"/>
    </row>
    <row r="648" spans="1:19" x14ac:dyDescent="0.2">
      <c r="A648" s="22"/>
      <c r="B648" s="22"/>
      <c r="C648" s="22"/>
      <c r="D648" s="23"/>
      <c r="H648" s="22"/>
      <c r="L648" s="22"/>
      <c r="P648" s="22"/>
      <c r="Q648" s="22"/>
      <c r="R648" s="22"/>
      <c r="S648" s="22"/>
    </row>
    <row r="649" spans="1:19" x14ac:dyDescent="0.2">
      <c r="A649" s="22"/>
      <c r="B649" s="22"/>
      <c r="C649" s="22"/>
      <c r="D649" s="23"/>
      <c r="H649" s="22"/>
      <c r="L649" s="22"/>
      <c r="P649" s="22"/>
      <c r="Q649" s="22"/>
      <c r="R649" s="22"/>
      <c r="S649" s="22"/>
    </row>
    <row r="650" spans="1:19" x14ac:dyDescent="0.2">
      <c r="A650" s="22"/>
      <c r="B650" s="22"/>
      <c r="C650" s="22"/>
      <c r="D650" s="23"/>
      <c r="H650" s="22"/>
      <c r="L650" s="22"/>
      <c r="P650" s="22"/>
      <c r="Q650" s="22"/>
      <c r="R650" s="22"/>
      <c r="S650" s="22"/>
    </row>
    <row r="651" spans="1:19" x14ac:dyDescent="0.2">
      <c r="A651" s="22"/>
      <c r="B651" s="22"/>
      <c r="C651" s="22"/>
      <c r="D651" s="23"/>
      <c r="H651" s="22"/>
      <c r="L651" s="22"/>
      <c r="P651" s="22"/>
      <c r="Q651" s="22"/>
      <c r="R651" s="22"/>
      <c r="S651" s="22"/>
    </row>
    <row r="652" spans="1:19" x14ac:dyDescent="0.2">
      <c r="A652" s="22"/>
      <c r="B652" s="22"/>
      <c r="C652" s="22"/>
      <c r="D652" s="23"/>
      <c r="H652" s="22"/>
      <c r="L652" s="22"/>
      <c r="P652" s="22"/>
      <c r="Q652" s="22"/>
      <c r="R652" s="22"/>
      <c r="S652" s="22"/>
    </row>
    <row r="653" spans="1:19" x14ac:dyDescent="0.2">
      <c r="A653" s="22"/>
      <c r="B653" s="22"/>
      <c r="C653" s="22"/>
      <c r="D653" s="23"/>
      <c r="H653" s="22"/>
      <c r="L653" s="22"/>
      <c r="P653" s="22"/>
      <c r="Q653" s="22"/>
      <c r="R653" s="22"/>
      <c r="S653" s="22"/>
    </row>
    <row r="654" spans="1:19" x14ac:dyDescent="0.2">
      <c r="A654" s="22"/>
      <c r="B654" s="22"/>
      <c r="C654" s="22"/>
      <c r="D654" s="23"/>
      <c r="H654" s="22"/>
      <c r="L654" s="22"/>
      <c r="P654" s="22"/>
      <c r="Q654" s="22"/>
      <c r="R654" s="22"/>
      <c r="S654" s="22"/>
    </row>
    <row r="655" spans="1:19" x14ac:dyDescent="0.2">
      <c r="A655" s="22"/>
      <c r="B655" s="22"/>
      <c r="C655" s="22"/>
      <c r="D655" s="23"/>
      <c r="H655" s="22"/>
      <c r="L655" s="22"/>
      <c r="P655" s="22"/>
      <c r="Q655" s="22"/>
      <c r="R655" s="22"/>
      <c r="S655" s="22"/>
    </row>
    <row r="656" spans="1:19" x14ac:dyDescent="0.2">
      <c r="A656" s="22"/>
      <c r="B656" s="22"/>
      <c r="C656" s="22"/>
      <c r="D656" s="23"/>
      <c r="H656" s="22"/>
      <c r="L656" s="22"/>
      <c r="P656" s="22"/>
      <c r="Q656" s="22"/>
      <c r="R656" s="22"/>
      <c r="S656" s="22"/>
    </row>
    <row r="657" spans="1:19" x14ac:dyDescent="0.2">
      <c r="A657" s="22"/>
      <c r="B657" s="22"/>
      <c r="C657" s="22"/>
      <c r="D657" s="23"/>
      <c r="H657" s="22"/>
      <c r="L657" s="22"/>
      <c r="P657" s="22"/>
      <c r="Q657" s="22"/>
      <c r="R657" s="22"/>
      <c r="S657" s="22"/>
    </row>
    <row r="658" spans="1:19" x14ac:dyDescent="0.2">
      <c r="A658" s="22"/>
      <c r="B658" s="22"/>
      <c r="C658" s="22"/>
      <c r="D658" s="23"/>
      <c r="H658" s="22"/>
      <c r="L658" s="22"/>
      <c r="P658" s="22"/>
      <c r="Q658" s="22"/>
      <c r="R658" s="22"/>
      <c r="S658" s="22"/>
    </row>
    <row r="659" spans="1:19" x14ac:dyDescent="0.2">
      <c r="A659" s="22"/>
      <c r="B659" s="22"/>
      <c r="C659" s="22"/>
      <c r="D659" s="23"/>
      <c r="H659" s="22"/>
      <c r="L659" s="22"/>
      <c r="P659" s="22"/>
      <c r="Q659" s="22"/>
      <c r="R659" s="22"/>
      <c r="S659" s="22"/>
    </row>
    <row r="660" spans="1:19" x14ac:dyDescent="0.2">
      <c r="A660" s="22"/>
      <c r="B660" s="22"/>
      <c r="C660" s="22"/>
      <c r="D660" s="23"/>
      <c r="H660" s="22"/>
      <c r="L660" s="22"/>
      <c r="P660" s="22"/>
      <c r="Q660" s="22"/>
      <c r="R660" s="22"/>
      <c r="S660" s="22"/>
    </row>
    <row r="661" spans="1:19" x14ac:dyDescent="0.2">
      <c r="A661" s="22"/>
      <c r="B661" s="22"/>
      <c r="C661" s="22"/>
      <c r="D661" s="23"/>
      <c r="H661" s="22"/>
      <c r="L661" s="22"/>
      <c r="P661" s="22"/>
      <c r="Q661" s="22"/>
      <c r="R661" s="22"/>
      <c r="S661" s="22"/>
    </row>
    <row r="662" spans="1:19" x14ac:dyDescent="0.2">
      <c r="A662" s="22"/>
      <c r="B662" s="22"/>
      <c r="C662" s="22"/>
      <c r="D662" s="23"/>
      <c r="H662" s="22"/>
      <c r="L662" s="22"/>
      <c r="P662" s="22"/>
      <c r="Q662" s="22"/>
      <c r="R662" s="22"/>
      <c r="S662" s="22"/>
    </row>
    <row r="663" spans="1:19" x14ac:dyDescent="0.2">
      <c r="A663" s="22"/>
      <c r="B663" s="22"/>
      <c r="C663" s="22"/>
      <c r="D663" s="23"/>
      <c r="H663" s="22"/>
      <c r="L663" s="22"/>
      <c r="P663" s="22"/>
      <c r="Q663" s="22"/>
      <c r="R663" s="22"/>
      <c r="S663" s="22"/>
    </row>
    <row r="664" spans="1:19" x14ac:dyDescent="0.2">
      <c r="A664" s="22"/>
      <c r="B664" s="22"/>
      <c r="C664" s="22"/>
      <c r="D664" s="23"/>
      <c r="H664" s="22"/>
      <c r="L664" s="22"/>
      <c r="P664" s="22"/>
      <c r="Q664" s="22"/>
      <c r="R664" s="22"/>
      <c r="S664" s="22"/>
    </row>
    <row r="665" spans="1:19" x14ac:dyDescent="0.2">
      <c r="A665" s="22"/>
      <c r="B665" s="22"/>
      <c r="C665" s="22"/>
      <c r="D665" s="23"/>
      <c r="H665" s="22"/>
      <c r="L665" s="22"/>
      <c r="P665" s="22"/>
      <c r="Q665" s="22"/>
      <c r="R665" s="22"/>
      <c r="S665" s="22"/>
    </row>
    <row r="666" spans="1:19" x14ac:dyDescent="0.2">
      <c r="A666" s="22"/>
      <c r="B666" s="22"/>
      <c r="C666" s="22"/>
      <c r="D666" s="23"/>
      <c r="H666" s="22"/>
      <c r="L666" s="22"/>
      <c r="P666" s="22"/>
      <c r="Q666" s="22"/>
      <c r="R666" s="22"/>
      <c r="S666" s="22"/>
    </row>
    <row r="667" spans="1:19" x14ac:dyDescent="0.2">
      <c r="A667" s="22"/>
      <c r="B667" s="22"/>
      <c r="C667" s="22"/>
      <c r="D667" s="23"/>
      <c r="H667" s="22"/>
      <c r="L667" s="22"/>
      <c r="P667" s="22"/>
      <c r="Q667" s="22"/>
      <c r="R667" s="22"/>
      <c r="S667" s="22"/>
    </row>
    <row r="668" spans="1:19" x14ac:dyDescent="0.2">
      <c r="A668" s="22"/>
      <c r="B668" s="22"/>
      <c r="C668" s="22"/>
      <c r="D668" s="23"/>
      <c r="H668" s="22"/>
      <c r="L668" s="22"/>
      <c r="P668" s="22"/>
      <c r="Q668" s="22"/>
      <c r="R668" s="22"/>
      <c r="S668" s="22"/>
    </row>
    <row r="669" spans="1:19" x14ac:dyDescent="0.2">
      <c r="A669" s="22"/>
      <c r="B669" s="22"/>
      <c r="C669" s="22"/>
      <c r="D669" s="23"/>
      <c r="H669" s="22"/>
      <c r="L669" s="22"/>
      <c r="P669" s="22"/>
      <c r="Q669" s="22"/>
      <c r="R669" s="22"/>
      <c r="S669" s="22"/>
    </row>
    <row r="670" spans="1:19" x14ac:dyDescent="0.2">
      <c r="A670" s="22"/>
      <c r="B670" s="22"/>
      <c r="C670" s="22"/>
      <c r="D670" s="23"/>
      <c r="H670" s="22"/>
      <c r="L670" s="22"/>
      <c r="P670" s="22"/>
      <c r="Q670" s="22"/>
      <c r="R670" s="22"/>
      <c r="S670" s="22"/>
    </row>
    <row r="671" spans="1:19" x14ac:dyDescent="0.2">
      <c r="A671" s="22"/>
      <c r="B671" s="22"/>
      <c r="C671" s="22"/>
      <c r="D671" s="23"/>
      <c r="H671" s="22"/>
      <c r="L671" s="22"/>
      <c r="P671" s="22"/>
      <c r="Q671" s="22"/>
      <c r="R671" s="22"/>
      <c r="S671" s="22"/>
    </row>
    <row r="672" spans="1:19" x14ac:dyDescent="0.2">
      <c r="A672" s="22"/>
      <c r="B672" s="22"/>
      <c r="C672" s="22"/>
      <c r="D672" s="23"/>
      <c r="H672" s="22"/>
      <c r="L672" s="22"/>
      <c r="P672" s="22"/>
      <c r="Q672" s="22"/>
      <c r="R672" s="22"/>
      <c r="S672" s="22"/>
    </row>
    <row r="673" spans="1:19" x14ac:dyDescent="0.2">
      <c r="A673" s="22"/>
      <c r="B673" s="22"/>
      <c r="C673" s="22"/>
      <c r="D673" s="23"/>
      <c r="H673" s="22"/>
      <c r="L673" s="22"/>
      <c r="P673" s="22"/>
      <c r="Q673" s="22"/>
      <c r="R673" s="22"/>
      <c r="S673" s="22"/>
    </row>
    <row r="674" spans="1:19" x14ac:dyDescent="0.2">
      <c r="A674" s="22"/>
      <c r="B674" s="22"/>
      <c r="C674" s="22"/>
      <c r="D674" s="23"/>
      <c r="H674" s="22"/>
      <c r="L674" s="22"/>
      <c r="P674" s="22"/>
      <c r="Q674" s="22"/>
      <c r="R674" s="22"/>
      <c r="S674" s="22"/>
    </row>
    <row r="675" spans="1:19" x14ac:dyDescent="0.2">
      <c r="A675" s="22"/>
      <c r="B675" s="22"/>
      <c r="C675" s="22"/>
      <c r="D675" s="23"/>
      <c r="H675" s="22"/>
      <c r="L675" s="22"/>
      <c r="P675" s="22"/>
      <c r="Q675" s="22"/>
      <c r="R675" s="22"/>
      <c r="S675" s="22"/>
    </row>
    <row r="676" spans="1:19" x14ac:dyDescent="0.2">
      <c r="A676" s="22"/>
      <c r="B676" s="22"/>
      <c r="C676" s="22"/>
      <c r="D676" s="23"/>
      <c r="H676" s="22"/>
      <c r="L676" s="22"/>
      <c r="P676" s="22"/>
      <c r="Q676" s="22"/>
      <c r="R676" s="22"/>
      <c r="S676" s="22"/>
    </row>
    <row r="677" spans="1:19" x14ac:dyDescent="0.2">
      <c r="A677" s="22"/>
      <c r="B677" s="22"/>
      <c r="C677" s="22"/>
      <c r="D677" s="23"/>
      <c r="H677" s="22"/>
      <c r="L677" s="22"/>
      <c r="P677" s="22"/>
      <c r="Q677" s="22"/>
      <c r="R677" s="22"/>
      <c r="S677" s="22"/>
    </row>
    <row r="678" spans="1:19" x14ac:dyDescent="0.2">
      <c r="A678" s="22"/>
      <c r="B678" s="22"/>
      <c r="C678" s="22"/>
      <c r="D678" s="23"/>
      <c r="H678" s="22"/>
      <c r="L678" s="22"/>
      <c r="P678" s="22"/>
      <c r="Q678" s="22"/>
      <c r="R678" s="22"/>
      <c r="S678" s="22"/>
    </row>
    <row r="679" spans="1:19" x14ac:dyDescent="0.2">
      <c r="A679" s="22"/>
      <c r="B679" s="22"/>
      <c r="C679" s="22"/>
      <c r="D679" s="23"/>
      <c r="H679" s="22"/>
      <c r="L679" s="22"/>
      <c r="P679" s="22"/>
      <c r="Q679" s="22"/>
      <c r="R679" s="22"/>
      <c r="S679" s="22"/>
    </row>
    <row r="680" spans="1:19" x14ac:dyDescent="0.2">
      <c r="A680" s="22"/>
      <c r="B680" s="22"/>
      <c r="C680" s="22"/>
      <c r="D680" s="23"/>
      <c r="H680" s="22"/>
      <c r="L680" s="22"/>
      <c r="P680" s="22"/>
      <c r="Q680" s="22"/>
      <c r="R680" s="22"/>
      <c r="S680" s="22"/>
    </row>
    <row r="681" spans="1:19" x14ac:dyDescent="0.2">
      <c r="A681" s="22"/>
      <c r="B681" s="22"/>
      <c r="C681" s="22"/>
      <c r="D681" s="23"/>
      <c r="H681" s="22"/>
      <c r="L681" s="22"/>
      <c r="P681" s="22"/>
      <c r="Q681" s="22"/>
      <c r="R681" s="22"/>
      <c r="S681" s="22"/>
    </row>
    <row r="682" spans="1:19" x14ac:dyDescent="0.2">
      <c r="A682" s="22"/>
      <c r="B682" s="22"/>
      <c r="C682" s="22"/>
      <c r="D682" s="23"/>
      <c r="H682" s="22"/>
      <c r="L682" s="22"/>
      <c r="P682" s="22"/>
      <c r="Q682" s="22"/>
      <c r="R682" s="22"/>
      <c r="S682" s="22"/>
    </row>
    <row r="683" spans="1:19" x14ac:dyDescent="0.2">
      <c r="A683" s="22"/>
      <c r="B683" s="22"/>
      <c r="C683" s="22"/>
      <c r="D683" s="23"/>
      <c r="H683" s="22"/>
      <c r="L683" s="22"/>
      <c r="P683" s="22"/>
      <c r="Q683" s="22"/>
      <c r="R683" s="22"/>
      <c r="S683" s="22"/>
    </row>
    <row r="684" spans="1:19" x14ac:dyDescent="0.2">
      <c r="A684" s="22"/>
      <c r="B684" s="22"/>
      <c r="C684" s="22"/>
      <c r="D684" s="23"/>
      <c r="H684" s="22"/>
      <c r="L684" s="22"/>
      <c r="P684" s="22"/>
      <c r="Q684" s="22"/>
      <c r="R684" s="22"/>
      <c r="S684" s="22"/>
    </row>
    <row r="685" spans="1:19" x14ac:dyDescent="0.2">
      <c r="A685" s="22"/>
      <c r="B685" s="22"/>
      <c r="C685" s="22"/>
      <c r="D685" s="23"/>
      <c r="H685" s="22"/>
      <c r="L685" s="22"/>
      <c r="P685" s="22"/>
      <c r="Q685" s="22"/>
      <c r="R685" s="22"/>
      <c r="S685" s="22"/>
    </row>
    <row r="686" spans="1:19" x14ac:dyDescent="0.2">
      <c r="A686" s="22"/>
      <c r="B686" s="22"/>
      <c r="C686" s="22"/>
      <c r="D686" s="23"/>
      <c r="H686" s="22"/>
      <c r="L686" s="22"/>
      <c r="P686" s="22"/>
      <c r="Q686" s="22"/>
      <c r="R686" s="22"/>
      <c r="S686" s="22"/>
    </row>
    <row r="687" spans="1:19" x14ac:dyDescent="0.2">
      <c r="A687" s="22"/>
      <c r="B687" s="22"/>
      <c r="C687" s="22"/>
      <c r="D687" s="23"/>
      <c r="H687" s="22"/>
      <c r="L687" s="22"/>
      <c r="P687" s="22"/>
      <c r="Q687" s="22"/>
      <c r="R687" s="22"/>
      <c r="S687" s="22"/>
    </row>
    <row r="688" spans="1:19" x14ac:dyDescent="0.2">
      <c r="A688" s="22"/>
      <c r="B688" s="22"/>
      <c r="C688" s="22"/>
      <c r="D688" s="23"/>
      <c r="H688" s="22"/>
      <c r="L688" s="22"/>
      <c r="P688" s="22"/>
      <c r="Q688" s="22"/>
      <c r="R688" s="22"/>
      <c r="S688" s="22"/>
    </row>
    <row r="689" spans="1:19" x14ac:dyDescent="0.2">
      <c r="A689" s="22"/>
      <c r="B689" s="22"/>
      <c r="C689" s="22"/>
      <c r="D689" s="23"/>
      <c r="H689" s="22"/>
      <c r="L689" s="22"/>
      <c r="P689" s="22"/>
      <c r="Q689" s="22"/>
      <c r="R689" s="22"/>
      <c r="S689" s="22"/>
    </row>
    <row r="690" spans="1:19" x14ac:dyDescent="0.2">
      <c r="A690" s="22"/>
      <c r="B690" s="22"/>
      <c r="C690" s="22"/>
      <c r="D690" s="23"/>
      <c r="H690" s="22"/>
      <c r="L690" s="22"/>
      <c r="P690" s="22"/>
      <c r="Q690" s="22"/>
      <c r="R690" s="22"/>
      <c r="S690" s="22"/>
    </row>
    <row r="691" spans="1:19" x14ac:dyDescent="0.2">
      <c r="A691" s="22"/>
      <c r="B691" s="22"/>
      <c r="C691" s="22"/>
      <c r="D691" s="23"/>
      <c r="H691" s="22"/>
      <c r="L691" s="22"/>
      <c r="P691" s="22"/>
      <c r="Q691" s="22"/>
      <c r="R691" s="22"/>
      <c r="S691" s="22"/>
    </row>
    <row r="692" spans="1:19" x14ac:dyDescent="0.2">
      <c r="A692" s="22"/>
      <c r="B692" s="22"/>
      <c r="C692" s="22"/>
      <c r="D692" s="23"/>
      <c r="H692" s="22"/>
      <c r="L692" s="22"/>
      <c r="P692" s="22"/>
      <c r="Q692" s="22"/>
      <c r="R692" s="22"/>
      <c r="S692" s="22"/>
    </row>
    <row r="693" spans="1:19" x14ac:dyDescent="0.2">
      <c r="A693" s="22"/>
      <c r="B693" s="22"/>
      <c r="C693" s="22"/>
      <c r="D693" s="23"/>
      <c r="H693" s="22"/>
      <c r="L693" s="22"/>
      <c r="P693" s="22"/>
      <c r="Q693" s="22"/>
      <c r="R693" s="22"/>
      <c r="S693" s="22"/>
    </row>
    <row r="694" spans="1:19" x14ac:dyDescent="0.2">
      <c r="A694" s="22"/>
      <c r="B694" s="22"/>
      <c r="C694" s="22"/>
      <c r="D694" s="23"/>
      <c r="H694" s="22"/>
      <c r="L694" s="22"/>
      <c r="P694" s="22"/>
      <c r="Q694" s="22"/>
      <c r="R694" s="22"/>
      <c r="S694" s="22"/>
    </row>
    <row r="695" spans="1:19" x14ac:dyDescent="0.2">
      <c r="A695" s="22"/>
      <c r="B695" s="22"/>
      <c r="C695" s="22"/>
      <c r="D695" s="23"/>
      <c r="H695" s="22"/>
      <c r="L695" s="22"/>
      <c r="P695" s="22"/>
      <c r="Q695" s="22"/>
      <c r="R695" s="22"/>
      <c r="S695" s="22"/>
    </row>
    <row r="696" spans="1:19" x14ac:dyDescent="0.2">
      <c r="A696" s="22"/>
      <c r="B696" s="22"/>
      <c r="C696" s="22"/>
      <c r="D696" s="23"/>
      <c r="H696" s="22"/>
      <c r="L696" s="22"/>
      <c r="P696" s="22"/>
      <c r="Q696" s="22"/>
      <c r="R696" s="22"/>
      <c r="S696" s="22"/>
    </row>
    <row r="697" spans="1:19" x14ac:dyDescent="0.2">
      <c r="A697" s="22"/>
      <c r="B697" s="22"/>
      <c r="C697" s="22"/>
      <c r="D697" s="23"/>
      <c r="H697" s="22"/>
      <c r="L697" s="22"/>
      <c r="P697" s="22"/>
      <c r="Q697" s="22"/>
      <c r="R697" s="22"/>
      <c r="S697" s="22"/>
    </row>
    <row r="698" spans="1:19" x14ac:dyDescent="0.2">
      <c r="A698" s="22"/>
      <c r="B698" s="22"/>
      <c r="C698" s="22"/>
      <c r="D698" s="23"/>
      <c r="H698" s="22"/>
      <c r="L698" s="22"/>
      <c r="P698" s="22"/>
      <c r="Q698" s="22"/>
      <c r="R698" s="22"/>
      <c r="S698" s="22"/>
    </row>
    <row r="699" spans="1:19" x14ac:dyDescent="0.2">
      <c r="A699" s="22"/>
      <c r="B699" s="22"/>
      <c r="C699" s="22"/>
      <c r="D699" s="23"/>
      <c r="H699" s="22"/>
      <c r="L699" s="22"/>
      <c r="P699" s="22"/>
      <c r="Q699" s="22"/>
      <c r="R699" s="22"/>
      <c r="S699" s="22"/>
    </row>
    <row r="700" spans="1:19" x14ac:dyDescent="0.2">
      <c r="A700" s="22"/>
      <c r="B700" s="22"/>
      <c r="C700" s="22"/>
      <c r="D700" s="23"/>
      <c r="H700" s="22"/>
      <c r="L700" s="22"/>
      <c r="P700" s="22"/>
      <c r="Q700" s="22"/>
      <c r="R700" s="22"/>
      <c r="S700" s="22"/>
    </row>
    <row r="701" spans="1:19" x14ac:dyDescent="0.2">
      <c r="A701" s="22"/>
      <c r="B701" s="22"/>
      <c r="C701" s="22"/>
      <c r="D701" s="23"/>
      <c r="H701" s="22"/>
      <c r="L701" s="22"/>
      <c r="P701" s="22"/>
      <c r="Q701" s="22"/>
      <c r="R701" s="22"/>
      <c r="S701" s="22"/>
    </row>
    <row r="702" spans="1:19" x14ac:dyDescent="0.2">
      <c r="A702" s="22"/>
      <c r="B702" s="22"/>
      <c r="C702" s="22"/>
      <c r="D702" s="23"/>
      <c r="H702" s="22"/>
      <c r="L702" s="22"/>
      <c r="P702" s="22"/>
      <c r="Q702" s="22"/>
      <c r="R702" s="22"/>
      <c r="S702" s="22"/>
    </row>
    <row r="703" spans="1:19" x14ac:dyDescent="0.2">
      <c r="A703" s="22"/>
      <c r="B703" s="22"/>
      <c r="C703" s="22"/>
      <c r="D703" s="23"/>
      <c r="H703" s="22"/>
      <c r="L703" s="22"/>
      <c r="P703" s="22"/>
      <c r="Q703" s="22"/>
      <c r="R703" s="22"/>
      <c r="S703" s="22"/>
    </row>
    <row r="704" spans="1:19" x14ac:dyDescent="0.2">
      <c r="A704" s="22"/>
      <c r="B704" s="22"/>
      <c r="C704" s="22"/>
      <c r="D704" s="23"/>
      <c r="H704" s="22"/>
      <c r="L704" s="22"/>
      <c r="P704" s="22"/>
      <c r="Q704" s="22"/>
      <c r="R704" s="22"/>
      <c r="S704" s="22"/>
    </row>
    <row r="705" spans="1:19" x14ac:dyDescent="0.2">
      <c r="A705" s="22"/>
      <c r="B705" s="22"/>
      <c r="C705" s="22"/>
      <c r="D705" s="23"/>
      <c r="H705" s="22"/>
      <c r="L705" s="22"/>
      <c r="P705" s="22"/>
      <c r="Q705" s="22"/>
      <c r="R705" s="22"/>
      <c r="S705" s="22"/>
    </row>
    <row r="706" spans="1:19" x14ac:dyDescent="0.2">
      <c r="A706" s="22"/>
      <c r="B706" s="22"/>
      <c r="C706" s="22"/>
      <c r="D706" s="23"/>
      <c r="H706" s="22"/>
      <c r="L706" s="22"/>
      <c r="P706" s="22"/>
      <c r="Q706" s="22"/>
      <c r="R706" s="22"/>
      <c r="S706" s="22"/>
    </row>
    <row r="707" spans="1:19" x14ac:dyDescent="0.2">
      <c r="A707" s="22"/>
      <c r="B707" s="22"/>
      <c r="C707" s="22"/>
      <c r="D707" s="23"/>
      <c r="H707" s="22"/>
      <c r="L707" s="22"/>
      <c r="P707" s="22"/>
      <c r="Q707" s="22"/>
      <c r="R707" s="22"/>
      <c r="S707" s="22"/>
    </row>
    <row r="708" spans="1:19" x14ac:dyDescent="0.2">
      <c r="A708" s="22"/>
      <c r="B708" s="22"/>
      <c r="C708" s="22"/>
      <c r="D708" s="23"/>
      <c r="H708" s="22"/>
      <c r="L708" s="22"/>
      <c r="P708" s="22"/>
      <c r="Q708" s="22"/>
      <c r="R708" s="22"/>
      <c r="S708" s="22"/>
    </row>
    <row r="709" spans="1:19" x14ac:dyDescent="0.2">
      <c r="A709" s="22"/>
      <c r="B709" s="22"/>
      <c r="C709" s="22"/>
      <c r="D709" s="23"/>
      <c r="H709" s="22"/>
      <c r="L709" s="22"/>
      <c r="P709" s="22"/>
      <c r="Q709" s="22"/>
      <c r="R709" s="22"/>
      <c r="S709" s="22"/>
    </row>
    <row r="710" spans="1:19" x14ac:dyDescent="0.2">
      <c r="A710" s="22"/>
      <c r="B710" s="22"/>
      <c r="C710" s="22"/>
      <c r="D710" s="23"/>
      <c r="H710" s="22"/>
      <c r="L710" s="22"/>
      <c r="P710" s="22"/>
      <c r="Q710" s="22"/>
      <c r="R710" s="22"/>
      <c r="S710" s="22"/>
    </row>
    <row r="711" spans="1:19" x14ac:dyDescent="0.2">
      <c r="A711" s="22"/>
      <c r="B711" s="22"/>
      <c r="C711" s="22"/>
      <c r="D711" s="23"/>
      <c r="H711" s="22"/>
      <c r="L711" s="22"/>
      <c r="P711" s="22"/>
      <c r="Q711" s="22"/>
      <c r="R711" s="22"/>
      <c r="S711" s="22"/>
    </row>
    <row r="712" spans="1:19" x14ac:dyDescent="0.2">
      <c r="A712" s="22"/>
      <c r="B712" s="22"/>
      <c r="C712" s="22"/>
      <c r="D712" s="23"/>
      <c r="H712" s="22"/>
      <c r="L712" s="22"/>
      <c r="P712" s="22"/>
      <c r="Q712" s="22"/>
      <c r="R712" s="22"/>
      <c r="S712" s="22"/>
    </row>
    <row r="713" spans="1:19" x14ac:dyDescent="0.2">
      <c r="A713" s="22"/>
      <c r="B713" s="22"/>
      <c r="C713" s="22"/>
      <c r="D713" s="23"/>
      <c r="H713" s="22"/>
      <c r="L713" s="22"/>
      <c r="P713" s="22"/>
      <c r="Q713" s="22"/>
      <c r="R713" s="22"/>
      <c r="S713" s="22"/>
    </row>
    <row r="714" spans="1:19" x14ac:dyDescent="0.2">
      <c r="A714" s="22"/>
      <c r="B714" s="22"/>
      <c r="C714" s="22"/>
      <c r="D714" s="23"/>
      <c r="H714" s="22"/>
      <c r="L714" s="22"/>
      <c r="P714" s="22"/>
      <c r="Q714" s="22"/>
      <c r="R714" s="22"/>
      <c r="S714" s="22"/>
    </row>
    <row r="715" spans="1:19" x14ac:dyDescent="0.2">
      <c r="A715" s="22"/>
      <c r="B715" s="22"/>
      <c r="C715" s="22"/>
      <c r="D715" s="23"/>
      <c r="H715" s="22"/>
      <c r="L715" s="22"/>
      <c r="P715" s="22"/>
      <c r="Q715" s="22"/>
      <c r="R715" s="22"/>
      <c r="S715" s="22"/>
    </row>
    <row r="716" spans="1:19" x14ac:dyDescent="0.2">
      <c r="A716" s="22"/>
      <c r="B716" s="22"/>
      <c r="C716" s="22"/>
      <c r="D716" s="23"/>
      <c r="H716" s="22"/>
      <c r="L716" s="22"/>
      <c r="P716" s="22"/>
      <c r="Q716" s="22"/>
      <c r="R716" s="22"/>
      <c r="S716" s="22"/>
    </row>
    <row r="717" spans="1:19" x14ac:dyDescent="0.2">
      <c r="A717" s="22"/>
      <c r="B717" s="22"/>
      <c r="C717" s="22"/>
      <c r="D717" s="23"/>
      <c r="H717" s="22"/>
      <c r="L717" s="22"/>
      <c r="P717" s="22"/>
      <c r="Q717" s="22"/>
      <c r="R717" s="22"/>
      <c r="S717" s="22"/>
    </row>
    <row r="718" spans="1:19" x14ac:dyDescent="0.2">
      <c r="A718" s="22"/>
      <c r="B718" s="22"/>
      <c r="C718" s="22"/>
      <c r="D718" s="23"/>
      <c r="H718" s="22"/>
      <c r="L718" s="22"/>
      <c r="P718" s="22"/>
      <c r="Q718" s="22"/>
      <c r="R718" s="22"/>
      <c r="S718" s="22"/>
    </row>
    <row r="719" spans="1:19" x14ac:dyDescent="0.2">
      <c r="A719" s="22"/>
      <c r="B719" s="22"/>
      <c r="C719" s="22"/>
      <c r="D719" s="23"/>
      <c r="H719" s="22"/>
      <c r="L719" s="22"/>
      <c r="P719" s="22"/>
      <c r="Q719" s="22"/>
      <c r="R719" s="22"/>
      <c r="S719" s="22"/>
    </row>
    <row r="720" spans="1:19" x14ac:dyDescent="0.2">
      <c r="A720" s="22"/>
      <c r="B720" s="22"/>
      <c r="C720" s="22"/>
      <c r="D720" s="23"/>
      <c r="H720" s="22"/>
      <c r="L720" s="22"/>
      <c r="P720" s="22"/>
      <c r="Q720" s="22"/>
      <c r="R720" s="22"/>
      <c r="S720" s="22"/>
    </row>
    <row r="721" spans="1:19" x14ac:dyDescent="0.2">
      <c r="A721" s="22"/>
      <c r="B721" s="22"/>
      <c r="C721" s="22"/>
      <c r="D721" s="23"/>
      <c r="H721" s="22"/>
      <c r="L721" s="22"/>
      <c r="P721" s="22"/>
      <c r="Q721" s="22"/>
      <c r="R721" s="22"/>
      <c r="S721" s="22"/>
    </row>
    <row r="722" spans="1:19" x14ac:dyDescent="0.2">
      <c r="A722" s="22"/>
      <c r="B722" s="22"/>
      <c r="C722" s="22"/>
      <c r="D722" s="23"/>
      <c r="H722" s="22"/>
      <c r="L722" s="22"/>
      <c r="P722" s="22"/>
      <c r="Q722" s="22"/>
      <c r="R722" s="22"/>
      <c r="S722" s="22"/>
    </row>
    <row r="723" spans="1:19" x14ac:dyDescent="0.2">
      <c r="A723" s="22"/>
      <c r="B723" s="22"/>
      <c r="C723" s="22"/>
      <c r="D723" s="23"/>
      <c r="H723" s="22"/>
      <c r="L723" s="22"/>
      <c r="P723" s="22"/>
      <c r="Q723" s="22"/>
      <c r="R723" s="22"/>
      <c r="S723" s="22"/>
    </row>
    <row r="724" spans="1:19" x14ac:dyDescent="0.2">
      <c r="A724" s="22"/>
      <c r="B724" s="22"/>
      <c r="C724" s="22"/>
      <c r="D724" s="23"/>
      <c r="H724" s="22"/>
      <c r="L724" s="22"/>
      <c r="P724" s="22"/>
      <c r="Q724" s="22"/>
      <c r="R724" s="22"/>
      <c r="S724" s="22"/>
    </row>
    <row r="725" spans="1:19" x14ac:dyDescent="0.2">
      <c r="A725" s="22"/>
      <c r="B725" s="22"/>
      <c r="C725" s="22"/>
      <c r="D725" s="23"/>
      <c r="H725" s="22"/>
      <c r="L725" s="22"/>
      <c r="P725" s="22"/>
      <c r="Q725" s="22"/>
      <c r="R725" s="22"/>
      <c r="S725" s="22"/>
    </row>
    <row r="726" spans="1:19" x14ac:dyDescent="0.2">
      <c r="A726" s="22"/>
      <c r="B726" s="22"/>
      <c r="C726" s="22"/>
      <c r="D726" s="23"/>
      <c r="H726" s="22"/>
      <c r="L726" s="22"/>
      <c r="P726" s="22"/>
      <c r="Q726" s="22"/>
      <c r="R726" s="22"/>
      <c r="S726" s="22"/>
    </row>
    <row r="727" spans="1:19" x14ac:dyDescent="0.2">
      <c r="A727" s="22"/>
      <c r="B727" s="22"/>
      <c r="C727" s="22"/>
      <c r="D727" s="23"/>
      <c r="H727" s="22"/>
      <c r="L727" s="22"/>
      <c r="P727" s="22"/>
      <c r="Q727" s="22"/>
      <c r="R727" s="22"/>
      <c r="S727" s="22"/>
    </row>
    <row r="728" spans="1:19" x14ac:dyDescent="0.2">
      <c r="A728" s="22"/>
      <c r="B728" s="22"/>
      <c r="C728" s="22"/>
      <c r="D728" s="23"/>
      <c r="H728" s="22"/>
      <c r="L728" s="22"/>
      <c r="P728" s="22"/>
      <c r="Q728" s="22"/>
      <c r="R728" s="22"/>
      <c r="S728" s="22"/>
    </row>
    <row r="729" spans="1:19" x14ac:dyDescent="0.2">
      <c r="A729" s="22"/>
      <c r="B729" s="22"/>
      <c r="C729" s="22"/>
      <c r="D729" s="23"/>
      <c r="H729" s="22"/>
      <c r="L729" s="22"/>
      <c r="P729" s="22"/>
      <c r="Q729" s="22"/>
      <c r="R729" s="22"/>
      <c r="S729" s="22"/>
    </row>
    <row r="730" spans="1:19" x14ac:dyDescent="0.2">
      <c r="A730" s="22"/>
      <c r="B730" s="22"/>
      <c r="C730" s="22"/>
      <c r="D730" s="23"/>
      <c r="H730" s="22"/>
      <c r="L730" s="22"/>
      <c r="P730" s="22"/>
      <c r="Q730" s="22"/>
      <c r="R730" s="22"/>
      <c r="S730" s="22"/>
    </row>
    <row r="731" spans="1:19" x14ac:dyDescent="0.2">
      <c r="A731" s="22"/>
      <c r="B731" s="22"/>
      <c r="C731" s="22"/>
      <c r="D731" s="23"/>
      <c r="H731" s="22"/>
      <c r="L731" s="22"/>
      <c r="P731" s="22"/>
      <c r="Q731" s="22"/>
      <c r="R731" s="22"/>
      <c r="S731" s="22"/>
    </row>
    <row r="732" spans="1:19" x14ac:dyDescent="0.2">
      <c r="A732" s="22"/>
      <c r="B732" s="22"/>
      <c r="C732" s="22"/>
      <c r="D732" s="23"/>
      <c r="H732" s="22"/>
      <c r="L732" s="22"/>
      <c r="P732" s="22"/>
      <c r="Q732" s="22"/>
      <c r="R732" s="22"/>
      <c r="S732" s="22"/>
    </row>
    <row r="733" spans="1:19" x14ac:dyDescent="0.2">
      <c r="A733" s="22"/>
      <c r="B733" s="22"/>
      <c r="C733" s="22"/>
      <c r="D733" s="23"/>
      <c r="H733" s="22"/>
      <c r="L733" s="22"/>
      <c r="P733" s="22"/>
      <c r="Q733" s="22"/>
      <c r="R733" s="22"/>
      <c r="S733" s="22"/>
    </row>
    <row r="734" spans="1:19" x14ac:dyDescent="0.2">
      <c r="A734" s="22"/>
      <c r="B734" s="22"/>
      <c r="C734" s="22"/>
      <c r="D734" s="23"/>
      <c r="H734" s="22"/>
      <c r="L734" s="22"/>
      <c r="P734" s="22"/>
      <c r="Q734" s="22"/>
      <c r="R734" s="22"/>
      <c r="S734" s="22"/>
    </row>
    <row r="735" spans="1:19" x14ac:dyDescent="0.2">
      <c r="A735" s="22"/>
      <c r="B735" s="22"/>
      <c r="C735" s="22"/>
      <c r="D735" s="23"/>
      <c r="H735" s="22"/>
      <c r="L735" s="22"/>
      <c r="P735" s="22"/>
      <c r="Q735" s="22"/>
      <c r="R735" s="22"/>
      <c r="S735" s="22"/>
    </row>
    <row r="736" spans="1:19" x14ac:dyDescent="0.2">
      <c r="A736" s="22"/>
      <c r="B736" s="22"/>
      <c r="C736" s="22"/>
      <c r="D736" s="23"/>
      <c r="H736" s="22"/>
      <c r="L736" s="22"/>
      <c r="P736" s="22"/>
      <c r="Q736" s="22"/>
      <c r="R736" s="22"/>
      <c r="S736" s="22"/>
    </row>
    <row r="737" spans="1:19" x14ac:dyDescent="0.2">
      <c r="A737" s="22"/>
      <c r="B737" s="22"/>
      <c r="C737" s="22"/>
      <c r="D737" s="23"/>
      <c r="H737" s="22"/>
      <c r="L737" s="22"/>
      <c r="P737" s="22"/>
      <c r="Q737" s="22"/>
      <c r="R737" s="22"/>
      <c r="S737" s="22"/>
    </row>
    <row r="738" spans="1:19" x14ac:dyDescent="0.2">
      <c r="A738" s="22"/>
      <c r="B738" s="22"/>
      <c r="C738" s="22"/>
      <c r="D738" s="23"/>
      <c r="H738" s="22"/>
      <c r="L738" s="22"/>
      <c r="P738" s="22"/>
      <c r="Q738" s="22"/>
      <c r="R738" s="22"/>
      <c r="S738" s="22"/>
    </row>
    <row r="739" spans="1:19" x14ac:dyDescent="0.2">
      <c r="A739" s="22"/>
      <c r="B739" s="22"/>
      <c r="C739" s="22"/>
      <c r="D739" s="23"/>
      <c r="H739" s="22"/>
      <c r="L739" s="22"/>
      <c r="P739" s="22"/>
      <c r="Q739" s="22"/>
      <c r="R739" s="22"/>
      <c r="S739" s="22"/>
    </row>
    <row r="740" spans="1:19" x14ac:dyDescent="0.2">
      <c r="A740" s="22"/>
      <c r="B740" s="22"/>
      <c r="C740" s="22"/>
      <c r="D740" s="23"/>
      <c r="H740" s="22"/>
      <c r="L740" s="22"/>
      <c r="P740" s="22"/>
      <c r="Q740" s="22"/>
      <c r="R740" s="22"/>
      <c r="S740" s="22"/>
    </row>
    <row r="741" spans="1:19" x14ac:dyDescent="0.2">
      <c r="A741" s="22"/>
      <c r="B741" s="22"/>
      <c r="C741" s="22"/>
      <c r="D741" s="23"/>
      <c r="H741" s="22"/>
      <c r="L741" s="22"/>
      <c r="P741" s="22"/>
      <c r="Q741" s="22"/>
      <c r="R741" s="22"/>
      <c r="S741" s="22"/>
    </row>
    <row r="742" spans="1:19" x14ac:dyDescent="0.2">
      <c r="A742" s="22"/>
      <c r="B742" s="22"/>
      <c r="C742" s="22"/>
      <c r="D742" s="23"/>
      <c r="H742" s="22"/>
      <c r="L742" s="22"/>
      <c r="P742" s="22"/>
      <c r="Q742" s="22"/>
      <c r="R742" s="22"/>
      <c r="S742" s="22"/>
    </row>
    <row r="743" spans="1:19" x14ac:dyDescent="0.2">
      <c r="A743" s="22"/>
      <c r="B743" s="22"/>
      <c r="C743" s="22"/>
      <c r="D743" s="23"/>
      <c r="H743" s="22"/>
      <c r="L743" s="22"/>
      <c r="P743" s="22"/>
      <c r="Q743" s="22"/>
      <c r="R743" s="22"/>
      <c r="S743" s="22"/>
    </row>
    <row r="744" spans="1:19" x14ac:dyDescent="0.2">
      <c r="A744" s="22"/>
      <c r="B744" s="22"/>
      <c r="C744" s="22"/>
      <c r="D744" s="23"/>
      <c r="H744" s="22"/>
      <c r="L744" s="22"/>
      <c r="P744" s="22"/>
      <c r="Q744" s="22"/>
      <c r="R744" s="22"/>
      <c r="S744" s="22"/>
    </row>
    <row r="745" spans="1:19" x14ac:dyDescent="0.2">
      <c r="A745" s="22"/>
      <c r="B745" s="22"/>
      <c r="C745" s="22"/>
      <c r="D745" s="23"/>
      <c r="H745" s="22"/>
      <c r="L745" s="22"/>
      <c r="P745" s="22"/>
      <c r="Q745" s="22"/>
      <c r="R745" s="22"/>
      <c r="S745" s="22"/>
    </row>
    <row r="746" spans="1:19" x14ac:dyDescent="0.2">
      <c r="A746" s="22"/>
      <c r="B746" s="22"/>
      <c r="C746" s="22"/>
      <c r="D746" s="23"/>
      <c r="H746" s="22"/>
      <c r="L746" s="22"/>
      <c r="P746" s="22"/>
      <c r="Q746" s="22"/>
      <c r="R746" s="22"/>
      <c r="S746" s="22"/>
    </row>
    <row r="747" spans="1:19" x14ac:dyDescent="0.2">
      <c r="A747" s="22"/>
      <c r="B747" s="22"/>
      <c r="C747" s="22"/>
      <c r="D747" s="23"/>
      <c r="H747" s="22"/>
      <c r="L747" s="22"/>
      <c r="P747" s="22"/>
      <c r="Q747" s="22"/>
      <c r="R747" s="22"/>
      <c r="S747" s="22"/>
    </row>
    <row r="748" spans="1:19" x14ac:dyDescent="0.2">
      <c r="A748" s="22"/>
      <c r="B748" s="22"/>
      <c r="C748" s="22"/>
      <c r="D748" s="23"/>
      <c r="H748" s="22"/>
      <c r="L748" s="22"/>
      <c r="P748" s="22"/>
      <c r="Q748" s="22"/>
      <c r="R748" s="22"/>
      <c r="S748" s="22"/>
    </row>
    <row r="749" spans="1:19" x14ac:dyDescent="0.2">
      <c r="A749" s="22"/>
      <c r="B749" s="22"/>
      <c r="C749" s="22"/>
      <c r="D749" s="23"/>
      <c r="H749" s="22"/>
      <c r="L749" s="22"/>
      <c r="P749" s="22"/>
      <c r="Q749" s="22"/>
      <c r="R749" s="22"/>
      <c r="S749" s="22"/>
    </row>
    <row r="750" spans="1:19" x14ac:dyDescent="0.2">
      <c r="A750" s="22"/>
      <c r="B750" s="22"/>
      <c r="C750" s="22"/>
      <c r="D750" s="23"/>
      <c r="H750" s="22"/>
      <c r="L750" s="22"/>
      <c r="P750" s="22"/>
      <c r="Q750" s="22"/>
      <c r="R750" s="22"/>
      <c r="S750" s="22"/>
    </row>
    <row r="751" spans="1:19" x14ac:dyDescent="0.2">
      <c r="A751" s="22"/>
      <c r="B751" s="22"/>
      <c r="C751" s="22"/>
      <c r="D751" s="23"/>
      <c r="H751" s="22"/>
      <c r="L751" s="22"/>
      <c r="P751" s="22"/>
      <c r="Q751" s="22"/>
      <c r="R751" s="22"/>
      <c r="S751" s="22"/>
    </row>
    <row r="752" spans="1:19" x14ac:dyDescent="0.2">
      <c r="A752" s="22"/>
      <c r="B752" s="22"/>
      <c r="C752" s="22"/>
      <c r="D752" s="23"/>
      <c r="H752" s="22"/>
      <c r="L752" s="22"/>
      <c r="P752" s="22"/>
      <c r="Q752" s="22"/>
      <c r="R752" s="22"/>
      <c r="S752" s="22"/>
    </row>
    <row r="753" spans="1:19" x14ac:dyDescent="0.2">
      <c r="A753" s="22"/>
      <c r="B753" s="22"/>
      <c r="C753" s="22"/>
      <c r="D753" s="23"/>
      <c r="H753" s="22"/>
      <c r="L753" s="22"/>
      <c r="P753" s="22"/>
      <c r="Q753" s="22"/>
      <c r="R753" s="22"/>
      <c r="S753" s="22"/>
    </row>
    <row r="754" spans="1:19" x14ac:dyDescent="0.2">
      <c r="A754" s="22"/>
      <c r="B754" s="22"/>
      <c r="C754" s="22"/>
      <c r="D754" s="23"/>
      <c r="H754" s="22"/>
      <c r="L754" s="22"/>
      <c r="P754" s="22"/>
      <c r="Q754" s="22"/>
      <c r="R754" s="22"/>
      <c r="S754" s="22"/>
    </row>
    <row r="755" spans="1:19" x14ac:dyDescent="0.2">
      <c r="A755" s="22"/>
      <c r="B755" s="22"/>
      <c r="C755" s="22"/>
      <c r="D755" s="23"/>
      <c r="H755" s="22"/>
      <c r="L755" s="22"/>
      <c r="P755" s="22"/>
      <c r="Q755" s="22"/>
      <c r="R755" s="22"/>
      <c r="S755" s="22"/>
    </row>
    <row r="756" spans="1:19" x14ac:dyDescent="0.2">
      <c r="A756" s="22"/>
      <c r="B756" s="22"/>
      <c r="C756" s="22"/>
      <c r="D756" s="23"/>
      <c r="H756" s="22"/>
      <c r="L756" s="22"/>
      <c r="P756" s="22"/>
      <c r="Q756" s="22"/>
      <c r="R756" s="22"/>
      <c r="S756" s="22"/>
    </row>
    <row r="757" spans="1:19" x14ac:dyDescent="0.2">
      <c r="A757" s="22"/>
      <c r="B757" s="22"/>
      <c r="C757" s="22"/>
      <c r="D757" s="23"/>
      <c r="H757" s="22"/>
      <c r="L757" s="22"/>
      <c r="P757" s="22"/>
      <c r="Q757" s="22"/>
      <c r="R757" s="22"/>
      <c r="S757" s="22"/>
    </row>
    <row r="758" spans="1:19" x14ac:dyDescent="0.2">
      <c r="A758" s="22"/>
      <c r="B758" s="22"/>
      <c r="C758" s="22"/>
      <c r="D758" s="23"/>
      <c r="H758" s="22"/>
      <c r="L758" s="22"/>
      <c r="P758" s="22"/>
      <c r="Q758" s="22"/>
      <c r="R758" s="22"/>
      <c r="S758" s="22"/>
    </row>
    <row r="759" spans="1:19" x14ac:dyDescent="0.2">
      <c r="A759" s="22"/>
      <c r="B759" s="22"/>
      <c r="C759" s="22"/>
      <c r="D759" s="23"/>
      <c r="H759" s="22"/>
      <c r="L759" s="22"/>
      <c r="P759" s="22"/>
      <c r="Q759" s="22"/>
      <c r="R759" s="22"/>
      <c r="S759" s="22"/>
    </row>
    <row r="760" spans="1:19" x14ac:dyDescent="0.2">
      <c r="A760" s="22"/>
      <c r="B760" s="22"/>
      <c r="C760" s="22"/>
      <c r="D760" s="23"/>
      <c r="H760" s="22"/>
      <c r="L760" s="22"/>
      <c r="P760" s="22"/>
      <c r="Q760" s="22"/>
      <c r="R760" s="22"/>
      <c r="S760" s="22"/>
    </row>
    <row r="761" spans="1:19" x14ac:dyDescent="0.2">
      <c r="A761" s="22"/>
      <c r="B761" s="22"/>
      <c r="C761" s="22"/>
      <c r="D761" s="23"/>
      <c r="H761" s="22"/>
      <c r="L761" s="22"/>
      <c r="P761" s="22"/>
      <c r="Q761" s="22"/>
      <c r="R761" s="22"/>
      <c r="S761" s="22"/>
    </row>
    <row r="762" spans="1:19" x14ac:dyDescent="0.2">
      <c r="A762" s="22"/>
      <c r="B762" s="22"/>
      <c r="C762" s="22"/>
      <c r="D762" s="23"/>
      <c r="H762" s="22"/>
      <c r="L762" s="22"/>
      <c r="P762" s="22"/>
      <c r="Q762" s="22"/>
      <c r="R762" s="22"/>
      <c r="S762" s="22"/>
    </row>
    <row r="763" spans="1:19" x14ac:dyDescent="0.2">
      <c r="A763" s="22"/>
      <c r="B763" s="22"/>
      <c r="C763" s="22"/>
      <c r="D763" s="23"/>
      <c r="H763" s="22"/>
      <c r="L763" s="22"/>
      <c r="P763" s="22"/>
      <c r="Q763" s="22"/>
      <c r="R763" s="22"/>
      <c r="S763" s="22"/>
    </row>
    <row r="764" spans="1:19" x14ac:dyDescent="0.2">
      <c r="A764" s="22"/>
      <c r="B764" s="22"/>
      <c r="C764" s="22"/>
      <c r="D764" s="23"/>
      <c r="H764" s="22"/>
      <c r="L764" s="22"/>
      <c r="P764" s="22"/>
      <c r="Q764" s="22"/>
      <c r="R764" s="22"/>
      <c r="S764" s="22"/>
    </row>
    <row r="765" spans="1:19" x14ac:dyDescent="0.2">
      <c r="A765" s="22"/>
      <c r="B765" s="22"/>
      <c r="C765" s="22"/>
      <c r="D765" s="23"/>
      <c r="H765" s="22"/>
      <c r="L765" s="22"/>
      <c r="P765" s="22"/>
      <c r="Q765" s="22"/>
      <c r="R765" s="22"/>
      <c r="S765" s="22"/>
    </row>
    <row r="766" spans="1:19" x14ac:dyDescent="0.2">
      <c r="A766" s="22"/>
      <c r="B766" s="22"/>
      <c r="C766" s="22"/>
      <c r="D766" s="23"/>
      <c r="H766" s="22"/>
      <c r="L766" s="22"/>
      <c r="P766" s="22"/>
      <c r="Q766" s="22"/>
      <c r="R766" s="22"/>
      <c r="S766" s="22"/>
    </row>
    <row r="767" spans="1:19" x14ac:dyDescent="0.2">
      <c r="A767" s="22"/>
      <c r="B767" s="22"/>
      <c r="C767" s="22"/>
      <c r="D767" s="23"/>
      <c r="H767" s="22"/>
      <c r="L767" s="22"/>
      <c r="P767" s="22"/>
      <c r="Q767" s="22"/>
      <c r="R767" s="22"/>
      <c r="S767" s="22"/>
    </row>
    <row r="768" spans="1:19" x14ac:dyDescent="0.2">
      <c r="A768" s="22"/>
      <c r="B768" s="22"/>
      <c r="C768" s="22"/>
      <c r="D768" s="23"/>
      <c r="H768" s="22"/>
      <c r="L768" s="22"/>
      <c r="P768" s="22"/>
      <c r="Q768" s="22"/>
      <c r="R768" s="22"/>
      <c r="S768" s="22"/>
    </row>
    <row r="769" spans="1:19" x14ac:dyDescent="0.2">
      <c r="A769" s="22"/>
      <c r="B769" s="22"/>
      <c r="C769" s="22"/>
      <c r="D769" s="23"/>
      <c r="H769" s="22"/>
      <c r="L769" s="22"/>
      <c r="P769" s="22"/>
      <c r="Q769" s="22"/>
      <c r="R769" s="22"/>
      <c r="S769" s="22"/>
    </row>
    <row r="770" spans="1:19" x14ac:dyDescent="0.2">
      <c r="A770" s="22"/>
      <c r="B770" s="22"/>
      <c r="C770" s="22"/>
      <c r="D770" s="23"/>
      <c r="H770" s="22"/>
      <c r="L770" s="22"/>
      <c r="P770" s="22"/>
      <c r="Q770" s="22"/>
      <c r="R770" s="22"/>
      <c r="S770" s="22"/>
    </row>
    <row r="771" spans="1:19" x14ac:dyDescent="0.2">
      <c r="A771" s="22"/>
      <c r="B771" s="22"/>
      <c r="C771" s="22"/>
      <c r="D771" s="23"/>
      <c r="H771" s="22"/>
      <c r="L771" s="22"/>
      <c r="P771" s="22"/>
      <c r="Q771" s="22"/>
      <c r="R771" s="22"/>
      <c r="S771" s="22"/>
    </row>
    <row r="772" spans="1:19" x14ac:dyDescent="0.2">
      <c r="A772" s="22"/>
      <c r="B772" s="22"/>
      <c r="C772" s="22"/>
      <c r="D772" s="23"/>
      <c r="H772" s="22"/>
      <c r="L772" s="22"/>
      <c r="P772" s="22"/>
      <c r="Q772" s="22"/>
      <c r="R772" s="22"/>
      <c r="S772" s="22"/>
    </row>
    <row r="773" spans="1:19" x14ac:dyDescent="0.2">
      <c r="A773" s="22"/>
      <c r="B773" s="22"/>
      <c r="C773" s="22"/>
      <c r="D773" s="23"/>
      <c r="H773" s="22"/>
      <c r="L773" s="22"/>
      <c r="P773" s="22"/>
      <c r="Q773" s="22"/>
      <c r="R773" s="22"/>
      <c r="S773" s="22"/>
    </row>
    <row r="774" spans="1:19" x14ac:dyDescent="0.2">
      <c r="A774" s="22"/>
      <c r="B774" s="22"/>
      <c r="C774" s="22"/>
      <c r="D774" s="23"/>
      <c r="H774" s="22"/>
      <c r="L774" s="22"/>
      <c r="P774" s="22"/>
      <c r="Q774" s="22"/>
      <c r="R774" s="22"/>
      <c r="S774" s="22"/>
    </row>
    <row r="775" spans="1:19" x14ac:dyDescent="0.2">
      <c r="A775" s="22"/>
      <c r="B775" s="22"/>
      <c r="C775" s="22"/>
      <c r="D775" s="23"/>
      <c r="H775" s="22"/>
      <c r="L775" s="22"/>
      <c r="P775" s="22"/>
      <c r="Q775" s="22"/>
      <c r="R775" s="22"/>
      <c r="S775" s="22"/>
    </row>
    <row r="776" spans="1:19" x14ac:dyDescent="0.2">
      <c r="A776" s="22"/>
      <c r="B776" s="22"/>
      <c r="C776" s="22"/>
      <c r="D776" s="23"/>
      <c r="H776" s="22"/>
      <c r="L776" s="22"/>
      <c r="P776" s="22"/>
      <c r="Q776" s="22"/>
      <c r="R776" s="22"/>
      <c r="S776" s="22"/>
    </row>
    <row r="777" spans="1:19" x14ac:dyDescent="0.2">
      <c r="A777" s="22"/>
      <c r="B777" s="22"/>
      <c r="C777" s="22"/>
      <c r="D777" s="23"/>
      <c r="H777" s="22"/>
      <c r="L777" s="22"/>
      <c r="P777" s="22"/>
      <c r="Q777" s="22"/>
      <c r="R777" s="22"/>
      <c r="S777" s="22"/>
    </row>
    <row r="778" spans="1:19" x14ac:dyDescent="0.2">
      <c r="A778" s="22"/>
      <c r="B778" s="22"/>
      <c r="C778" s="22"/>
      <c r="D778" s="23"/>
      <c r="H778" s="22"/>
      <c r="L778" s="22"/>
      <c r="P778" s="22"/>
      <c r="Q778" s="22"/>
      <c r="R778" s="22"/>
      <c r="S778" s="22"/>
    </row>
    <row r="779" spans="1:19" x14ac:dyDescent="0.2">
      <c r="A779" s="22"/>
      <c r="B779" s="22"/>
      <c r="C779" s="22"/>
      <c r="D779" s="23"/>
      <c r="H779" s="22"/>
      <c r="L779" s="22"/>
      <c r="P779" s="22"/>
      <c r="Q779" s="22"/>
      <c r="R779" s="22"/>
      <c r="S779" s="22"/>
    </row>
    <row r="780" spans="1:19" x14ac:dyDescent="0.2">
      <c r="A780" s="22"/>
      <c r="B780" s="22"/>
      <c r="C780" s="22"/>
      <c r="D780" s="23"/>
      <c r="H780" s="22"/>
      <c r="L780" s="22"/>
      <c r="P780" s="22"/>
      <c r="Q780" s="22"/>
      <c r="R780" s="22"/>
      <c r="S780" s="22"/>
    </row>
    <row r="781" spans="1:19" x14ac:dyDescent="0.2">
      <c r="A781" s="22"/>
      <c r="B781" s="22"/>
      <c r="C781" s="22"/>
      <c r="D781" s="23"/>
      <c r="H781" s="22"/>
      <c r="L781" s="22"/>
      <c r="P781" s="22"/>
      <c r="Q781" s="22"/>
      <c r="R781" s="22"/>
      <c r="S781" s="22"/>
    </row>
    <row r="782" spans="1:19" x14ac:dyDescent="0.2">
      <c r="A782" s="22"/>
      <c r="B782" s="22"/>
      <c r="C782" s="22"/>
      <c r="D782" s="23"/>
      <c r="H782" s="22"/>
      <c r="L782" s="22"/>
      <c r="P782" s="22"/>
      <c r="Q782" s="22"/>
      <c r="R782" s="22"/>
      <c r="S782" s="22"/>
    </row>
    <row r="783" spans="1:19" x14ac:dyDescent="0.2">
      <c r="A783" s="22"/>
      <c r="B783" s="22"/>
      <c r="C783" s="22"/>
      <c r="D783" s="23"/>
      <c r="H783" s="22"/>
      <c r="L783" s="22"/>
      <c r="P783" s="22"/>
      <c r="Q783" s="22"/>
      <c r="R783" s="22"/>
      <c r="S783" s="22"/>
    </row>
    <row r="784" spans="1:19" x14ac:dyDescent="0.2">
      <c r="A784" s="22"/>
      <c r="B784" s="22"/>
      <c r="C784" s="22"/>
      <c r="D784" s="23"/>
      <c r="H784" s="22"/>
      <c r="L784" s="22"/>
      <c r="P784" s="22"/>
      <c r="Q784" s="22"/>
      <c r="R784" s="22"/>
      <c r="S784" s="22"/>
    </row>
    <row r="785" spans="1:19" x14ac:dyDescent="0.2">
      <c r="A785" s="22"/>
      <c r="B785" s="22"/>
      <c r="C785" s="22"/>
      <c r="D785" s="23"/>
      <c r="H785" s="22"/>
      <c r="L785" s="22"/>
      <c r="P785" s="22"/>
      <c r="Q785" s="22"/>
      <c r="R785" s="22"/>
      <c r="S785" s="22"/>
    </row>
    <row r="786" spans="1:19" x14ac:dyDescent="0.2">
      <c r="A786" s="22"/>
      <c r="B786" s="22"/>
      <c r="C786" s="22"/>
      <c r="D786" s="23"/>
      <c r="H786" s="22"/>
      <c r="L786" s="22"/>
      <c r="P786" s="22"/>
      <c r="Q786" s="22"/>
      <c r="R786" s="22"/>
      <c r="S786" s="22"/>
    </row>
    <row r="787" spans="1:19" x14ac:dyDescent="0.2">
      <c r="A787" s="22"/>
      <c r="B787" s="22"/>
      <c r="C787" s="22"/>
      <c r="D787" s="23"/>
      <c r="H787" s="22"/>
      <c r="L787" s="22"/>
      <c r="P787" s="22"/>
      <c r="Q787" s="22"/>
      <c r="R787" s="22"/>
      <c r="S787" s="22"/>
    </row>
    <row r="788" spans="1:19" x14ac:dyDescent="0.2">
      <c r="A788" s="22"/>
      <c r="B788" s="22"/>
      <c r="C788" s="22"/>
      <c r="D788" s="23"/>
      <c r="H788" s="22"/>
      <c r="L788" s="22"/>
      <c r="P788" s="22"/>
      <c r="Q788" s="22"/>
      <c r="R788" s="22"/>
      <c r="S788" s="22"/>
    </row>
    <row r="789" spans="1:19" x14ac:dyDescent="0.2">
      <c r="A789" s="22"/>
      <c r="B789" s="22"/>
      <c r="C789" s="22"/>
      <c r="D789" s="23"/>
      <c r="H789" s="22"/>
      <c r="L789" s="22"/>
      <c r="P789" s="22"/>
      <c r="Q789" s="22"/>
      <c r="R789" s="22"/>
      <c r="S789" s="22"/>
    </row>
    <row r="790" spans="1:19" x14ac:dyDescent="0.2">
      <c r="A790" s="22"/>
      <c r="B790" s="22"/>
      <c r="C790" s="22"/>
      <c r="D790" s="23"/>
      <c r="H790" s="22"/>
      <c r="L790" s="22"/>
      <c r="P790" s="22"/>
      <c r="Q790" s="22"/>
      <c r="R790" s="22"/>
      <c r="S790" s="22"/>
    </row>
    <row r="791" spans="1:19" x14ac:dyDescent="0.2">
      <c r="A791" s="22"/>
      <c r="B791" s="22"/>
      <c r="C791" s="22"/>
      <c r="D791" s="23"/>
      <c r="H791" s="22"/>
      <c r="L791" s="22"/>
      <c r="P791" s="22"/>
      <c r="Q791" s="22"/>
      <c r="R791" s="22"/>
      <c r="S791" s="22"/>
    </row>
    <row r="792" spans="1:19" x14ac:dyDescent="0.2">
      <c r="A792" s="22"/>
      <c r="B792" s="22"/>
      <c r="C792" s="22"/>
      <c r="D792" s="23"/>
      <c r="H792" s="22"/>
      <c r="L792" s="22"/>
      <c r="P792" s="22"/>
      <c r="Q792" s="22"/>
      <c r="R792" s="22"/>
      <c r="S792" s="22"/>
    </row>
    <row r="793" spans="1:19" x14ac:dyDescent="0.2">
      <c r="A793" s="22"/>
      <c r="B793" s="22"/>
      <c r="C793" s="22"/>
      <c r="D793" s="23"/>
      <c r="H793" s="22"/>
      <c r="L793" s="22"/>
      <c r="P793" s="22"/>
      <c r="Q793" s="22"/>
      <c r="R793" s="22"/>
      <c r="S793" s="22"/>
    </row>
    <row r="794" spans="1:19" x14ac:dyDescent="0.2">
      <c r="A794" s="22"/>
      <c r="B794" s="22"/>
      <c r="C794" s="22"/>
      <c r="D794" s="23"/>
      <c r="H794" s="22"/>
      <c r="L794" s="22"/>
      <c r="P794" s="22"/>
      <c r="Q794" s="22"/>
      <c r="R794" s="22"/>
      <c r="S794" s="22"/>
    </row>
    <row r="795" spans="1:19" x14ac:dyDescent="0.2">
      <c r="A795" s="22"/>
      <c r="B795" s="22"/>
      <c r="C795" s="22"/>
      <c r="D795" s="23"/>
      <c r="H795" s="22"/>
      <c r="L795" s="22"/>
      <c r="P795" s="22"/>
      <c r="Q795" s="22"/>
      <c r="R795" s="22"/>
      <c r="S795" s="22"/>
    </row>
    <row r="796" spans="1:19" x14ac:dyDescent="0.2">
      <c r="A796" s="22"/>
      <c r="B796" s="22"/>
      <c r="C796" s="22"/>
      <c r="D796" s="23"/>
      <c r="H796" s="22"/>
      <c r="L796" s="22"/>
      <c r="P796" s="22"/>
      <c r="Q796" s="22"/>
      <c r="R796" s="22"/>
      <c r="S796" s="22"/>
    </row>
    <row r="797" spans="1:19" x14ac:dyDescent="0.2">
      <c r="A797" s="22"/>
      <c r="B797" s="22"/>
      <c r="C797" s="22"/>
      <c r="D797" s="23"/>
      <c r="H797" s="22"/>
      <c r="L797" s="22"/>
      <c r="P797" s="22"/>
      <c r="Q797" s="22"/>
      <c r="R797" s="22"/>
      <c r="S797" s="22"/>
    </row>
    <row r="798" spans="1:19" x14ac:dyDescent="0.2">
      <c r="A798" s="22"/>
      <c r="B798" s="22"/>
      <c r="C798" s="22"/>
      <c r="D798" s="23"/>
      <c r="H798" s="22"/>
      <c r="L798" s="22"/>
      <c r="P798" s="22"/>
      <c r="Q798" s="22"/>
      <c r="R798" s="22"/>
      <c r="S798" s="22"/>
    </row>
    <row r="799" spans="1:19" x14ac:dyDescent="0.2">
      <c r="A799" s="22"/>
      <c r="B799" s="22"/>
      <c r="C799" s="22"/>
      <c r="D799" s="23"/>
      <c r="H799" s="22"/>
      <c r="L799" s="22"/>
      <c r="P799" s="22"/>
      <c r="Q799" s="22"/>
      <c r="R799" s="22"/>
      <c r="S799" s="22"/>
    </row>
    <row r="800" spans="1:19" x14ac:dyDescent="0.2">
      <c r="A800" s="22"/>
      <c r="B800" s="22"/>
      <c r="C800" s="22"/>
      <c r="D800" s="23"/>
      <c r="H800" s="22"/>
      <c r="L800" s="22"/>
      <c r="P800" s="22"/>
      <c r="Q800" s="22"/>
      <c r="R800" s="22"/>
      <c r="S800" s="22"/>
    </row>
    <row r="801" spans="1:19" x14ac:dyDescent="0.2">
      <c r="A801" s="22"/>
      <c r="B801" s="22"/>
      <c r="C801" s="22"/>
      <c r="D801" s="23"/>
      <c r="H801" s="22"/>
      <c r="L801" s="22"/>
      <c r="P801" s="22"/>
      <c r="Q801" s="22"/>
      <c r="R801" s="22"/>
      <c r="S801" s="22"/>
    </row>
    <row r="802" spans="1:19" x14ac:dyDescent="0.2">
      <c r="A802" s="22"/>
      <c r="B802" s="22"/>
      <c r="C802" s="22"/>
      <c r="D802" s="23"/>
      <c r="H802" s="22"/>
      <c r="L802" s="22"/>
      <c r="P802" s="22"/>
      <c r="Q802" s="22"/>
      <c r="R802" s="22"/>
      <c r="S802" s="22"/>
    </row>
    <row r="803" spans="1:19" x14ac:dyDescent="0.2">
      <c r="A803" s="22"/>
      <c r="B803" s="22"/>
      <c r="C803" s="22"/>
      <c r="D803" s="23"/>
      <c r="H803" s="22"/>
      <c r="L803" s="22"/>
      <c r="P803" s="22"/>
      <c r="Q803" s="22"/>
      <c r="R803" s="22"/>
      <c r="S803" s="22"/>
    </row>
    <row r="804" spans="1:19" x14ac:dyDescent="0.2">
      <c r="A804" s="22"/>
      <c r="B804" s="22"/>
      <c r="C804" s="22"/>
      <c r="D804" s="23"/>
      <c r="H804" s="22"/>
      <c r="L804" s="22"/>
      <c r="P804" s="22"/>
      <c r="Q804" s="22"/>
      <c r="R804" s="22"/>
      <c r="S804" s="22"/>
    </row>
    <row r="805" spans="1:19" x14ac:dyDescent="0.2">
      <c r="A805" s="22"/>
      <c r="B805" s="22"/>
      <c r="C805" s="22"/>
      <c r="D805" s="23"/>
      <c r="H805" s="22"/>
      <c r="L805" s="22"/>
      <c r="P805" s="22"/>
      <c r="Q805" s="22"/>
      <c r="R805" s="22"/>
      <c r="S805" s="22"/>
    </row>
    <row r="806" spans="1:19" x14ac:dyDescent="0.2">
      <c r="A806" s="22"/>
      <c r="B806" s="22"/>
      <c r="C806" s="22"/>
      <c r="D806" s="23"/>
      <c r="H806" s="22"/>
      <c r="L806" s="22"/>
      <c r="P806" s="22"/>
      <c r="Q806" s="22"/>
      <c r="R806" s="22"/>
      <c r="S806" s="22"/>
    </row>
    <row r="807" spans="1:19" x14ac:dyDescent="0.2">
      <c r="A807" s="22"/>
      <c r="B807" s="22"/>
      <c r="C807" s="22"/>
      <c r="D807" s="23"/>
      <c r="H807" s="22"/>
      <c r="L807" s="22"/>
      <c r="P807" s="22"/>
      <c r="Q807" s="22"/>
      <c r="R807" s="22"/>
      <c r="S807" s="22"/>
    </row>
    <row r="808" spans="1:19" x14ac:dyDescent="0.2">
      <c r="A808" s="22"/>
      <c r="B808" s="22"/>
      <c r="C808" s="22"/>
      <c r="D808" s="23"/>
      <c r="H808" s="22"/>
      <c r="L808" s="22"/>
      <c r="P808" s="22"/>
      <c r="Q808" s="22"/>
      <c r="R808" s="22"/>
      <c r="S808" s="22"/>
    </row>
    <row r="809" spans="1:19" x14ac:dyDescent="0.2">
      <c r="A809" s="22"/>
      <c r="B809" s="22"/>
      <c r="C809" s="22"/>
      <c r="D809" s="23"/>
      <c r="H809" s="22"/>
      <c r="L809" s="22"/>
      <c r="P809" s="22"/>
      <c r="Q809" s="22"/>
      <c r="R809" s="22"/>
      <c r="S809" s="22"/>
    </row>
    <row r="810" spans="1:19" x14ac:dyDescent="0.2">
      <c r="A810" s="22"/>
      <c r="B810" s="22"/>
      <c r="C810" s="22"/>
      <c r="D810" s="23"/>
      <c r="H810" s="22"/>
      <c r="L810" s="22"/>
      <c r="P810" s="22"/>
      <c r="Q810" s="22"/>
      <c r="R810" s="22"/>
      <c r="S810" s="22"/>
    </row>
    <row r="811" spans="1:19" x14ac:dyDescent="0.2">
      <c r="A811" s="22"/>
      <c r="B811" s="22"/>
      <c r="C811" s="22"/>
      <c r="D811" s="23"/>
      <c r="H811" s="22"/>
      <c r="L811" s="22"/>
      <c r="P811" s="22"/>
      <c r="Q811" s="22"/>
      <c r="R811" s="22"/>
      <c r="S811" s="22"/>
    </row>
    <row r="812" spans="1:19" x14ac:dyDescent="0.2">
      <c r="A812" s="22"/>
      <c r="B812" s="22"/>
      <c r="C812" s="22"/>
      <c r="D812" s="23"/>
      <c r="H812" s="22"/>
      <c r="L812" s="22"/>
      <c r="P812" s="22"/>
      <c r="Q812" s="22"/>
      <c r="R812" s="22"/>
      <c r="S812" s="22"/>
    </row>
    <row r="813" spans="1:19" x14ac:dyDescent="0.2">
      <c r="A813" s="22"/>
      <c r="B813" s="22"/>
      <c r="C813" s="22"/>
      <c r="D813" s="23"/>
      <c r="H813" s="22"/>
      <c r="L813" s="22"/>
      <c r="P813" s="22"/>
      <c r="Q813" s="22"/>
      <c r="R813" s="22"/>
      <c r="S813" s="22"/>
    </row>
    <row r="814" spans="1:19" x14ac:dyDescent="0.2">
      <c r="A814" s="22"/>
      <c r="B814" s="22"/>
      <c r="C814" s="22"/>
      <c r="D814" s="23"/>
      <c r="H814" s="22"/>
      <c r="L814" s="22"/>
      <c r="P814" s="22"/>
      <c r="Q814" s="22"/>
      <c r="R814" s="22"/>
      <c r="S814" s="22"/>
    </row>
    <row r="815" spans="1:19" x14ac:dyDescent="0.2">
      <c r="A815" s="22"/>
      <c r="B815" s="22"/>
      <c r="C815" s="22"/>
      <c r="D815" s="23"/>
      <c r="H815" s="22"/>
      <c r="L815" s="22"/>
      <c r="P815" s="22"/>
      <c r="Q815" s="22"/>
      <c r="R815" s="22"/>
      <c r="S815" s="22"/>
    </row>
    <row r="816" spans="1:19" x14ac:dyDescent="0.2">
      <c r="A816" s="22"/>
      <c r="B816" s="22"/>
      <c r="C816" s="22"/>
      <c r="D816" s="23"/>
      <c r="H816" s="22"/>
      <c r="L816" s="22"/>
      <c r="P816" s="22"/>
      <c r="Q816" s="22"/>
      <c r="R816" s="22"/>
      <c r="S816" s="22"/>
    </row>
    <row r="817" spans="1:19" x14ac:dyDescent="0.2">
      <c r="A817" s="22"/>
      <c r="B817" s="22"/>
      <c r="C817" s="22"/>
      <c r="D817" s="23"/>
      <c r="H817" s="22"/>
      <c r="L817" s="22"/>
      <c r="P817" s="22"/>
      <c r="Q817" s="22"/>
      <c r="R817" s="22"/>
      <c r="S817" s="22"/>
    </row>
    <row r="818" spans="1:19" x14ac:dyDescent="0.2">
      <c r="A818" s="22"/>
      <c r="B818" s="22"/>
      <c r="C818" s="22"/>
      <c r="D818" s="23"/>
      <c r="H818" s="22"/>
      <c r="L818" s="22"/>
      <c r="P818" s="22"/>
      <c r="Q818" s="22"/>
      <c r="R818" s="22"/>
      <c r="S818" s="22"/>
    </row>
    <row r="819" spans="1:19" x14ac:dyDescent="0.2">
      <c r="A819" s="22"/>
      <c r="B819" s="22"/>
      <c r="C819" s="22"/>
      <c r="D819" s="23"/>
      <c r="H819" s="22"/>
      <c r="L819" s="22"/>
      <c r="P819" s="22"/>
      <c r="Q819" s="22"/>
      <c r="R819" s="22"/>
      <c r="S819" s="22"/>
    </row>
    <row r="820" spans="1:19" x14ac:dyDescent="0.2">
      <c r="A820" s="22"/>
      <c r="B820" s="22"/>
      <c r="C820" s="22"/>
      <c r="D820" s="23"/>
      <c r="H820" s="22"/>
      <c r="L820" s="22"/>
      <c r="P820" s="22"/>
      <c r="Q820" s="22"/>
      <c r="R820" s="22"/>
      <c r="S820" s="22"/>
    </row>
    <row r="821" spans="1:19" x14ac:dyDescent="0.2">
      <c r="A821" s="22"/>
      <c r="B821" s="22"/>
      <c r="C821" s="22"/>
      <c r="D821" s="23"/>
      <c r="H821" s="22"/>
      <c r="L821" s="22"/>
      <c r="P821" s="22"/>
      <c r="Q821" s="22"/>
      <c r="R821" s="22"/>
      <c r="S821" s="22"/>
    </row>
    <row r="822" spans="1:19" x14ac:dyDescent="0.2">
      <c r="A822" s="22"/>
      <c r="B822" s="22"/>
      <c r="C822" s="22"/>
      <c r="D822" s="23"/>
      <c r="H822" s="22"/>
      <c r="L822" s="22"/>
      <c r="P822" s="22"/>
      <c r="Q822" s="22"/>
      <c r="R822" s="22"/>
      <c r="S822" s="22"/>
    </row>
    <row r="823" spans="1:19" x14ac:dyDescent="0.2">
      <c r="A823" s="22"/>
      <c r="B823" s="22"/>
      <c r="C823" s="22"/>
      <c r="D823" s="23"/>
      <c r="H823" s="22"/>
      <c r="L823" s="22"/>
      <c r="P823" s="22"/>
      <c r="Q823" s="22"/>
      <c r="R823" s="22"/>
      <c r="S823" s="22"/>
    </row>
    <row r="824" spans="1:19" x14ac:dyDescent="0.2">
      <c r="A824" s="22"/>
      <c r="B824" s="22"/>
      <c r="C824" s="22"/>
      <c r="D824" s="23"/>
      <c r="H824" s="22"/>
      <c r="L824" s="22"/>
      <c r="P824" s="22"/>
      <c r="Q824" s="22"/>
      <c r="R824" s="22"/>
      <c r="S824" s="22"/>
    </row>
    <row r="825" spans="1:19" x14ac:dyDescent="0.2">
      <c r="A825" s="22"/>
      <c r="B825" s="22"/>
      <c r="C825" s="22"/>
      <c r="D825" s="23"/>
      <c r="H825" s="22"/>
      <c r="L825" s="22"/>
      <c r="P825" s="22"/>
      <c r="Q825" s="22"/>
      <c r="R825" s="22"/>
      <c r="S825" s="22"/>
    </row>
    <row r="826" spans="1:19" x14ac:dyDescent="0.2">
      <c r="A826" s="22"/>
      <c r="B826" s="22"/>
      <c r="C826" s="22"/>
      <c r="D826" s="23"/>
      <c r="H826" s="22"/>
      <c r="L826" s="22"/>
      <c r="P826" s="22"/>
      <c r="Q826" s="22"/>
      <c r="R826" s="22"/>
      <c r="S826" s="22"/>
    </row>
    <row r="827" spans="1:19" x14ac:dyDescent="0.2">
      <c r="A827" s="22"/>
      <c r="B827" s="22"/>
      <c r="C827" s="22"/>
      <c r="D827" s="23"/>
      <c r="H827" s="22"/>
      <c r="L827" s="22"/>
      <c r="P827" s="22"/>
      <c r="Q827" s="22"/>
      <c r="R827" s="22"/>
      <c r="S827" s="22"/>
    </row>
    <row r="828" spans="1:19" x14ac:dyDescent="0.2">
      <c r="A828" s="22"/>
      <c r="B828" s="22"/>
      <c r="C828" s="22"/>
      <c r="D828" s="23"/>
      <c r="H828" s="22"/>
      <c r="L828" s="22"/>
      <c r="P828" s="22"/>
      <c r="Q828" s="22"/>
      <c r="R828" s="22"/>
      <c r="S828" s="22"/>
    </row>
    <row r="829" spans="1:19" x14ac:dyDescent="0.2">
      <c r="A829" s="22"/>
      <c r="B829" s="22"/>
      <c r="C829" s="22"/>
      <c r="D829" s="23"/>
      <c r="H829" s="22"/>
      <c r="L829" s="22"/>
      <c r="P829" s="22"/>
      <c r="Q829" s="22"/>
      <c r="R829" s="22"/>
      <c r="S829" s="22"/>
    </row>
    <row r="830" spans="1:19" x14ac:dyDescent="0.2">
      <c r="A830" s="22"/>
      <c r="B830" s="22"/>
      <c r="C830" s="22"/>
      <c r="D830" s="23"/>
      <c r="H830" s="22"/>
      <c r="L830" s="22"/>
      <c r="P830" s="22"/>
      <c r="Q830" s="22"/>
      <c r="R830" s="22"/>
      <c r="S830" s="22"/>
    </row>
    <row r="831" spans="1:19" x14ac:dyDescent="0.2">
      <c r="A831" s="22"/>
      <c r="B831" s="22"/>
      <c r="C831" s="22"/>
      <c r="D831" s="23"/>
      <c r="H831" s="22"/>
      <c r="L831" s="22"/>
      <c r="P831" s="22"/>
      <c r="Q831" s="22"/>
      <c r="R831" s="22"/>
      <c r="S831" s="22"/>
    </row>
    <row r="832" spans="1:19" x14ac:dyDescent="0.2">
      <c r="A832" s="22"/>
      <c r="B832" s="22"/>
      <c r="C832" s="22"/>
      <c r="D832" s="23"/>
      <c r="H832" s="22"/>
      <c r="L832" s="22"/>
      <c r="P832" s="22"/>
      <c r="Q832" s="22"/>
      <c r="R832" s="22"/>
      <c r="S832" s="22"/>
    </row>
    <row r="833" spans="1:19" x14ac:dyDescent="0.2">
      <c r="A833" s="22"/>
      <c r="B833" s="22"/>
      <c r="C833" s="22"/>
      <c r="D833" s="23"/>
      <c r="H833" s="22"/>
      <c r="L833" s="22"/>
      <c r="P833" s="22"/>
      <c r="Q833" s="22"/>
      <c r="R833" s="22"/>
      <c r="S833" s="22"/>
    </row>
    <row r="834" spans="1:19" x14ac:dyDescent="0.2">
      <c r="A834" s="22"/>
      <c r="B834" s="22"/>
      <c r="C834" s="22"/>
      <c r="D834" s="23"/>
      <c r="H834" s="22"/>
      <c r="L834" s="22"/>
      <c r="P834" s="22"/>
      <c r="Q834" s="22"/>
      <c r="R834" s="22"/>
      <c r="S834" s="22"/>
    </row>
    <row r="835" spans="1:19" x14ac:dyDescent="0.2">
      <c r="A835" s="22"/>
      <c r="B835" s="22"/>
      <c r="C835" s="22"/>
      <c r="D835" s="23"/>
      <c r="H835" s="22"/>
      <c r="L835" s="22"/>
      <c r="P835" s="22"/>
      <c r="Q835" s="22"/>
      <c r="R835" s="22"/>
      <c r="S835" s="22"/>
    </row>
    <row r="836" spans="1:19" x14ac:dyDescent="0.2">
      <c r="A836" s="22"/>
      <c r="B836" s="22"/>
      <c r="C836" s="22"/>
      <c r="D836" s="23"/>
      <c r="H836" s="22"/>
      <c r="L836" s="22"/>
      <c r="P836" s="22"/>
      <c r="Q836" s="22"/>
      <c r="R836" s="22"/>
      <c r="S836" s="22"/>
    </row>
    <row r="837" spans="1:19" x14ac:dyDescent="0.2">
      <c r="A837" s="22"/>
      <c r="B837" s="22"/>
      <c r="C837" s="22"/>
      <c r="D837" s="23"/>
      <c r="H837" s="22"/>
      <c r="L837" s="22"/>
      <c r="P837" s="22"/>
      <c r="Q837" s="22"/>
      <c r="R837" s="22"/>
      <c r="S837" s="22"/>
    </row>
    <row r="838" spans="1:19" x14ac:dyDescent="0.2">
      <c r="A838" s="22"/>
      <c r="B838" s="22"/>
      <c r="C838" s="22"/>
      <c r="D838" s="23"/>
      <c r="H838" s="22"/>
      <c r="L838" s="22"/>
      <c r="P838" s="22"/>
      <c r="Q838" s="22"/>
      <c r="R838" s="22"/>
      <c r="S838" s="22"/>
    </row>
    <row r="839" spans="1:19" x14ac:dyDescent="0.2">
      <c r="A839" s="22"/>
      <c r="B839" s="22"/>
      <c r="C839" s="22"/>
      <c r="D839" s="23"/>
      <c r="H839" s="22"/>
      <c r="L839" s="22"/>
      <c r="P839" s="22"/>
      <c r="Q839" s="22"/>
      <c r="R839" s="22"/>
      <c r="S839" s="22"/>
    </row>
    <row r="840" spans="1:19" x14ac:dyDescent="0.2">
      <c r="A840" s="22"/>
      <c r="B840" s="22"/>
      <c r="C840" s="22"/>
      <c r="D840" s="23"/>
      <c r="H840" s="22"/>
      <c r="L840" s="22"/>
      <c r="P840" s="22"/>
      <c r="Q840" s="22"/>
      <c r="R840" s="22"/>
      <c r="S840" s="22"/>
    </row>
    <row r="841" spans="1:19" x14ac:dyDescent="0.2">
      <c r="A841" s="22"/>
      <c r="B841" s="22"/>
      <c r="C841" s="22"/>
      <c r="D841" s="23"/>
      <c r="H841" s="22"/>
      <c r="L841" s="22"/>
      <c r="P841" s="22"/>
      <c r="Q841" s="22"/>
      <c r="R841" s="22"/>
      <c r="S841" s="22"/>
    </row>
    <row r="842" spans="1:19" x14ac:dyDescent="0.2">
      <c r="A842" s="22"/>
      <c r="B842" s="22"/>
      <c r="C842" s="22"/>
      <c r="D842" s="23"/>
      <c r="H842" s="22"/>
      <c r="L842" s="22"/>
      <c r="P842" s="22"/>
      <c r="Q842" s="22"/>
      <c r="R842" s="22"/>
      <c r="S842" s="22"/>
    </row>
    <row r="843" spans="1:19" x14ac:dyDescent="0.2">
      <c r="A843" s="22"/>
      <c r="B843" s="22"/>
      <c r="C843" s="22"/>
      <c r="D843" s="23"/>
      <c r="H843" s="22"/>
      <c r="L843" s="22"/>
      <c r="P843" s="22"/>
      <c r="Q843" s="22"/>
      <c r="R843" s="22"/>
      <c r="S843" s="22"/>
    </row>
    <row r="844" spans="1:19" x14ac:dyDescent="0.2">
      <c r="A844" s="22"/>
      <c r="B844" s="22"/>
      <c r="C844" s="22"/>
      <c r="D844" s="23"/>
      <c r="H844" s="22"/>
      <c r="L844" s="22"/>
      <c r="P844" s="22"/>
      <c r="Q844" s="22"/>
      <c r="R844" s="22"/>
      <c r="S844" s="22"/>
    </row>
    <row r="845" spans="1:19" x14ac:dyDescent="0.2">
      <c r="A845" s="22"/>
      <c r="B845" s="22"/>
      <c r="C845" s="22"/>
      <c r="D845" s="23"/>
      <c r="H845" s="22"/>
      <c r="L845" s="22"/>
      <c r="P845" s="22"/>
      <c r="Q845" s="22"/>
      <c r="R845" s="22"/>
      <c r="S845" s="22"/>
    </row>
    <row r="846" spans="1:19" x14ac:dyDescent="0.2">
      <c r="A846" s="22"/>
      <c r="B846" s="22"/>
      <c r="C846" s="22"/>
      <c r="D846" s="23"/>
      <c r="H846" s="22"/>
      <c r="L846" s="22"/>
      <c r="P846" s="22"/>
      <c r="Q846" s="22"/>
      <c r="R846" s="22"/>
      <c r="S846" s="22"/>
    </row>
    <row r="847" spans="1:19" x14ac:dyDescent="0.2">
      <c r="A847" s="22"/>
      <c r="B847" s="22"/>
      <c r="C847" s="22"/>
      <c r="D847" s="23"/>
      <c r="H847" s="22"/>
      <c r="L847" s="22"/>
      <c r="P847" s="22"/>
      <c r="Q847" s="22"/>
      <c r="R847" s="22"/>
      <c r="S847" s="22"/>
    </row>
    <row r="848" spans="1:19" x14ac:dyDescent="0.2">
      <c r="A848" s="22"/>
      <c r="B848" s="22"/>
      <c r="C848" s="22"/>
      <c r="D848" s="23"/>
      <c r="H848" s="22"/>
      <c r="L848" s="22"/>
      <c r="P848" s="22"/>
      <c r="Q848" s="22"/>
      <c r="R848" s="22"/>
      <c r="S848" s="22"/>
    </row>
    <row r="849" spans="1:19" x14ac:dyDescent="0.2">
      <c r="A849" s="22"/>
      <c r="B849" s="22"/>
      <c r="C849" s="22"/>
      <c r="D849" s="23"/>
      <c r="H849" s="22"/>
      <c r="L849" s="22"/>
      <c r="P849" s="22"/>
      <c r="Q849" s="22"/>
      <c r="R849" s="22"/>
      <c r="S849" s="22"/>
    </row>
    <row r="850" spans="1:19" x14ac:dyDescent="0.2">
      <c r="A850" s="22"/>
      <c r="B850" s="22"/>
      <c r="C850" s="22"/>
      <c r="D850" s="23"/>
      <c r="H850" s="22"/>
      <c r="L850" s="22"/>
      <c r="P850" s="22"/>
      <c r="Q850" s="22"/>
      <c r="R850" s="22"/>
      <c r="S850" s="22"/>
    </row>
    <row r="851" spans="1:19" x14ac:dyDescent="0.2">
      <c r="A851" s="22"/>
      <c r="B851" s="22"/>
      <c r="C851" s="22"/>
      <c r="D851" s="23"/>
      <c r="H851" s="22"/>
      <c r="L851" s="22"/>
      <c r="P851" s="22"/>
      <c r="Q851" s="22"/>
      <c r="R851" s="22"/>
      <c r="S851" s="22"/>
    </row>
    <row r="852" spans="1:19" x14ac:dyDescent="0.2">
      <c r="A852" s="22"/>
      <c r="B852" s="22"/>
      <c r="C852" s="22"/>
      <c r="D852" s="23"/>
      <c r="H852" s="22"/>
      <c r="L852" s="22"/>
      <c r="P852" s="22"/>
      <c r="Q852" s="22"/>
      <c r="R852" s="22"/>
      <c r="S852" s="22"/>
    </row>
    <row r="853" spans="1:19" x14ac:dyDescent="0.2">
      <c r="A853" s="22"/>
      <c r="B853" s="22"/>
      <c r="C853" s="22"/>
      <c r="D853" s="23"/>
      <c r="H853" s="22"/>
      <c r="L853" s="22"/>
      <c r="P853" s="22"/>
      <c r="Q853" s="22"/>
      <c r="R853" s="22"/>
      <c r="S853" s="22"/>
    </row>
    <row r="854" spans="1:19" x14ac:dyDescent="0.2">
      <c r="A854" s="22"/>
      <c r="B854" s="22"/>
      <c r="C854" s="22"/>
      <c r="D854" s="23"/>
      <c r="H854" s="22"/>
      <c r="L854" s="22"/>
      <c r="P854" s="22"/>
      <c r="Q854" s="22"/>
      <c r="R854" s="22"/>
      <c r="S854" s="22"/>
    </row>
    <row r="855" spans="1:19" x14ac:dyDescent="0.2">
      <c r="A855" s="22"/>
      <c r="B855" s="22"/>
      <c r="C855" s="22"/>
      <c r="D855" s="23"/>
      <c r="H855" s="22"/>
      <c r="L855" s="22"/>
      <c r="P855" s="22"/>
      <c r="Q855" s="22"/>
      <c r="R855" s="22"/>
      <c r="S855" s="22"/>
    </row>
    <row r="856" spans="1:19" x14ac:dyDescent="0.2">
      <c r="A856" s="22"/>
      <c r="B856" s="22"/>
      <c r="C856" s="22"/>
      <c r="D856" s="23"/>
      <c r="H856" s="22"/>
      <c r="L856" s="22"/>
      <c r="P856" s="22"/>
      <c r="Q856" s="22"/>
      <c r="R856" s="22"/>
      <c r="S856" s="22"/>
    </row>
    <row r="857" spans="1:19" x14ac:dyDescent="0.2">
      <c r="A857" s="22"/>
      <c r="B857" s="22"/>
      <c r="C857" s="22"/>
      <c r="D857" s="23"/>
      <c r="H857" s="22"/>
      <c r="L857" s="22"/>
      <c r="P857" s="22"/>
      <c r="Q857" s="22"/>
      <c r="R857" s="22"/>
      <c r="S857" s="22"/>
    </row>
    <row r="858" spans="1:19" x14ac:dyDescent="0.2">
      <c r="A858" s="22"/>
      <c r="B858" s="22"/>
      <c r="C858" s="22"/>
      <c r="D858" s="23"/>
      <c r="H858" s="22"/>
      <c r="L858" s="22"/>
      <c r="P858" s="22"/>
      <c r="Q858" s="22"/>
      <c r="R858" s="22"/>
      <c r="S858" s="22"/>
    </row>
    <row r="859" spans="1:19" x14ac:dyDescent="0.2">
      <c r="A859" s="22"/>
      <c r="B859" s="22"/>
      <c r="C859" s="22"/>
      <c r="D859" s="23"/>
      <c r="H859" s="22"/>
      <c r="L859" s="22"/>
      <c r="P859" s="22"/>
      <c r="Q859" s="22"/>
      <c r="R859" s="22"/>
      <c r="S859" s="22"/>
    </row>
    <row r="860" spans="1:19" x14ac:dyDescent="0.2">
      <c r="A860" s="22"/>
      <c r="B860" s="22"/>
      <c r="C860" s="22"/>
      <c r="D860" s="23"/>
      <c r="H860" s="22"/>
      <c r="L860" s="22"/>
      <c r="P860" s="22"/>
      <c r="Q860" s="22"/>
      <c r="R860" s="22"/>
      <c r="S860" s="22"/>
    </row>
    <row r="861" spans="1:19" x14ac:dyDescent="0.2">
      <c r="A861" s="22"/>
      <c r="B861" s="22"/>
      <c r="C861" s="22"/>
      <c r="D861" s="23"/>
      <c r="H861" s="22"/>
      <c r="L861" s="22"/>
      <c r="P861" s="22"/>
      <c r="Q861" s="22"/>
      <c r="R861" s="22"/>
      <c r="S861" s="22"/>
    </row>
    <row r="862" spans="1:19" x14ac:dyDescent="0.2">
      <c r="A862" s="22"/>
      <c r="B862" s="22"/>
      <c r="C862" s="22"/>
      <c r="D862" s="23"/>
      <c r="H862" s="22"/>
      <c r="L862" s="22"/>
      <c r="P862" s="22"/>
      <c r="Q862" s="22"/>
      <c r="R862" s="22"/>
      <c r="S862" s="22"/>
    </row>
    <row r="863" spans="1:19" x14ac:dyDescent="0.2">
      <c r="A863" s="22"/>
      <c r="B863" s="22"/>
      <c r="C863" s="22"/>
      <c r="D863" s="23"/>
      <c r="H863" s="22"/>
      <c r="L863" s="22"/>
      <c r="P863" s="22"/>
      <c r="Q863" s="22"/>
      <c r="R863" s="22"/>
      <c r="S863" s="22"/>
    </row>
    <row r="864" spans="1:19" x14ac:dyDescent="0.2">
      <c r="A864" s="22"/>
      <c r="B864" s="22"/>
      <c r="C864" s="22"/>
      <c r="D864" s="23"/>
      <c r="H864" s="22"/>
      <c r="L864" s="22"/>
      <c r="P864" s="22"/>
      <c r="Q864" s="22"/>
      <c r="R864" s="22"/>
      <c r="S864" s="22"/>
    </row>
    <row r="865" spans="1:19" x14ac:dyDescent="0.2">
      <c r="A865" s="22"/>
      <c r="B865" s="22"/>
      <c r="C865" s="22"/>
      <c r="D865" s="23"/>
      <c r="H865" s="22"/>
      <c r="L865" s="22"/>
      <c r="P865" s="22"/>
      <c r="Q865" s="22"/>
      <c r="R865" s="22"/>
      <c r="S865" s="22"/>
    </row>
    <row r="866" spans="1:19" x14ac:dyDescent="0.2">
      <c r="A866" s="22"/>
      <c r="B866" s="22"/>
      <c r="C866" s="22"/>
      <c r="D866" s="23"/>
      <c r="H866" s="22"/>
      <c r="L866" s="22"/>
      <c r="P866" s="22"/>
      <c r="Q866" s="22"/>
      <c r="R866" s="22"/>
      <c r="S866" s="22"/>
    </row>
    <row r="867" spans="1:19" x14ac:dyDescent="0.2">
      <c r="A867" s="22"/>
      <c r="B867" s="22"/>
      <c r="C867" s="22"/>
      <c r="D867" s="23"/>
      <c r="H867" s="22"/>
      <c r="L867" s="22"/>
      <c r="P867" s="22"/>
      <c r="Q867" s="22"/>
      <c r="R867" s="22"/>
      <c r="S867" s="22"/>
    </row>
    <row r="868" spans="1:19" x14ac:dyDescent="0.2">
      <c r="A868" s="22"/>
      <c r="B868" s="22"/>
      <c r="C868" s="22"/>
      <c r="D868" s="23"/>
      <c r="H868" s="22"/>
      <c r="L868" s="22"/>
      <c r="P868" s="22"/>
      <c r="Q868" s="22"/>
      <c r="R868" s="22"/>
      <c r="S868" s="22"/>
    </row>
    <row r="869" spans="1:19" x14ac:dyDescent="0.2">
      <c r="A869" s="22"/>
      <c r="B869" s="22"/>
      <c r="C869" s="22"/>
      <c r="D869" s="23"/>
      <c r="H869" s="22"/>
      <c r="L869" s="22"/>
      <c r="P869" s="22"/>
      <c r="Q869" s="22"/>
      <c r="R869" s="22"/>
      <c r="S869" s="22"/>
    </row>
    <row r="870" spans="1:19" x14ac:dyDescent="0.2">
      <c r="A870" s="22"/>
      <c r="B870" s="22"/>
      <c r="C870" s="22"/>
      <c r="D870" s="23"/>
      <c r="H870" s="22"/>
      <c r="L870" s="22"/>
      <c r="P870" s="22"/>
      <c r="Q870" s="22"/>
      <c r="R870" s="22"/>
      <c r="S870" s="22"/>
    </row>
    <row r="871" spans="1:19" x14ac:dyDescent="0.2">
      <c r="A871" s="22"/>
      <c r="B871" s="22"/>
      <c r="C871" s="22"/>
      <c r="D871" s="23"/>
      <c r="H871" s="22"/>
      <c r="L871" s="22"/>
      <c r="P871" s="22"/>
      <c r="Q871" s="22"/>
      <c r="R871" s="22"/>
      <c r="S871" s="22"/>
    </row>
    <row r="872" spans="1:19" x14ac:dyDescent="0.2">
      <c r="A872" s="22"/>
      <c r="B872" s="22"/>
      <c r="C872" s="22"/>
      <c r="D872" s="23"/>
      <c r="H872" s="22"/>
      <c r="L872" s="22"/>
      <c r="P872" s="22"/>
      <c r="Q872" s="22"/>
      <c r="R872" s="22"/>
      <c r="S872" s="22"/>
    </row>
    <row r="873" spans="1:19" x14ac:dyDescent="0.2">
      <c r="A873" s="22"/>
      <c r="B873" s="22"/>
      <c r="C873" s="22"/>
      <c r="D873" s="23"/>
      <c r="H873" s="22"/>
      <c r="L873" s="22"/>
      <c r="P873" s="22"/>
      <c r="Q873" s="22"/>
      <c r="R873" s="22"/>
      <c r="S873" s="22"/>
    </row>
    <row r="874" spans="1:19" x14ac:dyDescent="0.2">
      <c r="A874" s="22"/>
      <c r="B874" s="22"/>
      <c r="C874" s="22"/>
      <c r="D874" s="23"/>
      <c r="H874" s="22"/>
      <c r="L874" s="22"/>
      <c r="P874" s="22"/>
      <c r="Q874" s="22"/>
      <c r="R874" s="22"/>
      <c r="S874" s="22"/>
    </row>
    <row r="875" spans="1:19" x14ac:dyDescent="0.2">
      <c r="A875" s="22"/>
      <c r="B875" s="22"/>
      <c r="C875" s="22"/>
      <c r="D875" s="23"/>
      <c r="H875" s="22"/>
      <c r="L875" s="22"/>
      <c r="P875" s="22"/>
      <c r="Q875" s="22"/>
      <c r="R875" s="22"/>
      <c r="S875" s="22"/>
    </row>
    <row r="876" spans="1:19" x14ac:dyDescent="0.2">
      <c r="A876" s="22"/>
      <c r="B876" s="22"/>
      <c r="C876" s="22"/>
      <c r="D876" s="23"/>
      <c r="H876" s="22"/>
      <c r="L876" s="22"/>
      <c r="P876" s="22"/>
      <c r="Q876" s="22"/>
      <c r="R876" s="22"/>
      <c r="S876" s="22"/>
    </row>
    <row r="877" spans="1:19" x14ac:dyDescent="0.2">
      <c r="A877" s="22"/>
      <c r="B877" s="22"/>
      <c r="C877" s="22"/>
      <c r="D877" s="23"/>
      <c r="H877" s="22"/>
      <c r="L877" s="22"/>
      <c r="P877" s="22"/>
      <c r="Q877" s="22"/>
      <c r="R877" s="22"/>
      <c r="S877" s="22"/>
    </row>
    <row r="878" spans="1:19" x14ac:dyDescent="0.2">
      <c r="A878" s="22"/>
      <c r="B878" s="22"/>
      <c r="C878" s="22"/>
      <c r="D878" s="23"/>
      <c r="H878" s="22"/>
      <c r="L878" s="22"/>
      <c r="P878" s="22"/>
      <c r="Q878" s="22"/>
      <c r="R878" s="22"/>
      <c r="S878" s="22"/>
    </row>
    <row r="879" spans="1:19" x14ac:dyDescent="0.2">
      <c r="A879" s="22"/>
      <c r="B879" s="22"/>
      <c r="C879" s="22"/>
      <c r="D879" s="23"/>
      <c r="H879" s="22"/>
      <c r="L879" s="22"/>
      <c r="P879" s="22"/>
      <c r="Q879" s="22"/>
      <c r="R879" s="22"/>
      <c r="S879" s="22"/>
    </row>
    <row r="880" spans="1:19" x14ac:dyDescent="0.2">
      <c r="A880" s="22"/>
      <c r="B880" s="22"/>
      <c r="C880" s="22"/>
      <c r="D880" s="23"/>
      <c r="H880" s="22"/>
      <c r="L880" s="22"/>
      <c r="P880" s="22"/>
      <c r="Q880" s="22"/>
      <c r="R880" s="22"/>
      <c r="S880" s="22"/>
    </row>
    <row r="881" spans="1:19" x14ac:dyDescent="0.2">
      <c r="A881" s="22"/>
      <c r="B881" s="22"/>
      <c r="C881" s="22"/>
      <c r="D881" s="23"/>
      <c r="H881" s="22"/>
      <c r="L881" s="22"/>
      <c r="P881" s="22"/>
      <c r="Q881" s="22"/>
      <c r="R881" s="22"/>
      <c r="S881" s="22"/>
    </row>
    <row r="882" spans="1:19" x14ac:dyDescent="0.2">
      <c r="A882" s="22"/>
      <c r="B882" s="22"/>
      <c r="C882" s="22"/>
      <c r="D882" s="23"/>
      <c r="H882" s="22"/>
      <c r="L882" s="22"/>
      <c r="P882" s="22"/>
      <c r="Q882" s="22"/>
      <c r="R882" s="22"/>
      <c r="S882" s="22"/>
    </row>
    <row r="883" spans="1:19" x14ac:dyDescent="0.2">
      <c r="A883" s="22"/>
      <c r="B883" s="22"/>
      <c r="C883" s="22"/>
      <c r="D883" s="23"/>
      <c r="H883" s="22"/>
      <c r="L883" s="22"/>
      <c r="P883" s="22"/>
      <c r="Q883" s="22"/>
      <c r="R883" s="22"/>
      <c r="S883" s="22"/>
    </row>
    <row r="884" spans="1:19" x14ac:dyDescent="0.2">
      <c r="A884" s="22"/>
      <c r="B884" s="22"/>
      <c r="C884" s="22"/>
      <c r="D884" s="23"/>
      <c r="H884" s="22"/>
      <c r="L884" s="22"/>
      <c r="P884" s="22"/>
      <c r="Q884" s="22"/>
      <c r="R884" s="22"/>
      <c r="S884" s="22"/>
    </row>
    <row r="885" spans="1:19" x14ac:dyDescent="0.2">
      <c r="A885" s="22"/>
      <c r="B885" s="22"/>
      <c r="C885" s="22"/>
      <c r="D885" s="23"/>
      <c r="H885" s="22"/>
      <c r="L885" s="22"/>
      <c r="P885" s="22"/>
      <c r="Q885" s="22"/>
      <c r="R885" s="22"/>
      <c r="S885" s="22"/>
    </row>
    <row r="886" spans="1:19" x14ac:dyDescent="0.2">
      <c r="A886" s="22"/>
      <c r="B886" s="22"/>
      <c r="C886" s="22"/>
      <c r="D886" s="23"/>
      <c r="H886" s="22"/>
      <c r="L886" s="22"/>
      <c r="P886" s="22"/>
      <c r="Q886" s="22"/>
      <c r="R886" s="22"/>
      <c r="S886" s="22"/>
    </row>
    <row r="887" spans="1:19" x14ac:dyDescent="0.2">
      <c r="A887" s="22"/>
      <c r="B887" s="22"/>
      <c r="C887" s="22"/>
      <c r="D887" s="23"/>
      <c r="H887" s="22"/>
      <c r="L887" s="22"/>
      <c r="P887" s="22"/>
      <c r="Q887" s="22"/>
      <c r="R887" s="22"/>
      <c r="S887" s="22"/>
    </row>
    <row r="888" spans="1:19" x14ac:dyDescent="0.2">
      <c r="A888" s="22"/>
      <c r="B888" s="22"/>
      <c r="C888" s="22"/>
      <c r="D888" s="23"/>
      <c r="H888" s="22"/>
      <c r="L888" s="22"/>
      <c r="P888" s="22"/>
      <c r="Q888" s="22"/>
      <c r="R888" s="22"/>
      <c r="S888" s="22"/>
    </row>
    <row r="889" spans="1:19" x14ac:dyDescent="0.2">
      <c r="A889" s="22"/>
      <c r="B889" s="22"/>
      <c r="C889" s="22"/>
      <c r="D889" s="23"/>
      <c r="H889" s="22"/>
      <c r="L889" s="22"/>
      <c r="P889" s="22"/>
      <c r="Q889" s="22"/>
      <c r="R889" s="22"/>
      <c r="S889" s="22"/>
    </row>
    <row r="890" spans="1:19" x14ac:dyDescent="0.2">
      <c r="A890" s="22"/>
      <c r="B890" s="22"/>
      <c r="C890" s="22"/>
      <c r="D890" s="23"/>
      <c r="H890" s="22"/>
      <c r="L890" s="22"/>
      <c r="P890" s="22"/>
      <c r="Q890" s="22"/>
      <c r="R890" s="22"/>
      <c r="S890" s="22"/>
    </row>
    <row r="891" spans="1:19" x14ac:dyDescent="0.2">
      <c r="A891" s="22"/>
      <c r="B891" s="22"/>
      <c r="C891" s="22"/>
      <c r="D891" s="23"/>
      <c r="H891" s="22"/>
      <c r="L891" s="22"/>
      <c r="P891" s="22"/>
      <c r="Q891" s="22"/>
      <c r="R891" s="22"/>
      <c r="S891" s="22"/>
    </row>
    <row r="892" spans="1:19" x14ac:dyDescent="0.2">
      <c r="A892" s="22"/>
      <c r="B892" s="22"/>
      <c r="C892" s="22"/>
      <c r="D892" s="23"/>
      <c r="H892" s="22"/>
      <c r="L892" s="22"/>
      <c r="P892" s="22"/>
      <c r="Q892" s="22"/>
      <c r="R892" s="22"/>
      <c r="S892" s="22"/>
    </row>
    <row r="893" spans="1:19" x14ac:dyDescent="0.2">
      <c r="A893" s="22"/>
      <c r="B893" s="22"/>
      <c r="C893" s="22"/>
      <c r="D893" s="23"/>
      <c r="H893" s="22"/>
      <c r="L893" s="22"/>
      <c r="P893" s="22"/>
      <c r="Q893" s="22"/>
      <c r="R893" s="22"/>
      <c r="S893" s="22"/>
    </row>
    <row r="894" spans="1:19" x14ac:dyDescent="0.2">
      <c r="A894" s="22"/>
      <c r="B894" s="22"/>
      <c r="C894" s="22"/>
      <c r="D894" s="23"/>
      <c r="H894" s="22"/>
      <c r="L894" s="22"/>
      <c r="P894" s="22"/>
      <c r="Q894" s="22"/>
      <c r="R894" s="22"/>
      <c r="S894" s="22"/>
    </row>
    <row r="895" spans="1:19" x14ac:dyDescent="0.2">
      <c r="A895" s="22"/>
      <c r="B895" s="22"/>
      <c r="C895" s="22"/>
      <c r="D895" s="23"/>
      <c r="H895" s="22"/>
      <c r="L895" s="22"/>
      <c r="P895" s="22"/>
      <c r="Q895" s="22"/>
      <c r="R895" s="22"/>
      <c r="S895" s="22"/>
    </row>
    <row r="896" spans="1:19" x14ac:dyDescent="0.2">
      <c r="A896" s="22"/>
      <c r="B896" s="22"/>
      <c r="C896" s="22"/>
      <c r="D896" s="23"/>
      <c r="H896" s="22"/>
      <c r="L896" s="22"/>
      <c r="P896" s="22"/>
      <c r="Q896" s="22"/>
      <c r="R896" s="22"/>
      <c r="S896" s="22"/>
    </row>
    <row r="897" spans="1:19" x14ac:dyDescent="0.2">
      <c r="A897" s="22"/>
      <c r="B897" s="22"/>
      <c r="C897" s="22"/>
      <c r="D897" s="23"/>
      <c r="H897" s="22"/>
      <c r="L897" s="22"/>
      <c r="P897" s="22"/>
      <c r="Q897" s="22"/>
      <c r="R897" s="22"/>
      <c r="S897" s="22"/>
    </row>
    <row r="898" spans="1:19" x14ac:dyDescent="0.2">
      <c r="A898" s="22"/>
      <c r="B898" s="22"/>
      <c r="C898" s="22"/>
      <c r="D898" s="23"/>
      <c r="H898" s="22"/>
      <c r="L898" s="22"/>
      <c r="P898" s="22"/>
      <c r="Q898" s="22"/>
      <c r="R898" s="22"/>
      <c r="S898" s="22"/>
    </row>
    <row r="899" spans="1:19" x14ac:dyDescent="0.2">
      <c r="A899" s="22"/>
      <c r="B899" s="22"/>
      <c r="C899" s="22"/>
      <c r="D899" s="23"/>
      <c r="H899" s="22"/>
      <c r="L899" s="22"/>
      <c r="P899" s="22"/>
      <c r="Q899" s="22"/>
      <c r="R899" s="22"/>
      <c r="S899" s="22"/>
    </row>
    <row r="900" spans="1:19" x14ac:dyDescent="0.2">
      <c r="A900" s="22"/>
      <c r="B900" s="22"/>
      <c r="C900" s="22"/>
      <c r="D900" s="23"/>
      <c r="H900" s="22"/>
      <c r="L900" s="22"/>
      <c r="P900" s="22"/>
      <c r="Q900" s="22"/>
      <c r="R900" s="22"/>
      <c r="S900" s="22"/>
    </row>
    <row r="901" spans="1:19" x14ac:dyDescent="0.2">
      <c r="A901" s="22"/>
      <c r="B901" s="22"/>
      <c r="C901" s="22"/>
      <c r="D901" s="23"/>
      <c r="H901" s="22"/>
      <c r="L901" s="22"/>
      <c r="P901" s="22"/>
      <c r="Q901" s="22"/>
      <c r="R901" s="22"/>
      <c r="S901" s="22"/>
    </row>
    <row r="902" spans="1:19" x14ac:dyDescent="0.2">
      <c r="A902" s="22"/>
      <c r="B902" s="22"/>
      <c r="C902" s="22"/>
      <c r="D902" s="23"/>
      <c r="H902" s="22"/>
      <c r="L902" s="22"/>
      <c r="P902" s="22"/>
      <c r="Q902" s="22"/>
      <c r="R902" s="22"/>
      <c r="S902" s="22"/>
    </row>
    <row r="903" spans="1:19" x14ac:dyDescent="0.2">
      <c r="A903" s="22"/>
      <c r="B903" s="22"/>
      <c r="C903" s="22"/>
      <c r="D903" s="23"/>
      <c r="H903" s="22"/>
      <c r="L903" s="22"/>
      <c r="P903" s="22"/>
      <c r="Q903" s="22"/>
      <c r="R903" s="22"/>
      <c r="S903" s="22"/>
    </row>
    <row r="904" spans="1:19" x14ac:dyDescent="0.2">
      <c r="A904" s="22"/>
      <c r="B904" s="22"/>
      <c r="C904" s="22"/>
      <c r="D904" s="23"/>
      <c r="H904" s="22"/>
      <c r="L904" s="22"/>
      <c r="P904" s="22"/>
      <c r="Q904" s="22"/>
      <c r="R904" s="22"/>
      <c r="S904" s="22"/>
    </row>
    <row r="905" spans="1:19" x14ac:dyDescent="0.2">
      <c r="A905" s="22"/>
      <c r="B905" s="22"/>
      <c r="C905" s="22"/>
      <c r="D905" s="23"/>
      <c r="H905" s="22"/>
      <c r="L905" s="22"/>
      <c r="P905" s="22"/>
      <c r="Q905" s="22"/>
      <c r="R905" s="22"/>
      <c r="S905" s="22"/>
    </row>
    <row r="906" spans="1:19" x14ac:dyDescent="0.2">
      <c r="A906" s="22"/>
      <c r="B906" s="22"/>
      <c r="C906" s="22"/>
      <c r="D906" s="23"/>
      <c r="H906" s="22"/>
      <c r="L906" s="22"/>
      <c r="P906" s="22"/>
      <c r="Q906" s="22"/>
      <c r="R906" s="22"/>
      <c r="S906" s="22"/>
    </row>
    <row r="907" spans="1:19" x14ac:dyDescent="0.2">
      <c r="A907" s="22"/>
      <c r="B907" s="22"/>
      <c r="C907" s="22"/>
      <c r="D907" s="23"/>
      <c r="H907" s="22"/>
      <c r="L907" s="22"/>
      <c r="P907" s="22"/>
      <c r="Q907" s="22"/>
      <c r="R907" s="22"/>
      <c r="S907" s="22"/>
    </row>
    <row r="908" spans="1:19" x14ac:dyDescent="0.2">
      <c r="A908" s="22"/>
      <c r="B908" s="22"/>
      <c r="C908" s="22"/>
      <c r="D908" s="23"/>
      <c r="H908" s="22"/>
      <c r="L908" s="22"/>
      <c r="P908" s="22"/>
      <c r="Q908" s="22"/>
      <c r="R908" s="22"/>
      <c r="S908" s="22"/>
    </row>
    <row r="909" spans="1:19" x14ac:dyDescent="0.2">
      <c r="A909" s="22"/>
      <c r="B909" s="22"/>
      <c r="C909" s="22"/>
      <c r="D909" s="23"/>
      <c r="H909" s="22"/>
      <c r="L909" s="22"/>
      <c r="P909" s="22"/>
      <c r="Q909" s="22"/>
      <c r="R909" s="22"/>
      <c r="S909" s="22"/>
    </row>
    <row r="910" spans="1:19" x14ac:dyDescent="0.2">
      <c r="A910" s="22"/>
      <c r="B910" s="22"/>
      <c r="C910" s="22"/>
      <c r="D910" s="23"/>
      <c r="H910" s="22"/>
      <c r="L910" s="22"/>
      <c r="P910" s="22"/>
      <c r="Q910" s="22"/>
      <c r="R910" s="22"/>
      <c r="S910" s="22"/>
    </row>
    <row r="911" spans="1:19" x14ac:dyDescent="0.2">
      <c r="A911" s="22"/>
      <c r="B911" s="22"/>
      <c r="C911" s="22"/>
      <c r="D911" s="23"/>
      <c r="H911" s="22"/>
      <c r="L911" s="22"/>
      <c r="P911" s="22"/>
      <c r="Q911" s="22"/>
      <c r="R911" s="22"/>
      <c r="S911" s="22"/>
    </row>
    <row r="912" spans="1:19" x14ac:dyDescent="0.2">
      <c r="A912" s="22"/>
      <c r="B912" s="22"/>
      <c r="C912" s="22"/>
      <c r="D912" s="23"/>
      <c r="H912" s="22"/>
      <c r="L912" s="22"/>
      <c r="P912" s="22"/>
      <c r="Q912" s="22"/>
      <c r="R912" s="22"/>
      <c r="S912" s="22"/>
    </row>
    <row r="913" spans="1:19" x14ac:dyDescent="0.2">
      <c r="A913" s="22"/>
      <c r="B913" s="22"/>
      <c r="C913" s="22"/>
      <c r="D913" s="23"/>
      <c r="H913" s="22"/>
      <c r="L913" s="22"/>
      <c r="P913" s="22"/>
      <c r="Q913" s="22"/>
      <c r="R913" s="22"/>
      <c r="S913" s="22"/>
    </row>
    <row r="914" spans="1:19" x14ac:dyDescent="0.2">
      <c r="A914" s="22"/>
      <c r="B914" s="22"/>
      <c r="C914" s="22"/>
      <c r="D914" s="23"/>
      <c r="H914" s="22"/>
      <c r="L914" s="22"/>
      <c r="P914" s="22"/>
      <c r="Q914" s="22"/>
      <c r="R914" s="22"/>
      <c r="S914" s="22"/>
    </row>
    <row r="915" spans="1:19" x14ac:dyDescent="0.2">
      <c r="A915" s="22"/>
      <c r="B915" s="22"/>
      <c r="C915" s="22"/>
      <c r="D915" s="23"/>
      <c r="H915" s="22"/>
      <c r="L915" s="22"/>
      <c r="P915" s="22"/>
      <c r="Q915" s="22"/>
      <c r="R915" s="22"/>
      <c r="S915" s="22"/>
    </row>
    <row r="916" spans="1:19" x14ac:dyDescent="0.2">
      <c r="A916" s="22"/>
      <c r="B916" s="22"/>
      <c r="C916" s="22"/>
      <c r="D916" s="23"/>
      <c r="H916" s="22"/>
      <c r="L916" s="22"/>
      <c r="P916" s="22"/>
      <c r="Q916" s="22"/>
      <c r="R916" s="22"/>
      <c r="S916" s="22"/>
    </row>
    <row r="917" spans="1:19" x14ac:dyDescent="0.2">
      <c r="A917" s="22"/>
      <c r="B917" s="22"/>
      <c r="C917" s="22"/>
      <c r="D917" s="23"/>
      <c r="H917" s="22"/>
      <c r="L917" s="22"/>
      <c r="P917" s="22"/>
      <c r="Q917" s="22"/>
      <c r="R917" s="22"/>
      <c r="S917" s="22"/>
    </row>
    <row r="918" spans="1:19" x14ac:dyDescent="0.2">
      <c r="A918" s="22"/>
      <c r="B918" s="22"/>
      <c r="C918" s="22"/>
      <c r="D918" s="23"/>
      <c r="H918" s="22"/>
      <c r="L918" s="22"/>
      <c r="P918" s="22"/>
      <c r="Q918" s="22"/>
      <c r="R918" s="22"/>
      <c r="S918" s="22"/>
    </row>
    <row r="919" spans="1:19" x14ac:dyDescent="0.2">
      <c r="A919" s="22"/>
      <c r="B919" s="22"/>
      <c r="C919" s="22"/>
      <c r="D919" s="23"/>
      <c r="H919" s="22"/>
      <c r="L919" s="22"/>
      <c r="P919" s="22"/>
      <c r="Q919" s="22"/>
      <c r="R919" s="22"/>
      <c r="S919" s="22"/>
    </row>
    <row r="920" spans="1:19" x14ac:dyDescent="0.2">
      <c r="A920" s="22"/>
      <c r="B920" s="22"/>
      <c r="C920" s="22"/>
      <c r="D920" s="23"/>
      <c r="H920" s="22"/>
      <c r="L920" s="22"/>
      <c r="P920" s="22"/>
      <c r="Q920" s="22"/>
      <c r="R920" s="22"/>
      <c r="S920" s="22"/>
    </row>
    <row r="921" spans="1:19" x14ac:dyDescent="0.2">
      <c r="A921" s="22"/>
      <c r="B921" s="22"/>
      <c r="C921" s="22"/>
      <c r="D921" s="23"/>
      <c r="H921" s="22"/>
      <c r="L921" s="22"/>
      <c r="P921" s="22"/>
      <c r="Q921" s="22"/>
      <c r="R921" s="22"/>
      <c r="S921" s="22"/>
    </row>
    <row r="922" spans="1:19" x14ac:dyDescent="0.2">
      <c r="A922" s="22"/>
      <c r="B922" s="22"/>
      <c r="C922" s="22"/>
      <c r="D922" s="23"/>
      <c r="H922" s="22"/>
      <c r="L922" s="22"/>
      <c r="P922" s="22"/>
      <c r="Q922" s="22"/>
      <c r="R922" s="22"/>
      <c r="S922" s="22"/>
    </row>
    <row r="923" spans="1:19" x14ac:dyDescent="0.2">
      <c r="A923" s="22"/>
      <c r="B923" s="22"/>
      <c r="C923" s="22"/>
      <c r="D923" s="23"/>
      <c r="H923" s="22"/>
      <c r="L923" s="22"/>
      <c r="P923" s="22"/>
      <c r="Q923" s="22"/>
      <c r="R923" s="22"/>
      <c r="S923" s="22"/>
    </row>
    <row r="924" spans="1:19" x14ac:dyDescent="0.2">
      <c r="A924" s="22"/>
      <c r="B924" s="22"/>
      <c r="C924" s="22"/>
      <c r="D924" s="23"/>
      <c r="H924" s="22"/>
      <c r="L924" s="22"/>
      <c r="P924" s="22"/>
      <c r="Q924" s="22"/>
      <c r="R924" s="22"/>
      <c r="S924" s="22"/>
    </row>
    <row r="925" spans="1:19" x14ac:dyDescent="0.2">
      <c r="A925" s="22"/>
      <c r="B925" s="22"/>
      <c r="C925" s="22"/>
      <c r="D925" s="23"/>
      <c r="H925" s="22"/>
      <c r="L925" s="22"/>
      <c r="P925" s="22"/>
      <c r="Q925" s="22"/>
      <c r="R925" s="22"/>
      <c r="S925" s="22"/>
    </row>
    <row r="926" spans="1:19" x14ac:dyDescent="0.2">
      <c r="A926" s="22"/>
      <c r="B926" s="22"/>
      <c r="C926" s="22"/>
      <c r="D926" s="23"/>
      <c r="H926" s="22"/>
      <c r="L926" s="22"/>
      <c r="P926" s="22"/>
      <c r="Q926" s="22"/>
      <c r="R926" s="22"/>
      <c r="S926" s="22"/>
    </row>
    <row r="927" spans="1:19" x14ac:dyDescent="0.2">
      <c r="A927" s="22"/>
      <c r="B927" s="22"/>
      <c r="C927" s="22"/>
      <c r="D927" s="23"/>
      <c r="H927" s="22"/>
      <c r="L927" s="22"/>
      <c r="P927" s="22"/>
      <c r="Q927" s="22"/>
      <c r="R927" s="22"/>
      <c r="S927" s="22"/>
    </row>
    <row r="928" spans="1:19" x14ac:dyDescent="0.2">
      <c r="A928" s="22"/>
      <c r="B928" s="22"/>
      <c r="C928" s="22"/>
      <c r="D928" s="23"/>
      <c r="H928" s="22"/>
      <c r="L928" s="22"/>
      <c r="P928" s="22"/>
      <c r="Q928" s="22"/>
      <c r="R928" s="22"/>
      <c r="S928" s="22"/>
    </row>
    <row r="929" spans="1:19" x14ac:dyDescent="0.2">
      <c r="A929" s="22"/>
      <c r="B929" s="22"/>
      <c r="C929" s="22"/>
      <c r="D929" s="23"/>
      <c r="H929" s="22"/>
      <c r="L929" s="22"/>
      <c r="P929" s="22"/>
      <c r="Q929" s="22"/>
      <c r="R929" s="22"/>
      <c r="S929" s="22"/>
    </row>
    <row r="930" spans="1:19" x14ac:dyDescent="0.2">
      <c r="A930" s="22"/>
      <c r="B930" s="22"/>
      <c r="C930" s="22"/>
      <c r="D930" s="23"/>
      <c r="H930" s="22"/>
      <c r="L930" s="22"/>
      <c r="P930" s="22"/>
      <c r="Q930" s="22"/>
      <c r="R930" s="22"/>
      <c r="S930" s="22"/>
    </row>
    <row r="931" spans="1:19" x14ac:dyDescent="0.2">
      <c r="A931" s="22"/>
      <c r="B931" s="22"/>
      <c r="C931" s="22"/>
      <c r="D931" s="23"/>
      <c r="H931" s="22"/>
      <c r="L931" s="22"/>
      <c r="P931" s="22"/>
      <c r="Q931" s="22"/>
      <c r="R931" s="22"/>
      <c r="S931" s="22"/>
    </row>
    <row r="932" spans="1:19" x14ac:dyDescent="0.2">
      <c r="A932" s="22"/>
      <c r="B932" s="22"/>
      <c r="C932" s="22"/>
      <c r="D932" s="23"/>
      <c r="H932" s="22"/>
      <c r="L932" s="22"/>
      <c r="P932" s="22"/>
      <c r="Q932" s="22"/>
      <c r="R932" s="22"/>
      <c r="S932" s="22"/>
    </row>
    <row r="933" spans="1:19" x14ac:dyDescent="0.2">
      <c r="A933" s="22"/>
      <c r="B933" s="22"/>
      <c r="C933" s="22"/>
      <c r="D933" s="23"/>
      <c r="H933" s="22"/>
      <c r="L933" s="22"/>
      <c r="P933" s="22"/>
      <c r="Q933" s="22"/>
      <c r="R933" s="22"/>
      <c r="S933" s="22"/>
    </row>
    <row r="934" spans="1:19" x14ac:dyDescent="0.2">
      <c r="A934" s="22"/>
      <c r="B934" s="22"/>
      <c r="C934" s="22"/>
      <c r="D934" s="23"/>
      <c r="H934" s="22"/>
      <c r="L934" s="22"/>
      <c r="P934" s="22"/>
      <c r="Q934" s="22"/>
      <c r="R934" s="22"/>
      <c r="S934" s="22"/>
    </row>
    <row r="935" spans="1:19" x14ac:dyDescent="0.2">
      <c r="A935" s="22"/>
      <c r="B935" s="22"/>
      <c r="C935" s="22"/>
      <c r="D935" s="23"/>
      <c r="H935" s="22"/>
      <c r="L935" s="22"/>
      <c r="P935" s="22"/>
      <c r="Q935" s="22"/>
      <c r="R935" s="22"/>
      <c r="S935" s="22"/>
    </row>
    <row r="936" spans="1:19" x14ac:dyDescent="0.2">
      <c r="A936" s="22"/>
      <c r="B936" s="22"/>
      <c r="C936" s="22"/>
      <c r="D936" s="23"/>
      <c r="H936" s="22"/>
      <c r="L936" s="22"/>
      <c r="P936" s="22"/>
      <c r="Q936" s="22"/>
      <c r="R936" s="22"/>
      <c r="S936" s="22"/>
    </row>
    <row r="937" spans="1:19" x14ac:dyDescent="0.2">
      <c r="A937" s="22"/>
      <c r="B937" s="22"/>
      <c r="C937" s="22"/>
      <c r="D937" s="23"/>
      <c r="H937" s="22"/>
      <c r="L937" s="22"/>
      <c r="P937" s="22"/>
      <c r="Q937" s="22"/>
      <c r="R937" s="22"/>
      <c r="S937" s="22"/>
    </row>
    <row r="938" spans="1:19" x14ac:dyDescent="0.2">
      <c r="A938" s="22"/>
      <c r="B938" s="22"/>
      <c r="C938" s="22"/>
      <c r="D938" s="23"/>
      <c r="H938" s="22"/>
      <c r="L938" s="22"/>
      <c r="P938" s="22"/>
      <c r="Q938" s="22"/>
      <c r="R938" s="22"/>
      <c r="S938" s="22"/>
    </row>
    <row r="939" spans="1:19" x14ac:dyDescent="0.2">
      <c r="A939" s="22"/>
      <c r="B939" s="22"/>
      <c r="C939" s="22"/>
      <c r="D939" s="23"/>
      <c r="H939" s="22"/>
      <c r="L939" s="22"/>
      <c r="P939" s="22"/>
      <c r="Q939" s="22"/>
      <c r="R939" s="22"/>
      <c r="S939" s="22"/>
    </row>
    <row r="940" spans="1:19" x14ac:dyDescent="0.2">
      <c r="A940" s="22"/>
      <c r="B940" s="22"/>
      <c r="C940" s="22"/>
      <c r="D940" s="23"/>
      <c r="H940" s="22"/>
      <c r="L940" s="22"/>
      <c r="P940" s="22"/>
      <c r="Q940" s="22"/>
      <c r="R940" s="22"/>
      <c r="S940" s="22"/>
    </row>
    <row r="941" spans="1:19" x14ac:dyDescent="0.2">
      <c r="A941" s="22"/>
      <c r="B941" s="22"/>
      <c r="C941" s="22"/>
      <c r="D941" s="23"/>
      <c r="H941" s="22"/>
      <c r="L941" s="22"/>
      <c r="P941" s="22"/>
      <c r="Q941" s="22"/>
      <c r="R941" s="22"/>
      <c r="S941" s="22"/>
    </row>
    <row r="942" spans="1:19" x14ac:dyDescent="0.2">
      <c r="A942" s="22"/>
      <c r="B942" s="22"/>
      <c r="C942" s="22"/>
      <c r="D942" s="23"/>
      <c r="H942" s="22"/>
      <c r="L942" s="22"/>
      <c r="P942" s="22"/>
      <c r="Q942" s="22"/>
      <c r="R942" s="22"/>
      <c r="S942" s="22"/>
    </row>
    <row r="943" spans="1:19" x14ac:dyDescent="0.2">
      <c r="A943" s="22"/>
      <c r="B943" s="22"/>
      <c r="C943" s="22"/>
      <c r="D943" s="23"/>
      <c r="H943" s="22"/>
      <c r="L943" s="22"/>
      <c r="P943" s="22"/>
      <c r="Q943" s="22"/>
      <c r="R943" s="22"/>
      <c r="S943" s="22"/>
    </row>
    <row r="944" spans="1:19" x14ac:dyDescent="0.2">
      <c r="A944" s="22"/>
      <c r="B944" s="22"/>
      <c r="C944" s="22"/>
      <c r="D944" s="23"/>
      <c r="H944" s="22"/>
      <c r="L944" s="22"/>
      <c r="P944" s="22"/>
      <c r="Q944" s="22"/>
      <c r="R944" s="22"/>
      <c r="S944" s="22"/>
    </row>
    <row r="945" spans="1:19" x14ac:dyDescent="0.2">
      <c r="A945" s="22"/>
      <c r="B945" s="22"/>
      <c r="C945" s="22"/>
      <c r="D945" s="23"/>
      <c r="H945" s="22"/>
      <c r="L945" s="22"/>
      <c r="P945" s="22"/>
      <c r="Q945" s="22"/>
      <c r="R945" s="22"/>
      <c r="S945" s="22"/>
    </row>
    <row r="946" spans="1:19" x14ac:dyDescent="0.2">
      <c r="A946" s="22"/>
      <c r="B946" s="22"/>
      <c r="C946" s="22"/>
      <c r="D946" s="23"/>
      <c r="H946" s="22"/>
      <c r="L946" s="22"/>
      <c r="P946" s="22"/>
      <c r="Q946" s="22"/>
      <c r="R946" s="22"/>
      <c r="S946" s="22"/>
    </row>
    <row r="947" spans="1:19" x14ac:dyDescent="0.2">
      <c r="A947" s="22"/>
      <c r="B947" s="22"/>
      <c r="C947" s="22"/>
      <c r="D947" s="23"/>
      <c r="H947" s="22"/>
      <c r="L947" s="22"/>
      <c r="P947" s="22"/>
      <c r="Q947" s="22"/>
      <c r="R947" s="22"/>
      <c r="S947" s="22"/>
    </row>
    <row r="948" spans="1:19" x14ac:dyDescent="0.2">
      <c r="A948" s="22"/>
      <c r="B948" s="22"/>
      <c r="C948" s="22"/>
      <c r="D948" s="23"/>
      <c r="H948" s="22"/>
      <c r="L948" s="22"/>
      <c r="P948" s="22"/>
      <c r="Q948" s="22"/>
      <c r="R948" s="22"/>
      <c r="S948" s="22"/>
    </row>
    <row r="949" spans="1:19" x14ac:dyDescent="0.2">
      <c r="A949" s="22"/>
      <c r="B949" s="22"/>
      <c r="C949" s="22"/>
      <c r="D949" s="23"/>
      <c r="H949" s="22"/>
      <c r="L949" s="22"/>
      <c r="P949" s="22"/>
      <c r="Q949" s="22"/>
      <c r="R949" s="22"/>
      <c r="S949" s="22"/>
    </row>
    <row r="950" spans="1:19" x14ac:dyDescent="0.2">
      <c r="A950" s="22"/>
      <c r="B950" s="22"/>
      <c r="C950" s="22"/>
      <c r="D950" s="23"/>
      <c r="H950" s="22"/>
      <c r="L950" s="22"/>
      <c r="P950" s="22"/>
      <c r="Q950" s="22"/>
      <c r="R950" s="22"/>
      <c r="S950" s="22"/>
    </row>
    <row r="951" spans="1:19" x14ac:dyDescent="0.2">
      <c r="A951" s="22"/>
      <c r="B951" s="22"/>
      <c r="C951" s="22"/>
      <c r="D951" s="23"/>
      <c r="H951" s="22"/>
      <c r="L951" s="22"/>
      <c r="P951" s="22"/>
      <c r="Q951" s="22"/>
      <c r="R951" s="22"/>
      <c r="S951" s="22"/>
    </row>
    <row r="952" spans="1:19" x14ac:dyDescent="0.2">
      <c r="A952" s="22"/>
      <c r="B952" s="22"/>
      <c r="C952" s="22"/>
      <c r="D952" s="23"/>
      <c r="H952" s="22"/>
      <c r="L952" s="22"/>
      <c r="P952" s="22"/>
      <c r="Q952" s="22"/>
      <c r="R952" s="22"/>
      <c r="S952" s="22"/>
    </row>
    <row r="953" spans="1:19" x14ac:dyDescent="0.2">
      <c r="A953" s="22"/>
      <c r="B953" s="22"/>
      <c r="C953" s="22"/>
      <c r="D953" s="23"/>
      <c r="H953" s="22"/>
      <c r="L953" s="22"/>
      <c r="P953" s="22"/>
      <c r="Q953" s="22"/>
      <c r="R953" s="22"/>
      <c r="S953" s="22"/>
    </row>
    <row r="954" spans="1:19" x14ac:dyDescent="0.2">
      <c r="A954" s="22"/>
      <c r="B954" s="22"/>
      <c r="C954" s="22"/>
      <c r="D954" s="23"/>
      <c r="H954" s="22"/>
      <c r="L954" s="22"/>
      <c r="P954" s="22"/>
      <c r="Q954" s="22"/>
      <c r="R954" s="22"/>
      <c r="S954" s="22"/>
    </row>
    <row r="955" spans="1:19" x14ac:dyDescent="0.2">
      <c r="A955" s="22"/>
      <c r="B955" s="22"/>
      <c r="C955" s="22"/>
      <c r="D955" s="23"/>
      <c r="H955" s="22"/>
      <c r="L955" s="22"/>
      <c r="P955" s="22"/>
      <c r="Q955" s="22"/>
      <c r="R955" s="22"/>
      <c r="S955" s="22"/>
    </row>
    <row r="956" spans="1:19" x14ac:dyDescent="0.2">
      <c r="A956" s="22"/>
      <c r="B956" s="22"/>
      <c r="C956" s="22"/>
      <c r="D956" s="23"/>
      <c r="H956" s="22"/>
      <c r="L956" s="22"/>
      <c r="P956" s="22"/>
      <c r="Q956" s="22"/>
      <c r="R956" s="22"/>
      <c r="S956" s="22"/>
    </row>
    <row r="957" spans="1:19" x14ac:dyDescent="0.2">
      <c r="A957" s="22"/>
      <c r="B957" s="22"/>
      <c r="C957" s="22"/>
      <c r="D957" s="23"/>
      <c r="H957" s="22"/>
      <c r="L957" s="22"/>
      <c r="P957" s="22"/>
      <c r="Q957" s="22"/>
      <c r="R957" s="22"/>
      <c r="S957" s="22"/>
    </row>
    <row r="958" spans="1:19" x14ac:dyDescent="0.2">
      <c r="A958" s="22"/>
      <c r="B958" s="22"/>
      <c r="C958" s="22"/>
      <c r="D958" s="23"/>
      <c r="H958" s="22"/>
      <c r="L958" s="22"/>
      <c r="P958" s="22"/>
      <c r="Q958" s="22"/>
      <c r="R958" s="22"/>
      <c r="S958" s="22"/>
    </row>
    <row r="959" spans="1:19" x14ac:dyDescent="0.2">
      <c r="A959" s="22"/>
      <c r="B959" s="22"/>
      <c r="C959" s="22"/>
      <c r="D959" s="23"/>
      <c r="H959" s="22"/>
      <c r="L959" s="22"/>
      <c r="P959" s="22"/>
      <c r="Q959" s="22"/>
      <c r="R959" s="22"/>
      <c r="S959" s="22"/>
    </row>
    <row r="960" spans="1:19" x14ac:dyDescent="0.2">
      <c r="A960" s="22"/>
      <c r="B960" s="22"/>
      <c r="C960" s="22"/>
      <c r="D960" s="23"/>
      <c r="H960" s="22"/>
      <c r="L960" s="22"/>
      <c r="P960" s="22"/>
      <c r="Q960" s="22"/>
      <c r="R960" s="22"/>
      <c r="S960" s="22"/>
    </row>
    <row r="961" spans="1:19" x14ac:dyDescent="0.2">
      <c r="A961" s="22"/>
      <c r="B961" s="22"/>
      <c r="C961" s="22"/>
      <c r="D961" s="23"/>
      <c r="H961" s="22"/>
      <c r="L961" s="22"/>
      <c r="P961" s="22"/>
      <c r="Q961" s="22"/>
      <c r="R961" s="22"/>
      <c r="S961" s="22"/>
    </row>
    <row r="962" spans="1:19" x14ac:dyDescent="0.2">
      <c r="A962" s="22"/>
      <c r="B962" s="22"/>
      <c r="C962" s="22"/>
      <c r="D962" s="23"/>
      <c r="H962" s="22"/>
      <c r="L962" s="22"/>
      <c r="P962" s="22"/>
      <c r="Q962" s="22"/>
      <c r="R962" s="22"/>
      <c r="S962" s="22"/>
    </row>
    <row r="963" spans="1:19" x14ac:dyDescent="0.2">
      <c r="A963" s="22"/>
      <c r="B963" s="22"/>
      <c r="C963" s="22"/>
      <c r="D963" s="23"/>
      <c r="H963" s="22"/>
      <c r="L963" s="22"/>
      <c r="P963" s="22"/>
      <c r="Q963" s="22"/>
      <c r="R963" s="22"/>
      <c r="S963" s="22"/>
    </row>
    <row r="964" spans="1:19" x14ac:dyDescent="0.2">
      <c r="A964" s="22"/>
      <c r="B964" s="22"/>
      <c r="C964" s="22"/>
      <c r="D964" s="23"/>
      <c r="H964" s="22"/>
      <c r="L964" s="22"/>
      <c r="P964" s="22"/>
      <c r="Q964" s="22"/>
      <c r="R964" s="22"/>
      <c r="S964" s="22"/>
    </row>
    <row r="965" spans="1:19" x14ac:dyDescent="0.2">
      <c r="A965" s="22"/>
      <c r="B965" s="22"/>
      <c r="C965" s="22"/>
      <c r="D965" s="23"/>
      <c r="H965" s="22"/>
      <c r="L965" s="22"/>
      <c r="P965" s="22"/>
      <c r="Q965" s="22"/>
      <c r="R965" s="22"/>
      <c r="S965" s="22"/>
    </row>
    <row r="966" spans="1:19" x14ac:dyDescent="0.2">
      <c r="A966" s="22"/>
      <c r="B966" s="22"/>
      <c r="C966" s="22"/>
      <c r="D966" s="23"/>
      <c r="H966" s="22"/>
      <c r="L966" s="22"/>
      <c r="P966" s="22"/>
      <c r="Q966" s="22"/>
      <c r="R966" s="22"/>
      <c r="S966" s="22"/>
    </row>
    <row r="967" spans="1:19" x14ac:dyDescent="0.2">
      <c r="A967" s="22"/>
      <c r="B967" s="22"/>
      <c r="C967" s="22"/>
      <c r="D967" s="23"/>
      <c r="H967" s="22"/>
      <c r="L967" s="22"/>
      <c r="P967" s="22"/>
      <c r="Q967" s="22"/>
      <c r="R967" s="22"/>
      <c r="S967" s="22"/>
    </row>
    <row r="968" spans="1:19" x14ac:dyDescent="0.2">
      <c r="A968" s="22"/>
      <c r="B968" s="22"/>
      <c r="C968" s="22"/>
      <c r="D968" s="23"/>
      <c r="H968" s="22"/>
      <c r="L968" s="22"/>
      <c r="P968" s="22"/>
      <c r="Q968" s="22"/>
      <c r="R968" s="22"/>
      <c r="S968" s="22"/>
    </row>
    <row r="969" spans="1:19" x14ac:dyDescent="0.2">
      <c r="A969" s="22"/>
      <c r="B969" s="22"/>
      <c r="C969" s="22"/>
      <c r="D969" s="23"/>
      <c r="H969" s="22"/>
      <c r="L969" s="22"/>
      <c r="P969" s="22"/>
      <c r="Q969" s="22"/>
      <c r="R969" s="22"/>
      <c r="S969" s="22"/>
    </row>
    <row r="970" spans="1:19" x14ac:dyDescent="0.2">
      <c r="A970" s="22"/>
      <c r="B970" s="22"/>
      <c r="C970" s="22"/>
      <c r="D970" s="23"/>
      <c r="H970" s="22"/>
      <c r="L970" s="22"/>
      <c r="P970" s="22"/>
      <c r="Q970" s="22"/>
      <c r="R970" s="22"/>
      <c r="S970" s="22"/>
    </row>
    <row r="971" spans="1:19" x14ac:dyDescent="0.2">
      <c r="A971" s="22"/>
      <c r="B971" s="22"/>
      <c r="C971" s="22"/>
      <c r="D971" s="23"/>
      <c r="H971" s="22"/>
      <c r="L971" s="22"/>
      <c r="P971" s="22"/>
      <c r="Q971" s="22"/>
      <c r="R971" s="22"/>
      <c r="S971" s="22"/>
    </row>
    <row r="972" spans="1:19" x14ac:dyDescent="0.2">
      <c r="A972" s="22"/>
      <c r="B972" s="22"/>
      <c r="C972" s="22"/>
      <c r="D972" s="23"/>
      <c r="H972" s="22"/>
      <c r="L972" s="22"/>
      <c r="P972" s="22"/>
      <c r="Q972" s="22"/>
      <c r="R972" s="22"/>
      <c r="S972" s="22"/>
    </row>
    <row r="973" spans="1:19" x14ac:dyDescent="0.2">
      <c r="A973" s="22"/>
      <c r="B973" s="22"/>
      <c r="C973" s="22"/>
      <c r="D973" s="23"/>
      <c r="H973" s="22"/>
      <c r="L973" s="22"/>
      <c r="P973" s="22"/>
      <c r="Q973" s="22"/>
      <c r="R973" s="22"/>
      <c r="S973" s="22"/>
    </row>
    <row r="974" spans="1:19" x14ac:dyDescent="0.2">
      <c r="A974" s="22"/>
      <c r="B974" s="22"/>
      <c r="C974" s="22"/>
      <c r="D974" s="23"/>
      <c r="H974" s="22"/>
      <c r="L974" s="22"/>
      <c r="P974" s="22"/>
      <c r="Q974" s="22"/>
      <c r="R974" s="22"/>
      <c r="S974" s="22"/>
    </row>
    <row r="975" spans="1:19" x14ac:dyDescent="0.2">
      <c r="A975" s="22"/>
      <c r="B975" s="22"/>
      <c r="C975" s="22"/>
      <c r="D975" s="23"/>
      <c r="H975" s="22"/>
      <c r="L975" s="22"/>
      <c r="P975" s="22"/>
      <c r="Q975" s="22"/>
      <c r="R975" s="22"/>
      <c r="S975" s="22"/>
    </row>
    <row r="976" spans="1:19" x14ac:dyDescent="0.2">
      <c r="A976" s="22"/>
      <c r="B976" s="22"/>
      <c r="C976" s="22"/>
      <c r="D976" s="23"/>
      <c r="H976" s="22"/>
      <c r="L976" s="22"/>
      <c r="P976" s="22"/>
      <c r="Q976" s="22"/>
      <c r="R976" s="22"/>
      <c r="S976" s="22"/>
    </row>
    <row r="977" spans="1:19" x14ac:dyDescent="0.2">
      <c r="A977" s="22"/>
      <c r="B977" s="22"/>
      <c r="C977" s="22"/>
      <c r="D977" s="23"/>
      <c r="H977" s="22"/>
      <c r="L977" s="22"/>
      <c r="P977" s="22"/>
      <c r="Q977" s="22"/>
      <c r="R977" s="22"/>
      <c r="S977" s="22"/>
    </row>
    <row r="978" spans="1:19" x14ac:dyDescent="0.2">
      <c r="A978" s="22"/>
      <c r="B978" s="22"/>
      <c r="C978" s="22"/>
      <c r="D978" s="23"/>
      <c r="H978" s="22"/>
      <c r="L978" s="22"/>
      <c r="P978" s="22"/>
      <c r="Q978" s="22"/>
      <c r="R978" s="22"/>
      <c r="S978" s="22"/>
    </row>
    <row r="979" spans="1:19" x14ac:dyDescent="0.2">
      <c r="A979" s="22"/>
      <c r="B979" s="22"/>
      <c r="C979" s="22"/>
      <c r="D979" s="23"/>
      <c r="H979" s="22"/>
      <c r="L979" s="22"/>
      <c r="P979" s="22"/>
      <c r="Q979" s="22"/>
      <c r="R979" s="22"/>
      <c r="S979" s="22"/>
    </row>
    <row r="980" spans="1:19" x14ac:dyDescent="0.2">
      <c r="A980" s="22"/>
      <c r="B980" s="22"/>
      <c r="C980" s="22"/>
      <c r="D980" s="23"/>
      <c r="H980" s="22"/>
      <c r="L980" s="22"/>
      <c r="P980" s="22"/>
      <c r="Q980" s="22"/>
      <c r="R980" s="22"/>
      <c r="S980" s="22"/>
    </row>
    <row r="981" spans="1:19" x14ac:dyDescent="0.2">
      <c r="A981" s="22"/>
      <c r="B981" s="22"/>
      <c r="C981" s="22"/>
      <c r="D981" s="23"/>
      <c r="H981" s="22"/>
      <c r="L981" s="22"/>
      <c r="P981" s="22"/>
      <c r="Q981" s="22"/>
      <c r="R981" s="22"/>
      <c r="S981" s="22"/>
    </row>
    <row r="982" spans="1:19" x14ac:dyDescent="0.2">
      <c r="A982" s="22"/>
      <c r="B982" s="22"/>
      <c r="C982" s="22"/>
      <c r="D982" s="23"/>
      <c r="H982" s="22"/>
      <c r="L982" s="22"/>
      <c r="P982" s="22"/>
      <c r="Q982" s="22"/>
      <c r="R982" s="22"/>
      <c r="S982" s="22"/>
    </row>
    <row r="983" spans="1:19" x14ac:dyDescent="0.2">
      <c r="A983" s="22"/>
      <c r="B983" s="22"/>
      <c r="C983" s="22"/>
      <c r="D983" s="23"/>
      <c r="H983" s="22"/>
      <c r="L983" s="22"/>
      <c r="P983" s="22"/>
      <c r="Q983" s="22"/>
      <c r="R983" s="22"/>
      <c r="S983" s="22"/>
    </row>
    <row r="984" spans="1:19" x14ac:dyDescent="0.2">
      <c r="A984" s="22"/>
      <c r="B984" s="22"/>
      <c r="C984" s="22"/>
      <c r="D984" s="23"/>
      <c r="H984" s="22"/>
      <c r="L984" s="22"/>
      <c r="P984" s="22"/>
      <c r="Q984" s="22"/>
      <c r="R984" s="22"/>
      <c r="S984" s="22"/>
    </row>
    <row r="985" spans="1:19" x14ac:dyDescent="0.2">
      <c r="A985" s="22"/>
      <c r="B985" s="22"/>
      <c r="C985" s="22"/>
      <c r="D985" s="23"/>
      <c r="H985" s="22"/>
      <c r="L985" s="22"/>
      <c r="P985" s="22"/>
      <c r="Q985" s="22"/>
      <c r="R985" s="22"/>
      <c r="S985" s="22"/>
    </row>
    <row r="986" spans="1:19" x14ac:dyDescent="0.2">
      <c r="A986" s="22"/>
      <c r="B986" s="22"/>
      <c r="C986" s="22"/>
      <c r="D986" s="23"/>
      <c r="H986" s="22"/>
      <c r="L986" s="22"/>
      <c r="P986" s="22"/>
      <c r="Q986" s="22"/>
      <c r="R986" s="22"/>
      <c r="S986" s="22"/>
    </row>
    <row r="987" spans="1:19" x14ac:dyDescent="0.2">
      <c r="A987" s="22"/>
      <c r="B987" s="22"/>
      <c r="C987" s="22"/>
      <c r="D987" s="23"/>
      <c r="H987" s="22"/>
      <c r="L987" s="22"/>
      <c r="P987" s="22"/>
      <c r="Q987" s="22"/>
      <c r="R987" s="22"/>
      <c r="S987" s="22"/>
    </row>
    <row r="988" spans="1:19" x14ac:dyDescent="0.2">
      <c r="A988" s="22"/>
      <c r="B988" s="22"/>
      <c r="C988" s="22"/>
      <c r="D988" s="23"/>
      <c r="H988" s="22"/>
      <c r="L988" s="22"/>
      <c r="P988" s="22"/>
      <c r="Q988" s="22"/>
      <c r="R988" s="22"/>
      <c r="S988" s="22"/>
    </row>
    <row r="989" spans="1:19" x14ac:dyDescent="0.2">
      <c r="A989" s="22"/>
      <c r="B989" s="22"/>
      <c r="C989" s="22"/>
      <c r="D989" s="23"/>
      <c r="H989" s="22"/>
      <c r="L989" s="22"/>
      <c r="P989" s="22"/>
      <c r="Q989" s="22"/>
      <c r="R989" s="22"/>
      <c r="S989" s="22"/>
    </row>
    <row r="990" spans="1:19" x14ac:dyDescent="0.2">
      <c r="A990" s="22"/>
      <c r="B990" s="22"/>
      <c r="C990" s="22"/>
      <c r="D990" s="23"/>
      <c r="H990" s="22"/>
      <c r="L990" s="22"/>
      <c r="P990" s="22"/>
      <c r="Q990" s="22"/>
      <c r="R990" s="22"/>
      <c r="S990" s="22"/>
    </row>
    <row r="991" spans="1:19" x14ac:dyDescent="0.2">
      <c r="A991" s="22"/>
      <c r="B991" s="22"/>
      <c r="C991" s="22"/>
      <c r="D991" s="23"/>
      <c r="H991" s="22"/>
      <c r="L991" s="22"/>
      <c r="P991" s="22"/>
      <c r="Q991" s="22"/>
      <c r="R991" s="22"/>
      <c r="S991" s="22"/>
    </row>
    <row r="992" spans="1:19" x14ac:dyDescent="0.2">
      <c r="A992" s="22"/>
      <c r="B992" s="22"/>
      <c r="C992" s="22"/>
      <c r="D992" s="23"/>
      <c r="H992" s="22"/>
      <c r="L992" s="22"/>
      <c r="P992" s="22"/>
      <c r="Q992" s="22"/>
      <c r="R992" s="22"/>
      <c r="S992" s="22"/>
    </row>
    <row r="993" spans="1:19" x14ac:dyDescent="0.2">
      <c r="A993" s="22"/>
      <c r="B993" s="22"/>
      <c r="C993" s="22"/>
      <c r="D993" s="23"/>
      <c r="H993" s="22"/>
      <c r="L993" s="22"/>
      <c r="P993" s="22"/>
      <c r="Q993" s="22"/>
      <c r="R993" s="22"/>
      <c r="S993" s="22"/>
    </row>
    <row r="994" spans="1:19" x14ac:dyDescent="0.2">
      <c r="A994" s="22"/>
      <c r="B994" s="22"/>
      <c r="C994" s="22"/>
      <c r="D994" s="23"/>
      <c r="H994" s="22"/>
      <c r="L994" s="22"/>
      <c r="P994" s="22"/>
      <c r="Q994" s="22"/>
      <c r="R994" s="22"/>
      <c r="S994" s="22"/>
    </row>
    <row r="995" spans="1:19" x14ac:dyDescent="0.2">
      <c r="A995" s="22"/>
      <c r="B995" s="22"/>
      <c r="C995" s="22"/>
      <c r="D995" s="23"/>
      <c r="H995" s="22"/>
      <c r="L995" s="22"/>
      <c r="P995" s="22"/>
      <c r="Q995" s="22"/>
      <c r="R995" s="22"/>
      <c r="S995" s="22"/>
    </row>
    <row r="996" spans="1:19" x14ac:dyDescent="0.2">
      <c r="A996" s="22"/>
      <c r="B996" s="22"/>
      <c r="C996" s="22"/>
      <c r="D996" s="23"/>
      <c r="H996" s="22"/>
      <c r="L996" s="22"/>
      <c r="P996" s="22"/>
      <c r="Q996" s="22"/>
      <c r="R996" s="22"/>
      <c r="S996" s="22"/>
    </row>
    <row r="997" spans="1:19" x14ac:dyDescent="0.2">
      <c r="A997" s="22"/>
      <c r="B997" s="22"/>
      <c r="C997" s="22"/>
      <c r="D997" s="23"/>
      <c r="H997" s="22"/>
      <c r="L997" s="22"/>
      <c r="P997" s="22"/>
      <c r="Q997" s="22"/>
      <c r="R997" s="22"/>
      <c r="S997" s="22"/>
    </row>
    <row r="998" spans="1:19" x14ac:dyDescent="0.2">
      <c r="A998" s="22"/>
      <c r="B998" s="22"/>
      <c r="C998" s="22"/>
      <c r="D998" s="23"/>
      <c r="H998" s="22"/>
      <c r="L998" s="22"/>
      <c r="P998" s="22"/>
      <c r="Q998" s="22"/>
      <c r="R998" s="22"/>
      <c r="S998" s="22"/>
    </row>
    <row r="999" spans="1:19" x14ac:dyDescent="0.2">
      <c r="A999" s="22"/>
      <c r="B999" s="22"/>
      <c r="C999" s="22"/>
      <c r="D999" s="23"/>
      <c r="H999" s="22"/>
      <c r="L999" s="22"/>
      <c r="P999" s="22"/>
      <c r="Q999" s="22"/>
      <c r="R999" s="22"/>
      <c r="S999" s="22"/>
    </row>
    <row r="1000" spans="1:19" x14ac:dyDescent="0.2">
      <c r="A1000" s="22"/>
      <c r="B1000" s="22"/>
      <c r="C1000" s="22"/>
      <c r="D1000" s="23"/>
      <c r="H1000" s="22"/>
      <c r="L1000" s="22"/>
      <c r="P1000" s="22"/>
      <c r="Q1000" s="22"/>
      <c r="R1000" s="22"/>
      <c r="S1000" s="22"/>
    </row>
    <row r="1001" spans="1:19" x14ac:dyDescent="0.2">
      <c r="A1001" s="22"/>
      <c r="B1001" s="22"/>
      <c r="C1001" s="22"/>
      <c r="D1001" s="23"/>
      <c r="H1001" s="22"/>
      <c r="L1001" s="22"/>
      <c r="P1001" s="22"/>
      <c r="Q1001" s="22"/>
      <c r="R1001" s="22"/>
      <c r="S1001" s="22"/>
    </row>
    <row r="1002" spans="1:19" x14ac:dyDescent="0.2">
      <c r="A1002" s="22"/>
      <c r="B1002" s="22"/>
      <c r="C1002" s="22"/>
      <c r="D1002" s="23"/>
      <c r="H1002" s="22"/>
      <c r="L1002" s="22"/>
      <c r="P1002" s="22"/>
      <c r="Q1002" s="22"/>
      <c r="R1002" s="22"/>
      <c r="S1002" s="22"/>
    </row>
    <row r="1003" spans="1:19" x14ac:dyDescent="0.2">
      <c r="A1003" s="22"/>
      <c r="B1003" s="22"/>
      <c r="C1003" s="22"/>
      <c r="D1003" s="23"/>
      <c r="H1003" s="22"/>
      <c r="L1003" s="22"/>
      <c r="P1003" s="22"/>
      <c r="Q1003" s="22"/>
      <c r="R1003" s="22"/>
      <c r="S1003" s="22"/>
    </row>
    <row r="1004" spans="1:19" x14ac:dyDescent="0.2">
      <c r="A1004" s="22"/>
      <c r="B1004" s="22"/>
      <c r="C1004" s="22"/>
      <c r="D1004" s="23"/>
      <c r="H1004" s="22"/>
      <c r="L1004" s="22"/>
      <c r="P1004" s="22"/>
      <c r="Q1004" s="22"/>
      <c r="R1004" s="22"/>
      <c r="S1004" s="22"/>
    </row>
    <row r="1005" spans="1:19" x14ac:dyDescent="0.2">
      <c r="A1005" s="22"/>
      <c r="B1005" s="22"/>
      <c r="C1005" s="22"/>
      <c r="D1005" s="23"/>
      <c r="H1005" s="22"/>
      <c r="L1005" s="22"/>
      <c r="P1005" s="22"/>
      <c r="Q1005" s="22"/>
      <c r="R1005" s="22"/>
      <c r="S1005" s="22"/>
    </row>
    <row r="1006" spans="1:19" x14ac:dyDescent="0.2">
      <c r="A1006" s="22"/>
      <c r="B1006" s="22"/>
      <c r="C1006" s="22"/>
      <c r="D1006" s="23"/>
      <c r="H1006" s="22"/>
      <c r="L1006" s="22"/>
      <c r="P1006" s="22"/>
      <c r="Q1006" s="22"/>
      <c r="R1006" s="22"/>
      <c r="S1006" s="22"/>
    </row>
    <row r="1007" spans="1:19" x14ac:dyDescent="0.2">
      <c r="A1007" s="22"/>
      <c r="B1007" s="22"/>
      <c r="C1007" s="22"/>
      <c r="D1007" s="23"/>
      <c r="H1007" s="22"/>
      <c r="L1007" s="22"/>
      <c r="P1007" s="22"/>
      <c r="Q1007" s="22"/>
      <c r="R1007" s="22"/>
      <c r="S1007" s="22"/>
    </row>
    <row r="1008" spans="1:19" x14ac:dyDescent="0.2">
      <c r="A1008" s="22"/>
      <c r="B1008" s="22"/>
      <c r="C1008" s="22"/>
      <c r="D1008" s="23"/>
      <c r="H1008" s="22"/>
      <c r="L1008" s="22"/>
      <c r="P1008" s="22"/>
      <c r="Q1008" s="22"/>
      <c r="R1008" s="22"/>
      <c r="S1008" s="22"/>
    </row>
    <row r="1009" spans="1:19" x14ac:dyDescent="0.2">
      <c r="A1009" s="22"/>
      <c r="B1009" s="22"/>
      <c r="C1009" s="22"/>
      <c r="D1009" s="23"/>
      <c r="H1009" s="22"/>
      <c r="L1009" s="22"/>
      <c r="P1009" s="22"/>
      <c r="Q1009" s="22"/>
      <c r="R1009" s="22"/>
      <c r="S1009" s="22"/>
    </row>
    <row r="1010" spans="1:19" x14ac:dyDescent="0.2">
      <c r="A1010" s="22"/>
      <c r="B1010" s="22"/>
      <c r="C1010" s="22"/>
      <c r="D1010" s="23"/>
      <c r="H1010" s="22"/>
      <c r="L1010" s="22"/>
      <c r="P1010" s="22"/>
      <c r="Q1010" s="22"/>
      <c r="R1010" s="22"/>
      <c r="S1010" s="22"/>
    </row>
    <row r="1011" spans="1:19" x14ac:dyDescent="0.2">
      <c r="A1011" s="22"/>
      <c r="B1011" s="22"/>
      <c r="C1011" s="22"/>
      <c r="D1011" s="23"/>
      <c r="H1011" s="22"/>
      <c r="L1011" s="22"/>
      <c r="P1011" s="22"/>
      <c r="Q1011" s="22"/>
      <c r="R1011" s="22"/>
      <c r="S1011" s="22"/>
    </row>
    <row r="1012" spans="1:19" x14ac:dyDescent="0.2">
      <c r="A1012" s="22"/>
      <c r="B1012" s="22"/>
      <c r="C1012" s="22"/>
      <c r="D1012" s="23"/>
      <c r="H1012" s="22"/>
      <c r="L1012" s="22"/>
      <c r="P1012" s="22"/>
      <c r="Q1012" s="22"/>
      <c r="R1012" s="22"/>
      <c r="S1012" s="22"/>
    </row>
    <row r="1013" spans="1:19" x14ac:dyDescent="0.2">
      <c r="A1013" s="22"/>
      <c r="B1013" s="22"/>
      <c r="C1013" s="22"/>
      <c r="D1013" s="23"/>
      <c r="H1013" s="22"/>
      <c r="L1013" s="22"/>
      <c r="P1013" s="22"/>
      <c r="Q1013" s="22"/>
      <c r="R1013" s="22"/>
      <c r="S1013" s="22"/>
    </row>
    <row r="1014" spans="1:19" x14ac:dyDescent="0.2">
      <c r="A1014" s="22"/>
      <c r="B1014" s="22"/>
      <c r="C1014" s="22"/>
      <c r="D1014" s="23"/>
      <c r="H1014" s="22"/>
      <c r="L1014" s="22"/>
      <c r="P1014" s="22"/>
      <c r="Q1014" s="22"/>
      <c r="R1014" s="22"/>
      <c r="S1014" s="22"/>
    </row>
    <row r="1015" spans="1:19" x14ac:dyDescent="0.2">
      <c r="A1015" s="22"/>
      <c r="B1015" s="22"/>
      <c r="C1015" s="22"/>
      <c r="D1015" s="23"/>
      <c r="H1015" s="22"/>
      <c r="L1015" s="22"/>
      <c r="P1015" s="22"/>
      <c r="Q1015" s="22"/>
      <c r="R1015" s="22"/>
      <c r="S1015" s="22"/>
    </row>
    <row r="1016" spans="1:19" x14ac:dyDescent="0.2">
      <c r="A1016" s="22"/>
      <c r="B1016" s="22"/>
      <c r="C1016" s="22"/>
      <c r="D1016" s="23"/>
      <c r="H1016" s="22"/>
      <c r="L1016" s="22"/>
      <c r="P1016" s="22"/>
      <c r="Q1016" s="22"/>
      <c r="R1016" s="22"/>
      <c r="S1016" s="22"/>
    </row>
    <row r="1017" spans="1:19" x14ac:dyDescent="0.2">
      <c r="A1017" s="22"/>
      <c r="B1017" s="22"/>
      <c r="C1017" s="22"/>
      <c r="D1017" s="23"/>
      <c r="H1017" s="22"/>
      <c r="L1017" s="22"/>
      <c r="P1017" s="22"/>
      <c r="Q1017" s="22"/>
      <c r="R1017" s="22"/>
      <c r="S1017" s="22"/>
    </row>
    <row r="1018" spans="1:19" x14ac:dyDescent="0.2">
      <c r="A1018" s="22"/>
      <c r="B1018" s="22"/>
      <c r="C1018" s="22"/>
      <c r="D1018" s="23"/>
      <c r="H1018" s="22"/>
      <c r="L1018" s="22"/>
      <c r="P1018" s="22"/>
      <c r="Q1018" s="22"/>
      <c r="R1018" s="22"/>
      <c r="S1018" s="22"/>
    </row>
    <row r="1019" spans="1:19" x14ac:dyDescent="0.2">
      <c r="A1019" s="22"/>
      <c r="B1019" s="22"/>
      <c r="C1019" s="22"/>
      <c r="D1019" s="23"/>
      <c r="H1019" s="22"/>
      <c r="L1019" s="22"/>
      <c r="P1019" s="22"/>
      <c r="Q1019" s="22"/>
      <c r="R1019" s="22"/>
      <c r="S1019" s="22"/>
    </row>
    <row r="1020" spans="1:19" x14ac:dyDescent="0.2">
      <c r="A1020" s="22"/>
      <c r="B1020" s="22"/>
      <c r="C1020" s="22"/>
      <c r="D1020" s="23"/>
      <c r="H1020" s="22"/>
      <c r="L1020" s="22"/>
      <c r="P1020" s="22"/>
      <c r="Q1020" s="22"/>
      <c r="R1020" s="22"/>
      <c r="S1020" s="22"/>
    </row>
    <row r="1021" spans="1:19" x14ac:dyDescent="0.2">
      <c r="A1021" s="22"/>
      <c r="B1021" s="22"/>
      <c r="C1021" s="22"/>
      <c r="D1021" s="23"/>
      <c r="H1021" s="22"/>
      <c r="L1021" s="22"/>
      <c r="P1021" s="22"/>
      <c r="Q1021" s="22"/>
      <c r="R1021" s="22"/>
      <c r="S1021" s="22"/>
    </row>
    <row r="1022" spans="1:19" x14ac:dyDescent="0.2">
      <c r="A1022" s="22"/>
      <c r="B1022" s="22"/>
      <c r="C1022" s="22"/>
      <c r="D1022" s="23"/>
      <c r="H1022" s="22"/>
      <c r="L1022" s="22"/>
      <c r="P1022" s="22"/>
      <c r="Q1022" s="22"/>
      <c r="R1022" s="22"/>
      <c r="S1022" s="22"/>
    </row>
    <row r="1023" spans="1:19" x14ac:dyDescent="0.2">
      <c r="A1023" s="22"/>
      <c r="B1023" s="22"/>
      <c r="C1023" s="22"/>
      <c r="D1023" s="23"/>
      <c r="H1023" s="22"/>
      <c r="L1023" s="22"/>
      <c r="P1023" s="22"/>
      <c r="Q1023" s="22"/>
      <c r="R1023" s="22"/>
      <c r="S1023" s="22"/>
    </row>
    <row r="1024" spans="1:19" x14ac:dyDescent="0.2">
      <c r="A1024" s="22"/>
      <c r="B1024" s="22"/>
      <c r="C1024" s="22"/>
      <c r="D1024" s="23"/>
      <c r="H1024" s="22"/>
      <c r="L1024" s="22"/>
      <c r="P1024" s="22"/>
      <c r="Q1024" s="22"/>
      <c r="R1024" s="22"/>
      <c r="S1024" s="22"/>
    </row>
    <row r="1025" spans="1:19" x14ac:dyDescent="0.2">
      <c r="A1025" s="22"/>
      <c r="B1025" s="22"/>
      <c r="C1025" s="22"/>
      <c r="D1025" s="23"/>
      <c r="H1025" s="22"/>
      <c r="L1025" s="22"/>
      <c r="P1025" s="22"/>
      <c r="Q1025" s="22"/>
      <c r="R1025" s="22"/>
      <c r="S1025" s="22"/>
    </row>
    <row r="1026" spans="1:19" x14ac:dyDescent="0.2">
      <c r="A1026" s="22"/>
      <c r="B1026" s="22"/>
      <c r="C1026" s="22"/>
      <c r="D1026" s="23"/>
      <c r="H1026" s="22"/>
      <c r="L1026" s="22"/>
      <c r="P1026" s="22"/>
      <c r="Q1026" s="22"/>
      <c r="R1026" s="22"/>
      <c r="S1026" s="22"/>
    </row>
    <row r="1027" spans="1:19" x14ac:dyDescent="0.2">
      <c r="A1027" s="22"/>
      <c r="B1027" s="22"/>
      <c r="C1027" s="22"/>
      <c r="D1027" s="23"/>
      <c r="H1027" s="22"/>
      <c r="L1027" s="22"/>
      <c r="P1027" s="22"/>
      <c r="Q1027" s="22"/>
      <c r="R1027" s="22"/>
      <c r="S1027" s="22"/>
    </row>
    <row r="1028" spans="1:19" x14ac:dyDescent="0.2">
      <c r="A1028" s="22"/>
      <c r="B1028" s="22"/>
      <c r="C1028" s="22"/>
      <c r="D1028" s="23"/>
      <c r="H1028" s="22"/>
      <c r="L1028" s="22"/>
      <c r="P1028" s="22"/>
      <c r="Q1028" s="22"/>
      <c r="R1028" s="22"/>
      <c r="S1028" s="22"/>
    </row>
    <row r="1029" spans="1:19" x14ac:dyDescent="0.2">
      <c r="A1029" s="22"/>
      <c r="B1029" s="22"/>
      <c r="C1029" s="22"/>
      <c r="D1029" s="23"/>
      <c r="H1029" s="22"/>
      <c r="L1029" s="22"/>
      <c r="P1029" s="22"/>
      <c r="Q1029" s="22"/>
      <c r="R1029" s="22"/>
      <c r="S1029" s="22"/>
    </row>
    <row r="1030" spans="1:19" x14ac:dyDescent="0.2">
      <c r="A1030" s="22"/>
      <c r="B1030" s="22"/>
      <c r="C1030" s="22"/>
      <c r="D1030" s="23"/>
      <c r="H1030" s="22"/>
      <c r="L1030" s="22"/>
      <c r="P1030" s="22"/>
      <c r="Q1030" s="22"/>
      <c r="R1030" s="22"/>
      <c r="S1030" s="22"/>
    </row>
    <row r="1031" spans="1:19" x14ac:dyDescent="0.2">
      <c r="A1031" s="22"/>
      <c r="B1031" s="22"/>
      <c r="C1031" s="22"/>
      <c r="D1031" s="23"/>
      <c r="H1031" s="22"/>
      <c r="L1031" s="22"/>
      <c r="P1031" s="22"/>
      <c r="Q1031" s="22"/>
      <c r="R1031" s="22"/>
      <c r="S1031" s="22"/>
    </row>
  </sheetData>
  <mergeCells count="5">
    <mergeCell ref="H8:J8"/>
    <mergeCell ref="L8:N8"/>
    <mergeCell ref="C7:F7"/>
    <mergeCell ref="P7:T7"/>
    <mergeCell ref="H7:N7"/>
  </mergeCells>
  <phoneticPr fontId="2" type="noConversion"/>
  <printOptions horizontalCentered="1"/>
  <pageMargins left="0" right="0" top="0.78740157480314965" bottom="0" header="0.51181102362204722" footer="0.51181102362204722"/>
  <pageSetup paperSize="8" scale="73" fitToHeight="0" orientation="landscape" r:id="rId1"/>
  <headerFooter alignWithMargins="0">
    <oddHeader>&amp;R&amp;"Arial,Félkövér dőlt"&amp;12&amp;A  /&amp;8
&amp;"Arial,Dőlt"&amp;10&amp;F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7"/>
  <sheetViews>
    <sheetView view="pageBreakPreview" zoomScaleNormal="75" zoomScaleSheetLayoutView="100" workbookViewId="0"/>
  </sheetViews>
  <sheetFormatPr defaultRowHeight="12.75" x14ac:dyDescent="0.2"/>
  <cols>
    <col min="1" max="1" width="6.42578125" style="25" bestFit="1" customWidth="1"/>
    <col min="2" max="2" width="56.42578125" style="13" customWidth="1"/>
    <col min="3" max="3" width="15.5703125" style="17" customWidth="1"/>
    <col min="4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2" width="13.5703125" style="13" bestFit="1" customWidth="1"/>
    <col min="13" max="14" width="11.140625" style="13" bestFit="1" customWidth="1"/>
    <col min="15" max="15" width="0.85546875" style="13" customWidth="1"/>
    <col min="16" max="18" width="14.5703125" style="13" customWidth="1"/>
    <col min="19" max="19" width="15.5703125" style="13" customWidth="1"/>
    <col min="20" max="20" width="10.5703125" style="13" customWidth="1"/>
    <col min="21" max="21" width="0.85546875" style="13" customWidth="1"/>
    <col min="22" max="22" width="5.5703125" style="13" customWidth="1"/>
    <col min="25" max="26" width="12.5703125" bestFit="1" customWidth="1"/>
  </cols>
  <sheetData>
    <row r="1" spans="1:26" ht="26.25" x14ac:dyDescent="0.4">
      <c r="A1" s="250" t="s">
        <v>473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FÉLÉVES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6" x14ac:dyDescent="0.2">
      <c r="A4" s="66"/>
      <c r="B4" s="67"/>
      <c r="C4" s="94"/>
      <c r="D4" s="94"/>
      <c r="E4" s="94"/>
      <c r="F4" s="94"/>
      <c r="G4" s="94"/>
      <c r="H4" s="94"/>
      <c r="I4" s="94"/>
      <c r="J4" s="94"/>
      <c r="K4" s="94"/>
      <c r="L4" s="67"/>
      <c r="M4" s="67"/>
      <c r="N4" s="67"/>
      <c r="O4" s="67"/>
      <c r="P4" s="94"/>
      <c r="Q4" s="94"/>
      <c r="R4" s="94"/>
      <c r="S4" s="94"/>
      <c r="T4" s="94"/>
      <c r="U4" s="67"/>
      <c r="V4" s="67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36750000</v>
      </c>
      <c r="D5" s="273">
        <f t="shared" ref="D5:H5" si="0">+D89</f>
        <v>37159000</v>
      </c>
      <c r="E5" s="273">
        <f t="shared" si="0"/>
        <v>0</v>
      </c>
      <c r="F5" s="273">
        <f t="shared" ref="F5" si="1">+F89</f>
        <v>0</v>
      </c>
      <c r="G5" s="273"/>
      <c r="H5" s="273">
        <f t="shared" si="0"/>
        <v>17640024</v>
      </c>
      <c r="I5" s="273">
        <f>+I89</f>
        <v>0</v>
      </c>
      <c r="J5" s="273">
        <f t="shared" ref="J5" si="2">+J89</f>
        <v>0</v>
      </c>
      <c r="K5" s="95"/>
      <c r="L5" s="32">
        <f t="shared" ref="L5:N6" si="3">IF(H5&gt;0,H5/C5,0)</f>
        <v>0.48000065306122447</v>
      </c>
      <c r="M5" s="32">
        <f t="shared" si="3"/>
        <v>0</v>
      </c>
      <c r="N5" s="32">
        <f t="shared" si="3"/>
        <v>0</v>
      </c>
      <c r="O5" s="32"/>
      <c r="P5" s="273">
        <f t="shared" ref="P5:S5" si="4">+P89</f>
        <v>409000</v>
      </c>
      <c r="Q5" s="273">
        <f t="shared" si="4"/>
        <v>-37159000</v>
      </c>
      <c r="R5" s="273">
        <f t="shared" si="4"/>
        <v>0</v>
      </c>
      <c r="S5" s="273">
        <f t="shared" si="4"/>
        <v>-36750000</v>
      </c>
      <c r="T5" s="139">
        <f>IF(C5=0,0,+S5/C5)</f>
        <v>-1</v>
      </c>
      <c r="U5" s="124"/>
      <c r="V5" s="211">
        <f t="shared" ref="V5:V7" si="5">+S5-E5+C5</f>
        <v>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36750000</v>
      </c>
      <c r="D6" s="275">
        <f t="shared" ref="D6:H6" si="6">+D102</f>
        <v>37159000</v>
      </c>
      <c r="E6" s="275">
        <f t="shared" si="6"/>
        <v>0</v>
      </c>
      <c r="F6" s="275">
        <f t="shared" ref="F6" si="7">+F102</f>
        <v>0</v>
      </c>
      <c r="G6" s="275"/>
      <c r="H6" s="275">
        <f t="shared" si="6"/>
        <v>20445341</v>
      </c>
      <c r="I6" s="275">
        <f>+I102</f>
        <v>0</v>
      </c>
      <c r="J6" s="275">
        <f t="shared" ref="J6" si="8">+J102</f>
        <v>0</v>
      </c>
      <c r="K6" s="69"/>
      <c r="L6" s="32">
        <f t="shared" si="3"/>
        <v>0.55633580952380957</v>
      </c>
      <c r="M6" s="32">
        <f t="shared" si="3"/>
        <v>0</v>
      </c>
      <c r="N6" s="32">
        <f t="shared" si="3"/>
        <v>0</v>
      </c>
      <c r="O6" s="32"/>
      <c r="P6" s="275">
        <f t="shared" ref="P6:S6" si="9">+P102</f>
        <v>409000</v>
      </c>
      <c r="Q6" s="275">
        <f t="shared" si="9"/>
        <v>-37159000</v>
      </c>
      <c r="R6" s="275">
        <f t="shared" si="9"/>
        <v>0</v>
      </c>
      <c r="S6" s="275">
        <f t="shared" si="9"/>
        <v>-36750000</v>
      </c>
      <c r="T6" s="32">
        <f>IF(C6=0,0,+S6/C6)</f>
        <v>-1</v>
      </c>
      <c r="U6" s="124"/>
      <c r="V6" s="211">
        <f t="shared" si="5"/>
        <v>0</v>
      </c>
      <c r="W6" s="128"/>
      <c r="X6" s="128"/>
    </row>
    <row r="7" spans="1:26" ht="20.100000000000001" customHeight="1" x14ac:dyDescent="0.25">
      <c r="A7" s="274"/>
      <c r="B7" s="274" t="s">
        <v>413</v>
      </c>
      <c r="C7" s="275">
        <f>+C6-C5</f>
        <v>0</v>
      </c>
      <c r="D7" s="275">
        <f t="shared" ref="D7:H7" si="10">+D6-D5</f>
        <v>0</v>
      </c>
      <c r="E7" s="275">
        <f t="shared" si="10"/>
        <v>0</v>
      </c>
      <c r="F7" s="275">
        <f t="shared" si="10"/>
        <v>0</v>
      </c>
      <c r="G7" s="275"/>
      <c r="H7" s="275">
        <f t="shared" si="10"/>
        <v>2805317</v>
      </c>
      <c r="I7" s="275">
        <f>+I6-I5</f>
        <v>0</v>
      </c>
      <c r="J7" s="275">
        <f t="shared" ref="J7" si="11">+J6-J5</f>
        <v>0</v>
      </c>
      <c r="K7" s="69"/>
      <c r="L7" s="32"/>
      <c r="M7" s="32"/>
      <c r="N7" s="32"/>
      <c r="O7" s="32"/>
      <c r="P7" s="275">
        <f t="shared" ref="P7" si="12">+P6-P5</f>
        <v>0</v>
      </c>
      <c r="Q7" s="275">
        <f t="shared" ref="Q7" si="13">+Q6-Q5</f>
        <v>0</v>
      </c>
      <c r="R7" s="275">
        <f t="shared" ref="R7" si="14">+R6-R5</f>
        <v>0</v>
      </c>
      <c r="S7" s="275">
        <f t="shared" ref="S7" si="15">+S6-S5</f>
        <v>0</v>
      </c>
      <c r="T7" s="32">
        <f>IF(C7=0,0,+S7/C7)</f>
        <v>0</v>
      </c>
      <c r="U7" s="124"/>
      <c r="V7" s="211">
        <f t="shared" si="5"/>
        <v>0</v>
      </c>
      <c r="W7" s="128"/>
      <c r="X7" s="128"/>
    </row>
    <row r="8" spans="1:26" x14ac:dyDescent="0.2">
      <c r="A8" s="257"/>
      <c r="B8" s="258"/>
      <c r="C8" s="71"/>
      <c r="D8" s="630">
        <f>+D6/C6</f>
        <v>1.0111292517006802</v>
      </c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716" t="s">
        <v>412</v>
      </c>
      <c r="D9" s="721"/>
      <c r="E9" s="721"/>
      <c r="F9" s="722"/>
      <c r="G9" s="165"/>
      <c r="H9" s="716" t="s">
        <v>411</v>
      </c>
      <c r="I9" s="721"/>
      <c r="J9" s="721"/>
      <c r="K9" s="721"/>
      <c r="L9" s="721"/>
      <c r="M9" s="721"/>
      <c r="N9" s="722"/>
      <c r="O9" s="165"/>
      <c r="P9" s="716" t="s">
        <v>408</v>
      </c>
      <c r="Q9" s="721"/>
      <c r="R9" s="721"/>
      <c r="S9" s="721"/>
      <c r="T9" s="722"/>
      <c r="U9" s="212"/>
      <c r="V9" s="208"/>
      <c r="W9" s="128"/>
      <c r="X9" s="128"/>
    </row>
    <row r="10" spans="1:26" x14ac:dyDescent="0.2">
      <c r="A10" s="62"/>
      <c r="B10" s="63"/>
      <c r="C10" s="255"/>
      <c r="D10" s="94"/>
      <c r="E10" s="94"/>
      <c r="F10" s="256"/>
      <c r="G10" s="140"/>
      <c r="H10" s="713" t="s">
        <v>425</v>
      </c>
      <c r="I10" s="714"/>
      <c r="J10" s="715"/>
      <c r="K10" s="140"/>
      <c r="L10" s="713" t="s">
        <v>424</v>
      </c>
      <c r="M10" s="714"/>
      <c r="N10" s="715"/>
      <c r="O10" s="141"/>
      <c r="P10" s="134">
        <f>+'3. Önk. Kiadások'!P8</f>
        <v>1</v>
      </c>
      <c r="Q10" s="134">
        <f>+'3. Önk. Kiadások'!Q8</f>
        <v>1</v>
      </c>
      <c r="R10" s="134">
        <f>+'3. Önk. Kiadások'!R8</f>
        <v>0</v>
      </c>
      <c r="S10" s="133"/>
      <c r="T10" s="133"/>
      <c r="U10" s="162"/>
      <c r="V10" s="213"/>
      <c r="W10" s="137"/>
      <c r="X10" s="137"/>
      <c r="Y10" s="137"/>
      <c r="Z10" s="137"/>
    </row>
    <row r="11" spans="1:26" ht="68.45" customHeight="1" x14ac:dyDescent="0.2">
      <c r="A11" s="27" t="s">
        <v>373</v>
      </c>
      <c r="B11" s="27" t="s">
        <v>371</v>
      </c>
      <c r="C11" s="551" t="s">
        <v>483</v>
      </c>
      <c r="D11" s="388" t="s">
        <v>484</v>
      </c>
      <c r="E11" s="388" t="s">
        <v>485</v>
      </c>
      <c r="F11" s="552" t="s">
        <v>486</v>
      </c>
      <c r="G11" s="388"/>
      <c r="H11" s="525" t="s">
        <v>487</v>
      </c>
      <c r="I11" s="389" t="s">
        <v>488</v>
      </c>
      <c r="J11" s="389" t="s">
        <v>489</v>
      </c>
      <c r="K11" s="388"/>
      <c r="L11" s="390" t="s">
        <v>490</v>
      </c>
      <c r="M11" s="390" t="s">
        <v>494</v>
      </c>
      <c r="N11" s="526" t="s">
        <v>495</v>
      </c>
      <c r="O11" s="388"/>
      <c r="P11" s="525" t="s">
        <v>491</v>
      </c>
      <c r="Q11" s="389" t="s">
        <v>493</v>
      </c>
      <c r="R11" s="389" t="s">
        <v>492</v>
      </c>
      <c r="S11" s="389" t="s">
        <v>409</v>
      </c>
      <c r="T11" s="526" t="s">
        <v>410</v>
      </c>
      <c r="U11" s="202"/>
      <c r="V11" s="138" t="s">
        <v>414</v>
      </c>
      <c r="W11" s="128"/>
      <c r="X11" s="128"/>
    </row>
    <row r="12" spans="1:26" x14ac:dyDescent="0.2">
      <c r="A12" s="15"/>
      <c r="B12" s="15"/>
      <c r="C12" s="71"/>
      <c r="D12" s="99"/>
      <c r="E12" s="99"/>
      <c r="F12" s="99"/>
      <c r="G12" s="100"/>
      <c r="H12" s="100"/>
      <c r="I12" s="100"/>
      <c r="J12" s="100"/>
      <c r="K12" s="100"/>
      <c r="L12" s="143"/>
      <c r="M12" s="143"/>
      <c r="N12" s="143"/>
      <c r="O12" s="126"/>
      <c r="P12" s="83"/>
      <c r="Q12" s="83"/>
      <c r="R12" s="83"/>
      <c r="S12" s="83"/>
      <c r="T12" s="161"/>
      <c r="U12" s="126"/>
      <c r="V12" s="208"/>
      <c r="W12" s="128"/>
      <c r="X12" s="128"/>
    </row>
    <row r="13" spans="1:26" x14ac:dyDescent="0.2">
      <c r="A13" s="24" t="s">
        <v>0</v>
      </c>
      <c r="B13" s="24" t="s">
        <v>3</v>
      </c>
      <c r="C13" s="95">
        <f>SUM(C14:C28)</f>
        <v>21347000</v>
      </c>
      <c r="D13" s="95">
        <f t="shared" ref="D13:J13" si="16">SUM(D14:D28)</f>
        <v>21347000</v>
      </c>
      <c r="E13" s="95">
        <f t="shared" si="16"/>
        <v>0</v>
      </c>
      <c r="F13" s="95">
        <f t="shared" si="16"/>
        <v>0</v>
      </c>
      <c r="G13" s="95"/>
      <c r="H13" s="95">
        <f t="shared" si="16"/>
        <v>9693006</v>
      </c>
      <c r="I13" s="95">
        <f t="shared" si="16"/>
        <v>0</v>
      </c>
      <c r="J13" s="95">
        <f t="shared" si="16"/>
        <v>0</v>
      </c>
      <c r="K13" s="96"/>
      <c r="L13" s="89">
        <f>IF(H13&gt;0,H13/C13,0)</f>
        <v>0.45406876844521477</v>
      </c>
      <c r="M13" s="89">
        <f>IF(I13&gt;0,I13/D13,0)</f>
        <v>0</v>
      </c>
      <c r="N13" s="89">
        <f>IF(J13&gt;0,J13/F13,0)</f>
        <v>0</v>
      </c>
      <c r="O13" s="124"/>
      <c r="P13" s="96">
        <f t="shared" ref="P13" si="17">+(D13-C13)*P$10</f>
        <v>0</v>
      </c>
      <c r="Q13" s="96">
        <f t="shared" ref="Q13" si="18">+(E13-D13)*Q$10</f>
        <v>-21347000</v>
      </c>
      <c r="R13" s="96">
        <f t="shared" ref="R13" si="19">+(F13-E13)*R$10</f>
        <v>0</v>
      </c>
      <c r="S13" s="96">
        <f>SUM(P13:R13)</f>
        <v>-21347000</v>
      </c>
      <c r="T13" s="214">
        <f t="shared" ref="T13" si="20">IF(C13=0,0,+S13/C13)</f>
        <v>-1</v>
      </c>
      <c r="U13" s="124"/>
      <c r="V13" s="208">
        <f t="shared" ref="V13" si="21">+S13-E13+C13</f>
        <v>0</v>
      </c>
      <c r="W13" s="128"/>
      <c r="X13" s="128"/>
    </row>
    <row r="14" spans="1:26" x14ac:dyDescent="0.2">
      <c r="A14" s="15" t="s">
        <v>1</v>
      </c>
      <c r="B14" s="15"/>
      <c r="C14" s="328"/>
      <c r="D14" s="241"/>
      <c r="E14" s="241"/>
      <c r="F14" s="241"/>
      <c r="G14" s="98"/>
      <c r="H14" s="329"/>
      <c r="I14" s="329"/>
      <c r="J14" s="329"/>
      <c r="K14" s="98"/>
      <c r="L14" s="142"/>
      <c r="M14" s="142"/>
      <c r="N14" s="142"/>
      <c r="O14" s="125"/>
      <c r="P14" s="98"/>
      <c r="Q14" s="98"/>
      <c r="R14" s="98"/>
      <c r="S14" s="98"/>
      <c r="T14" s="89"/>
      <c r="U14" s="125"/>
      <c r="V14" s="208">
        <f t="shared" ref="V14:V76" si="22">+S14-E14+C14</f>
        <v>0</v>
      </c>
      <c r="W14" s="128"/>
      <c r="X14" s="128"/>
    </row>
    <row r="15" spans="1:26" x14ac:dyDescent="0.2">
      <c r="A15" s="15" t="s">
        <v>2</v>
      </c>
      <c r="B15" s="15" t="s">
        <v>362</v>
      </c>
      <c r="C15" s="328">
        <v>19897000</v>
      </c>
      <c r="D15" s="242">
        <v>19547000</v>
      </c>
      <c r="E15" s="242">
        <v>0</v>
      </c>
      <c r="F15" s="242"/>
      <c r="G15" s="100"/>
      <c r="H15" s="330">
        <v>8413584</v>
      </c>
      <c r="I15" s="330">
        <v>0</v>
      </c>
      <c r="J15" s="330"/>
      <c r="K15" s="100"/>
      <c r="L15" s="143">
        <f t="shared" ref="L15:L23" si="23">IF(H15&gt;0,H15/C15,0)</f>
        <v>0.42285691310247775</v>
      </c>
      <c r="M15" s="143">
        <f t="shared" ref="M15:M23" si="24">IF(I15&gt;0,I15/D15,0)</f>
        <v>0</v>
      </c>
      <c r="N15" s="143">
        <f t="shared" ref="N15:N23" si="25">IF(J15&gt;0,J15/E15,0)</f>
        <v>0</v>
      </c>
      <c r="O15" s="126"/>
      <c r="P15" s="83">
        <f t="shared" ref="P15:P23" si="26">+(D15-C15)*P$10</f>
        <v>-350000</v>
      </c>
      <c r="Q15" s="83">
        <f t="shared" ref="Q15:Q23" si="27">+(E15-D15)*Q$10</f>
        <v>-19547000</v>
      </c>
      <c r="R15" s="83">
        <f t="shared" ref="R15:R23" si="28">+(F15-E15)*R$10</f>
        <v>0</v>
      </c>
      <c r="S15" s="83">
        <f>SUM(P15:R15)</f>
        <v>-19897000</v>
      </c>
      <c r="T15" s="89">
        <f t="shared" ref="T15:T23" si="29">IF(C15=0,0,+S15/C15)</f>
        <v>-1</v>
      </c>
      <c r="U15" s="126"/>
      <c r="V15" s="208">
        <f t="shared" si="22"/>
        <v>0</v>
      </c>
      <c r="W15" s="128"/>
      <c r="X15" s="129"/>
      <c r="Y15" s="38"/>
    </row>
    <row r="16" spans="1:26" x14ac:dyDescent="0.2">
      <c r="A16" s="15" t="s">
        <v>12</v>
      </c>
      <c r="B16" s="15" t="s">
        <v>4</v>
      </c>
      <c r="C16" s="328">
        <v>90000</v>
      </c>
      <c r="D16" s="242">
        <v>440000</v>
      </c>
      <c r="E16" s="242">
        <v>0</v>
      </c>
      <c r="F16" s="242"/>
      <c r="G16" s="100"/>
      <c r="H16" s="330">
        <v>440000</v>
      </c>
      <c r="I16" s="330"/>
      <c r="J16" s="330"/>
      <c r="K16" s="100"/>
      <c r="L16" s="143">
        <f t="shared" si="23"/>
        <v>4.8888888888888893</v>
      </c>
      <c r="M16" s="143">
        <f t="shared" si="24"/>
        <v>0</v>
      </c>
      <c r="N16" s="143">
        <f t="shared" si="25"/>
        <v>0</v>
      </c>
      <c r="O16" s="126"/>
      <c r="P16" s="83">
        <f t="shared" si="26"/>
        <v>350000</v>
      </c>
      <c r="Q16" s="83">
        <f t="shared" si="27"/>
        <v>-440000</v>
      </c>
      <c r="R16" s="83">
        <f t="shared" si="28"/>
        <v>0</v>
      </c>
      <c r="S16" s="83">
        <f t="shared" ref="S16:S32" si="30">SUM(P16:R16)</f>
        <v>-90000</v>
      </c>
      <c r="T16" s="89">
        <f t="shared" si="29"/>
        <v>-1</v>
      </c>
      <c r="U16" s="126"/>
      <c r="V16" s="208">
        <f t="shared" si="22"/>
        <v>0</v>
      </c>
      <c r="W16" s="128"/>
      <c r="X16" s="128"/>
    </row>
    <row r="17" spans="1:26" x14ac:dyDescent="0.2">
      <c r="A17" s="15" t="s">
        <v>13</v>
      </c>
      <c r="B17" s="15" t="s">
        <v>382</v>
      </c>
      <c r="C17" s="242"/>
      <c r="D17" s="242"/>
      <c r="E17" s="242"/>
      <c r="F17" s="242"/>
      <c r="G17" s="100"/>
      <c r="H17" s="330"/>
      <c r="I17" s="330"/>
      <c r="J17" s="330"/>
      <c r="K17" s="100"/>
      <c r="L17" s="143">
        <f t="shared" si="23"/>
        <v>0</v>
      </c>
      <c r="M17" s="143">
        <f t="shared" si="24"/>
        <v>0</v>
      </c>
      <c r="N17" s="143">
        <f t="shared" si="25"/>
        <v>0</v>
      </c>
      <c r="O17" s="126"/>
      <c r="P17" s="83">
        <f t="shared" si="26"/>
        <v>0</v>
      </c>
      <c r="Q17" s="83">
        <f t="shared" si="27"/>
        <v>0</v>
      </c>
      <c r="R17" s="83">
        <f t="shared" si="28"/>
        <v>0</v>
      </c>
      <c r="S17" s="83">
        <f t="shared" si="30"/>
        <v>0</v>
      </c>
      <c r="T17" s="89">
        <f t="shared" si="29"/>
        <v>0</v>
      </c>
      <c r="U17" s="126"/>
      <c r="V17" s="208">
        <f t="shared" si="22"/>
        <v>0</v>
      </c>
      <c r="W17" s="128"/>
      <c r="X17" s="128"/>
    </row>
    <row r="18" spans="1:26" x14ac:dyDescent="0.2">
      <c r="A18" s="15" t="s">
        <v>386</v>
      </c>
      <c r="B18" s="15" t="s">
        <v>6</v>
      </c>
      <c r="C18" s="328">
        <v>0</v>
      </c>
      <c r="D18" s="242">
        <v>0</v>
      </c>
      <c r="E18" s="242">
        <v>0</v>
      </c>
      <c r="F18" s="242"/>
      <c r="G18" s="100"/>
      <c r="H18" s="330">
        <v>0</v>
      </c>
      <c r="I18" s="330">
        <v>0</v>
      </c>
      <c r="J18" s="330"/>
      <c r="K18" s="100"/>
      <c r="L18" s="143">
        <f t="shared" si="23"/>
        <v>0</v>
      </c>
      <c r="M18" s="143">
        <f t="shared" si="24"/>
        <v>0</v>
      </c>
      <c r="N18" s="143">
        <f t="shared" si="25"/>
        <v>0</v>
      </c>
      <c r="O18" s="126"/>
      <c r="P18" s="83">
        <f t="shared" si="26"/>
        <v>0</v>
      </c>
      <c r="Q18" s="83">
        <f t="shared" si="27"/>
        <v>0</v>
      </c>
      <c r="R18" s="83">
        <f t="shared" si="28"/>
        <v>0</v>
      </c>
      <c r="S18" s="83">
        <f t="shared" si="30"/>
        <v>0</v>
      </c>
      <c r="T18" s="89">
        <f t="shared" si="29"/>
        <v>0</v>
      </c>
      <c r="U18" s="126"/>
      <c r="V18" s="208">
        <f t="shared" si="22"/>
        <v>0</v>
      </c>
      <c r="W18" s="128"/>
      <c r="X18" s="128"/>
    </row>
    <row r="19" spans="1:26" x14ac:dyDescent="0.2">
      <c r="A19" s="15" t="s">
        <v>14</v>
      </c>
      <c r="B19" s="15" t="s">
        <v>7</v>
      </c>
      <c r="C19" s="561">
        <v>535000</v>
      </c>
      <c r="D19" s="561">
        <v>535000</v>
      </c>
      <c r="E19" s="561">
        <v>0</v>
      </c>
      <c r="F19" s="242"/>
      <c r="G19" s="100"/>
      <c r="H19" s="330">
        <v>210000</v>
      </c>
      <c r="I19" s="330">
        <v>0</v>
      </c>
      <c r="J19" s="330"/>
      <c r="K19" s="100"/>
      <c r="L19" s="143">
        <f t="shared" si="23"/>
        <v>0.3925233644859813</v>
      </c>
      <c r="M19" s="143">
        <f t="shared" si="24"/>
        <v>0</v>
      </c>
      <c r="N19" s="143">
        <f t="shared" si="25"/>
        <v>0</v>
      </c>
      <c r="O19" s="126"/>
      <c r="P19" s="83">
        <f t="shared" si="26"/>
        <v>0</v>
      </c>
      <c r="Q19" s="83">
        <f t="shared" si="27"/>
        <v>-535000</v>
      </c>
      <c r="R19" s="83">
        <f t="shared" si="28"/>
        <v>0</v>
      </c>
      <c r="S19" s="83">
        <f t="shared" si="30"/>
        <v>-535000</v>
      </c>
      <c r="T19" s="89">
        <f t="shared" si="29"/>
        <v>-1</v>
      </c>
      <c r="U19" s="126"/>
      <c r="V19" s="208">
        <f t="shared" si="22"/>
        <v>0</v>
      </c>
      <c r="W19" s="128"/>
      <c r="X19" s="128"/>
    </row>
    <row r="20" spans="1:26" x14ac:dyDescent="0.2">
      <c r="A20" s="15" t="s">
        <v>15</v>
      </c>
      <c r="B20" s="15" t="s">
        <v>8</v>
      </c>
      <c r="C20" s="561"/>
      <c r="D20" s="561"/>
      <c r="E20" s="561"/>
      <c r="F20" s="242"/>
      <c r="G20" s="100"/>
      <c r="H20" s="330"/>
      <c r="I20" s="330"/>
      <c r="J20" s="330"/>
      <c r="K20" s="100"/>
      <c r="L20" s="143">
        <f t="shared" si="23"/>
        <v>0</v>
      </c>
      <c r="M20" s="143">
        <f t="shared" si="24"/>
        <v>0</v>
      </c>
      <c r="N20" s="143">
        <f t="shared" si="25"/>
        <v>0</v>
      </c>
      <c r="O20" s="126"/>
      <c r="P20" s="83">
        <f t="shared" si="26"/>
        <v>0</v>
      </c>
      <c r="Q20" s="83">
        <f t="shared" si="27"/>
        <v>0</v>
      </c>
      <c r="R20" s="83">
        <f t="shared" si="28"/>
        <v>0</v>
      </c>
      <c r="S20" s="83">
        <f t="shared" si="30"/>
        <v>0</v>
      </c>
      <c r="T20" s="89">
        <f t="shared" si="29"/>
        <v>0</v>
      </c>
      <c r="U20" s="126"/>
      <c r="V20" s="208">
        <f t="shared" si="22"/>
        <v>0</v>
      </c>
      <c r="W20" s="128"/>
      <c r="X20" s="128"/>
    </row>
    <row r="21" spans="1:26" x14ac:dyDescent="0.2">
      <c r="A21" s="15" t="s">
        <v>16</v>
      </c>
      <c r="B21" s="15" t="s">
        <v>9</v>
      </c>
      <c r="C21" s="561">
        <v>148000</v>
      </c>
      <c r="D21" s="561">
        <v>148000</v>
      </c>
      <c r="E21" s="561">
        <v>0</v>
      </c>
      <c r="F21" s="242"/>
      <c r="G21" s="100"/>
      <c r="H21" s="330">
        <v>122700</v>
      </c>
      <c r="I21" s="330">
        <v>0</v>
      </c>
      <c r="J21" s="330"/>
      <c r="K21" s="100"/>
      <c r="L21" s="143">
        <f t="shared" si="23"/>
        <v>0.82905405405405408</v>
      </c>
      <c r="M21" s="143">
        <f t="shared" si="24"/>
        <v>0</v>
      </c>
      <c r="N21" s="143">
        <f t="shared" si="25"/>
        <v>0</v>
      </c>
      <c r="O21" s="126"/>
      <c r="P21" s="83">
        <f t="shared" si="26"/>
        <v>0</v>
      </c>
      <c r="Q21" s="83">
        <f t="shared" si="27"/>
        <v>-148000</v>
      </c>
      <c r="R21" s="83">
        <f t="shared" si="28"/>
        <v>0</v>
      </c>
      <c r="S21" s="83">
        <f t="shared" si="30"/>
        <v>-148000</v>
      </c>
      <c r="T21" s="89">
        <f t="shared" si="29"/>
        <v>-1</v>
      </c>
      <c r="U21" s="126"/>
      <c r="V21" s="208">
        <f t="shared" si="22"/>
        <v>0</v>
      </c>
      <c r="W21" s="128"/>
      <c r="X21" s="128"/>
    </row>
    <row r="22" spans="1:26" x14ac:dyDescent="0.2">
      <c r="A22" s="15" t="s">
        <v>17</v>
      </c>
      <c r="B22" s="15" t="s">
        <v>10</v>
      </c>
      <c r="C22" s="561">
        <v>0</v>
      </c>
      <c r="D22" s="561">
        <v>0</v>
      </c>
      <c r="E22" s="561">
        <v>0</v>
      </c>
      <c r="F22" s="242"/>
      <c r="G22" s="100"/>
      <c r="H22" s="330"/>
      <c r="I22" s="330">
        <v>0</v>
      </c>
      <c r="J22" s="330"/>
      <c r="K22" s="100"/>
      <c r="L22" s="143">
        <f t="shared" si="23"/>
        <v>0</v>
      </c>
      <c r="M22" s="143">
        <f t="shared" si="24"/>
        <v>0</v>
      </c>
      <c r="N22" s="143">
        <f t="shared" si="25"/>
        <v>0</v>
      </c>
      <c r="O22" s="126"/>
      <c r="P22" s="83">
        <f t="shared" si="26"/>
        <v>0</v>
      </c>
      <c r="Q22" s="83">
        <f t="shared" si="27"/>
        <v>0</v>
      </c>
      <c r="R22" s="83">
        <f t="shared" si="28"/>
        <v>0</v>
      </c>
      <c r="S22" s="83">
        <f t="shared" si="30"/>
        <v>0</v>
      </c>
      <c r="T22" s="89">
        <f t="shared" si="29"/>
        <v>0</v>
      </c>
      <c r="U22" s="126"/>
      <c r="V22" s="208">
        <f t="shared" si="22"/>
        <v>0</v>
      </c>
      <c r="W22" s="128"/>
      <c r="X22" s="128"/>
    </row>
    <row r="23" spans="1:26" x14ac:dyDescent="0.2">
      <c r="A23" s="15" t="s">
        <v>18</v>
      </c>
      <c r="B23" s="15" t="s">
        <v>11</v>
      </c>
      <c r="C23" s="561">
        <v>677000</v>
      </c>
      <c r="D23" s="561">
        <v>677000</v>
      </c>
      <c r="E23" s="561">
        <v>0</v>
      </c>
      <c r="F23" s="242"/>
      <c r="G23" s="100"/>
      <c r="H23" s="330">
        <v>506722</v>
      </c>
      <c r="I23" s="330">
        <v>0</v>
      </c>
      <c r="J23" s="330"/>
      <c r="K23" s="100"/>
      <c r="L23" s="143">
        <f t="shared" si="23"/>
        <v>0.74848153618906943</v>
      </c>
      <c r="M23" s="143">
        <f t="shared" si="24"/>
        <v>0</v>
      </c>
      <c r="N23" s="143">
        <f t="shared" si="25"/>
        <v>0</v>
      </c>
      <c r="O23" s="126"/>
      <c r="P23" s="83">
        <f t="shared" si="26"/>
        <v>0</v>
      </c>
      <c r="Q23" s="83">
        <f t="shared" si="27"/>
        <v>-677000</v>
      </c>
      <c r="R23" s="83">
        <f t="shared" si="28"/>
        <v>0</v>
      </c>
      <c r="S23" s="83">
        <f t="shared" si="30"/>
        <v>-677000</v>
      </c>
      <c r="T23" s="89">
        <f t="shared" si="29"/>
        <v>-1</v>
      </c>
      <c r="U23" s="126"/>
      <c r="V23" s="208">
        <f t="shared" si="22"/>
        <v>0</v>
      </c>
      <c r="W23" s="128"/>
      <c r="X23" s="128"/>
    </row>
    <row r="24" spans="1:26" x14ac:dyDescent="0.2">
      <c r="A24" s="15" t="s">
        <v>19</v>
      </c>
      <c r="B24" s="15"/>
      <c r="C24" s="561"/>
      <c r="D24" s="561"/>
      <c r="E24" s="561"/>
      <c r="F24" s="242"/>
      <c r="G24" s="100"/>
      <c r="H24" s="330"/>
      <c r="I24" s="330"/>
      <c r="J24" s="330"/>
      <c r="K24" s="100"/>
      <c r="L24" s="143"/>
      <c r="M24" s="143"/>
      <c r="N24" s="143"/>
      <c r="O24" s="126"/>
      <c r="P24" s="83"/>
      <c r="Q24" s="83"/>
      <c r="R24" s="83"/>
      <c r="S24" s="83"/>
      <c r="T24" s="89"/>
      <c r="U24" s="126"/>
      <c r="V24" s="208">
        <f t="shared" si="22"/>
        <v>0</v>
      </c>
      <c r="W24" s="128"/>
      <c r="X24" s="128"/>
    </row>
    <row r="25" spans="1:26" x14ac:dyDescent="0.2">
      <c r="A25" s="15" t="s">
        <v>20</v>
      </c>
      <c r="B25" s="15" t="s">
        <v>21</v>
      </c>
      <c r="C25" s="561"/>
      <c r="D25" s="561"/>
      <c r="E25" s="561"/>
      <c r="F25" s="242"/>
      <c r="G25" s="100"/>
      <c r="H25" s="330"/>
      <c r="I25" s="330"/>
      <c r="J25" s="330"/>
      <c r="K25" s="100"/>
      <c r="L25" s="143">
        <f t="shared" ref="L25:M27" si="31">IF(H25&gt;0,H25/C25,0)</f>
        <v>0</v>
      </c>
      <c r="M25" s="143">
        <f t="shared" si="31"/>
        <v>0</v>
      </c>
      <c r="N25" s="143">
        <f>IF(J25&gt;0,J25/F25,0)</f>
        <v>0</v>
      </c>
      <c r="O25" s="126"/>
      <c r="P25" s="83">
        <f t="shared" ref="P25:R27" si="32">+(D25-C25)*P$10</f>
        <v>0</v>
      </c>
      <c r="Q25" s="83">
        <f t="shared" si="32"/>
        <v>0</v>
      </c>
      <c r="R25" s="83">
        <f t="shared" si="32"/>
        <v>0</v>
      </c>
      <c r="S25" s="83">
        <f t="shared" si="30"/>
        <v>0</v>
      </c>
      <c r="T25" s="89">
        <f>IF(C25=0,0,+S25/C25)</f>
        <v>0</v>
      </c>
      <c r="U25" s="126"/>
      <c r="V25" s="208">
        <f t="shared" si="22"/>
        <v>0</v>
      </c>
      <c r="W25" s="128"/>
      <c r="X25" s="128"/>
    </row>
    <row r="26" spans="1:26" x14ac:dyDescent="0.2">
      <c r="A26" s="15" t="s">
        <v>22</v>
      </c>
      <c r="B26" s="15" t="s">
        <v>23</v>
      </c>
      <c r="C26" s="561"/>
      <c r="D26" s="561"/>
      <c r="E26" s="561">
        <v>0</v>
      </c>
      <c r="F26" s="242"/>
      <c r="G26" s="100"/>
      <c r="H26" s="330">
        <v>0</v>
      </c>
      <c r="I26" s="330">
        <v>0</v>
      </c>
      <c r="J26" s="330"/>
      <c r="K26" s="100"/>
      <c r="L26" s="143">
        <f t="shared" si="31"/>
        <v>0</v>
      </c>
      <c r="M26" s="143">
        <f t="shared" si="31"/>
        <v>0</v>
      </c>
      <c r="N26" s="143">
        <f>IF(J26&gt;0,J26/F26,0)</f>
        <v>0</v>
      </c>
      <c r="O26" s="126"/>
      <c r="P26" s="83">
        <f t="shared" si="32"/>
        <v>0</v>
      </c>
      <c r="Q26" s="83">
        <f t="shared" si="32"/>
        <v>0</v>
      </c>
      <c r="R26" s="83">
        <f t="shared" si="32"/>
        <v>0</v>
      </c>
      <c r="S26" s="83">
        <f t="shared" si="30"/>
        <v>0</v>
      </c>
      <c r="T26" s="89">
        <f>IF(C26=0,0,+S26/C26)</f>
        <v>0</v>
      </c>
      <c r="U26" s="126"/>
      <c r="V26" s="208">
        <f t="shared" si="22"/>
        <v>0</v>
      </c>
      <c r="W26" s="128"/>
      <c r="X26" s="128"/>
    </row>
    <row r="27" spans="1:26" x14ac:dyDescent="0.2">
      <c r="A27" s="15" t="s">
        <v>24</v>
      </c>
      <c r="B27" s="15" t="s">
        <v>25</v>
      </c>
      <c r="C27" s="328"/>
      <c r="D27" s="242"/>
      <c r="E27" s="242"/>
      <c r="F27" s="242"/>
      <c r="G27" s="100"/>
      <c r="H27" s="330"/>
      <c r="I27" s="330"/>
      <c r="J27" s="330"/>
      <c r="K27" s="100"/>
      <c r="L27" s="143">
        <f t="shared" si="31"/>
        <v>0</v>
      </c>
      <c r="M27" s="143">
        <f t="shared" si="31"/>
        <v>0</v>
      </c>
      <c r="N27" s="143">
        <f>IF(J27&gt;0,J27/F27,0)</f>
        <v>0</v>
      </c>
      <c r="O27" s="126"/>
      <c r="P27" s="83">
        <f t="shared" si="32"/>
        <v>0</v>
      </c>
      <c r="Q27" s="83">
        <f t="shared" si="32"/>
        <v>0</v>
      </c>
      <c r="R27" s="83">
        <f t="shared" si="32"/>
        <v>0</v>
      </c>
      <c r="S27" s="83">
        <f t="shared" si="30"/>
        <v>0</v>
      </c>
      <c r="T27" s="89">
        <f>IF(C27=0,0,+S27/C27)</f>
        <v>0</v>
      </c>
      <c r="U27" s="126"/>
      <c r="V27" s="208">
        <f t="shared" si="22"/>
        <v>0</v>
      </c>
      <c r="W27" s="128"/>
      <c r="X27" s="128"/>
    </row>
    <row r="28" spans="1:26" x14ac:dyDescent="0.2">
      <c r="A28" s="20"/>
      <c r="B28" s="14"/>
      <c r="C28" s="328"/>
      <c r="D28" s="242"/>
      <c r="E28" s="242"/>
      <c r="F28" s="242"/>
      <c r="G28" s="100"/>
      <c r="H28" s="330"/>
      <c r="I28" s="330"/>
      <c r="J28" s="330"/>
      <c r="K28" s="100"/>
      <c r="L28" s="142"/>
      <c r="M28" s="142"/>
      <c r="N28" s="142"/>
      <c r="O28" s="125"/>
      <c r="P28" s="83"/>
      <c r="Q28" s="83"/>
      <c r="R28" s="83"/>
      <c r="S28" s="83"/>
      <c r="T28" s="89"/>
      <c r="U28" s="125"/>
      <c r="V28" s="208">
        <f t="shared" si="22"/>
        <v>0</v>
      </c>
      <c r="W28" s="128"/>
      <c r="X28" s="128"/>
    </row>
    <row r="29" spans="1:26" x14ac:dyDescent="0.2">
      <c r="A29" s="3" t="s">
        <v>26</v>
      </c>
      <c r="B29" s="3" t="s">
        <v>27</v>
      </c>
      <c r="C29" s="95">
        <f>SUM(C30:C31)</f>
        <v>4780000</v>
      </c>
      <c r="D29" s="95">
        <f t="shared" ref="D29:F29" si="33">SUM(D30:D31)</f>
        <v>4780000</v>
      </c>
      <c r="E29" s="95">
        <f t="shared" si="33"/>
        <v>0</v>
      </c>
      <c r="F29" s="95">
        <f t="shared" si="33"/>
        <v>0</v>
      </c>
      <c r="G29" s="96"/>
      <c r="H29" s="95">
        <f t="shared" ref="H29" si="34">SUM(H30:H31)</f>
        <v>2484606</v>
      </c>
      <c r="I29" s="95">
        <f t="shared" ref="I29" si="35">SUM(I30:I31)</f>
        <v>0</v>
      </c>
      <c r="J29" s="95">
        <f t="shared" ref="J29" si="36">SUM(J30:J31)</f>
        <v>0</v>
      </c>
      <c r="K29" s="96"/>
      <c r="L29" s="89">
        <f t="shared" ref="L29:N30" si="37">IF(H29&gt;0,H29/C29,0)</f>
        <v>0.51979205020920505</v>
      </c>
      <c r="M29" s="89">
        <f t="shared" si="37"/>
        <v>0</v>
      </c>
      <c r="N29" s="89">
        <f t="shared" si="37"/>
        <v>0</v>
      </c>
      <c r="O29" s="124"/>
      <c r="P29" s="96">
        <f t="shared" ref="P29:R30" si="38">+(D29-C29)*P$10</f>
        <v>0</v>
      </c>
      <c r="Q29" s="96">
        <f t="shared" si="38"/>
        <v>-4780000</v>
      </c>
      <c r="R29" s="96">
        <f t="shared" si="38"/>
        <v>0</v>
      </c>
      <c r="S29" s="96">
        <f t="shared" si="30"/>
        <v>-4780000</v>
      </c>
      <c r="T29" s="215">
        <f>IF(C29=0,0,+S29/C29)</f>
        <v>-1</v>
      </c>
      <c r="U29" s="124"/>
      <c r="V29" s="208">
        <f t="shared" si="22"/>
        <v>0</v>
      </c>
      <c r="W29" s="128"/>
      <c r="X29" s="128"/>
      <c r="Y29" s="2"/>
      <c r="Z29" s="2"/>
    </row>
    <row r="30" spans="1:26" x14ac:dyDescent="0.2">
      <c r="A30" s="20"/>
      <c r="B30" s="20" t="s">
        <v>28</v>
      </c>
      <c r="C30" s="295">
        <v>4780000</v>
      </c>
      <c r="D30" s="295">
        <v>4780000</v>
      </c>
      <c r="E30" s="295">
        <v>0</v>
      </c>
      <c r="F30" s="295"/>
      <c r="G30" s="327"/>
      <c r="H30" s="327">
        <v>2484606</v>
      </c>
      <c r="I30" s="327">
        <v>0</v>
      </c>
      <c r="J30" s="327"/>
      <c r="K30" s="100"/>
      <c r="L30" s="143">
        <f t="shared" si="37"/>
        <v>0.51979205020920505</v>
      </c>
      <c r="M30" s="143">
        <f t="shared" si="37"/>
        <v>0</v>
      </c>
      <c r="N30" s="143">
        <f t="shared" si="37"/>
        <v>0</v>
      </c>
      <c r="O30" s="126"/>
      <c r="P30" s="83">
        <f t="shared" si="38"/>
        <v>0</v>
      </c>
      <c r="Q30" s="83">
        <f t="shared" si="38"/>
        <v>-4780000</v>
      </c>
      <c r="R30" s="83">
        <f t="shared" si="38"/>
        <v>0</v>
      </c>
      <c r="S30" s="83">
        <f t="shared" si="30"/>
        <v>-4780000</v>
      </c>
      <c r="T30" s="89">
        <f>IF(C30=0,0,+S30/C30)</f>
        <v>-1</v>
      </c>
      <c r="U30" s="126"/>
      <c r="V30" s="208">
        <f t="shared" si="22"/>
        <v>0</v>
      </c>
      <c r="W30" s="128"/>
      <c r="X30" s="128"/>
      <c r="Y30" s="59"/>
    </row>
    <row r="31" spans="1:26" x14ac:dyDescent="0.2">
      <c r="A31" s="20"/>
      <c r="B31" s="14"/>
      <c r="C31" s="70"/>
      <c r="D31" s="99"/>
      <c r="E31" s="99"/>
      <c r="F31" s="99"/>
      <c r="G31" s="100"/>
      <c r="H31" s="100"/>
      <c r="I31" s="100"/>
      <c r="J31" s="100"/>
      <c r="K31" s="100"/>
      <c r="L31" s="142"/>
      <c r="M31" s="142"/>
      <c r="N31" s="142"/>
      <c r="O31" s="125"/>
      <c r="P31" s="83"/>
      <c r="Q31" s="83"/>
      <c r="R31" s="83"/>
      <c r="S31" s="83"/>
      <c r="T31" s="89"/>
      <c r="U31" s="125"/>
      <c r="V31" s="208">
        <f t="shared" si="22"/>
        <v>0</v>
      </c>
      <c r="W31" s="128"/>
      <c r="X31" s="128"/>
    </row>
    <row r="32" spans="1:26" x14ac:dyDescent="0.2">
      <c r="A32" s="3" t="s">
        <v>29</v>
      </c>
      <c r="B32" s="3" t="s">
        <v>30</v>
      </c>
      <c r="C32" s="95">
        <f>+C33+C41+C48+C66+C71</f>
        <v>10571000</v>
      </c>
      <c r="D32" s="95">
        <f>+D33+D41+D48+D66+D71</f>
        <v>10980000</v>
      </c>
      <c r="E32" s="95">
        <f>+E33+E41+E48+E66+E71</f>
        <v>0</v>
      </c>
      <c r="F32" s="95">
        <f>+F33+F41+F48+F66+F71</f>
        <v>0</v>
      </c>
      <c r="G32" s="95"/>
      <c r="H32" s="95">
        <f>+H33+H41+H48+H66+H71</f>
        <v>5462412</v>
      </c>
      <c r="I32" s="95">
        <f>+I33+I41+I48+I66+I71</f>
        <v>0</v>
      </c>
      <c r="J32" s="95">
        <f>+J33+J41+J48+J66+J71</f>
        <v>0</v>
      </c>
      <c r="K32" s="95"/>
      <c r="L32" s="89">
        <f t="shared" ref="L32:L63" si="39">IF(H32&gt;0,H32/C32,0)</f>
        <v>0.51673559738908337</v>
      </c>
      <c r="M32" s="89">
        <f t="shared" ref="M32:M63" si="40">IF(I32&gt;0,I32/D32,0)</f>
        <v>0</v>
      </c>
      <c r="N32" s="89">
        <f t="shared" ref="N32:N63" si="41">IF(J32&gt;0,J32/E32,0)</f>
        <v>0</v>
      </c>
      <c r="O32" s="32"/>
      <c r="P32" s="95">
        <f t="shared" ref="P32:P63" si="42">+(D32-C32)*P$10</f>
        <v>409000</v>
      </c>
      <c r="Q32" s="95">
        <f t="shared" ref="Q32:Q63" si="43">+(E32-D32)*Q$10</f>
        <v>-10980000</v>
      </c>
      <c r="R32" s="95">
        <f t="shared" ref="R32:R63" si="44">+(F32-E32)*R$10</f>
        <v>0</v>
      </c>
      <c r="S32" s="95">
        <f t="shared" si="30"/>
        <v>-10571000</v>
      </c>
      <c r="T32" s="214">
        <f t="shared" ref="T32:T63" si="45">IF(C32=0,0,+S32/C32)</f>
        <v>-1</v>
      </c>
      <c r="U32" s="124"/>
      <c r="V32" s="208">
        <f t="shared" si="22"/>
        <v>0</v>
      </c>
      <c r="W32" s="128"/>
      <c r="X32" s="128"/>
    </row>
    <row r="33" spans="1:25" s="43" customFormat="1" x14ac:dyDescent="0.2">
      <c r="A33" s="40" t="s">
        <v>31</v>
      </c>
      <c r="B33" s="40" t="s">
        <v>32</v>
      </c>
      <c r="C33" s="101">
        <f t="shared" ref="C33:F33" si="46">SUM(C34:C40)</f>
        <v>287000</v>
      </c>
      <c r="D33" s="101">
        <f t="shared" si="46"/>
        <v>358000</v>
      </c>
      <c r="E33" s="101">
        <f t="shared" si="46"/>
        <v>0</v>
      </c>
      <c r="F33" s="101">
        <f t="shared" si="46"/>
        <v>0</v>
      </c>
      <c r="G33" s="101"/>
      <c r="H33" s="101">
        <f>SUM(H34:H40)</f>
        <v>202094</v>
      </c>
      <c r="I33" s="101">
        <f t="shared" ref="I33:J33" si="47">SUM(I34:I40)</f>
        <v>0</v>
      </c>
      <c r="J33" s="101">
        <f t="shared" si="47"/>
        <v>0</v>
      </c>
      <c r="K33" s="101"/>
      <c r="L33" s="144">
        <f t="shared" si="39"/>
        <v>0.70416027874564457</v>
      </c>
      <c r="M33" s="144">
        <f t="shared" si="40"/>
        <v>0</v>
      </c>
      <c r="N33" s="144">
        <f t="shared" si="41"/>
        <v>0</v>
      </c>
      <c r="O33" s="41"/>
      <c r="P33" s="83">
        <f t="shared" si="42"/>
        <v>71000</v>
      </c>
      <c r="Q33" s="83">
        <f t="shared" si="43"/>
        <v>-358000</v>
      </c>
      <c r="R33" s="83">
        <f t="shared" si="44"/>
        <v>0</v>
      </c>
      <c r="S33" s="83">
        <f t="shared" ref="S33:S89" si="48">SUM(P33:R33)</f>
        <v>-287000</v>
      </c>
      <c r="T33" s="89">
        <f t="shared" si="45"/>
        <v>-1</v>
      </c>
      <c r="U33" s="127"/>
      <c r="V33" s="208">
        <f t="shared" si="22"/>
        <v>0</v>
      </c>
      <c r="W33" s="135"/>
      <c r="X33" s="135"/>
    </row>
    <row r="34" spans="1:25" x14ac:dyDescent="0.2">
      <c r="A34" s="20" t="s">
        <v>33</v>
      </c>
      <c r="B34" s="20" t="s">
        <v>35</v>
      </c>
      <c r="C34" s="150">
        <v>0</v>
      </c>
      <c r="D34" s="150">
        <v>71000</v>
      </c>
      <c r="E34" s="150">
        <v>0</v>
      </c>
      <c r="F34" s="70"/>
      <c r="G34" s="102"/>
      <c r="H34" s="102">
        <v>49172</v>
      </c>
      <c r="I34" s="102">
        <v>0</v>
      </c>
      <c r="J34" s="102"/>
      <c r="K34" s="102"/>
      <c r="L34" s="143" t="e">
        <f t="shared" si="39"/>
        <v>#DIV/0!</v>
      </c>
      <c r="M34" s="143">
        <f t="shared" si="40"/>
        <v>0</v>
      </c>
      <c r="N34" s="143">
        <f t="shared" si="41"/>
        <v>0</v>
      </c>
      <c r="O34" s="126"/>
      <c r="P34" s="83">
        <f t="shared" si="42"/>
        <v>71000</v>
      </c>
      <c r="Q34" s="83">
        <f t="shared" si="43"/>
        <v>-71000</v>
      </c>
      <c r="R34" s="83">
        <f t="shared" si="44"/>
        <v>0</v>
      </c>
      <c r="S34" s="83">
        <f t="shared" si="48"/>
        <v>0</v>
      </c>
      <c r="T34" s="89">
        <f t="shared" si="45"/>
        <v>0</v>
      </c>
      <c r="U34" s="126"/>
      <c r="V34" s="208">
        <f t="shared" si="22"/>
        <v>0</v>
      </c>
      <c r="W34" s="128"/>
      <c r="X34" s="128"/>
    </row>
    <row r="35" spans="1:25" x14ac:dyDescent="0.2">
      <c r="A35" s="20"/>
      <c r="B35" s="20" t="s">
        <v>89</v>
      </c>
      <c r="C35" s="150"/>
      <c r="D35" s="150"/>
      <c r="E35" s="150"/>
      <c r="F35" s="70"/>
      <c r="G35" s="102"/>
      <c r="H35" s="102"/>
      <c r="I35" s="102"/>
      <c r="J35" s="102"/>
      <c r="K35" s="102"/>
      <c r="L35" s="142">
        <f t="shared" si="39"/>
        <v>0</v>
      </c>
      <c r="M35" s="142">
        <f t="shared" si="40"/>
        <v>0</v>
      </c>
      <c r="N35" s="142">
        <f t="shared" si="41"/>
        <v>0</v>
      </c>
      <c r="O35" s="125"/>
      <c r="P35" s="83">
        <f t="shared" si="42"/>
        <v>0</v>
      </c>
      <c r="Q35" s="83">
        <f t="shared" si="43"/>
        <v>0</v>
      </c>
      <c r="R35" s="83">
        <f t="shared" si="44"/>
        <v>0</v>
      </c>
      <c r="S35" s="83">
        <f t="shared" si="48"/>
        <v>0</v>
      </c>
      <c r="T35" s="89">
        <f t="shared" si="45"/>
        <v>0</v>
      </c>
      <c r="U35" s="125"/>
      <c r="V35" s="208">
        <f t="shared" si="22"/>
        <v>0</v>
      </c>
      <c r="W35" s="128"/>
      <c r="X35" s="128"/>
    </row>
    <row r="36" spans="1:25" x14ac:dyDescent="0.2">
      <c r="A36" s="20" t="s">
        <v>34</v>
      </c>
      <c r="B36" s="20" t="s">
        <v>36</v>
      </c>
      <c r="C36" s="150">
        <v>287000</v>
      </c>
      <c r="D36" s="150">
        <v>287000</v>
      </c>
      <c r="E36" s="150">
        <v>0</v>
      </c>
      <c r="F36" s="70"/>
      <c r="G36" s="102"/>
      <c r="H36" s="102">
        <v>152922</v>
      </c>
      <c r="I36" s="102">
        <v>0</v>
      </c>
      <c r="J36" s="102"/>
      <c r="K36" s="102"/>
      <c r="L36" s="143">
        <f t="shared" si="39"/>
        <v>0.53282926829268296</v>
      </c>
      <c r="M36" s="143">
        <f t="shared" si="40"/>
        <v>0</v>
      </c>
      <c r="N36" s="143">
        <f t="shared" si="41"/>
        <v>0</v>
      </c>
      <c r="O36" s="126"/>
      <c r="P36" s="83">
        <f t="shared" si="42"/>
        <v>0</v>
      </c>
      <c r="Q36" s="83">
        <f t="shared" si="43"/>
        <v>-287000</v>
      </c>
      <c r="R36" s="83">
        <f t="shared" si="44"/>
        <v>0</v>
      </c>
      <c r="S36" s="83">
        <f t="shared" si="48"/>
        <v>-287000</v>
      </c>
      <c r="T36" s="89">
        <f t="shared" si="45"/>
        <v>-1</v>
      </c>
      <c r="U36" s="126"/>
      <c r="V36" s="208">
        <f t="shared" si="22"/>
        <v>0</v>
      </c>
      <c r="W36" s="128"/>
      <c r="X36" s="128"/>
    </row>
    <row r="37" spans="1:25" x14ac:dyDescent="0.2">
      <c r="A37" s="20"/>
      <c r="B37" s="20" t="s">
        <v>96</v>
      </c>
      <c r="C37" s="150"/>
      <c r="D37" s="150"/>
      <c r="E37" s="150"/>
      <c r="F37" s="70"/>
      <c r="G37" s="102"/>
      <c r="H37" s="102"/>
      <c r="I37" s="102"/>
      <c r="J37" s="102"/>
      <c r="K37" s="102"/>
      <c r="L37" s="142">
        <f t="shared" si="39"/>
        <v>0</v>
      </c>
      <c r="M37" s="142">
        <f t="shared" si="40"/>
        <v>0</v>
      </c>
      <c r="N37" s="142">
        <f t="shared" si="41"/>
        <v>0</v>
      </c>
      <c r="O37" s="125"/>
      <c r="P37" s="83">
        <f t="shared" si="42"/>
        <v>0</v>
      </c>
      <c r="Q37" s="83">
        <f t="shared" si="43"/>
        <v>0</v>
      </c>
      <c r="R37" s="83">
        <f t="shared" si="44"/>
        <v>0</v>
      </c>
      <c r="S37" s="83">
        <f t="shared" si="48"/>
        <v>0</v>
      </c>
      <c r="T37" s="89">
        <f t="shared" si="45"/>
        <v>0</v>
      </c>
      <c r="U37" s="125"/>
      <c r="V37" s="208">
        <f t="shared" si="22"/>
        <v>0</v>
      </c>
      <c r="W37" s="128"/>
      <c r="X37" s="128"/>
    </row>
    <row r="38" spans="1:25" x14ac:dyDescent="0.2">
      <c r="A38" s="20"/>
      <c r="B38" s="20" t="s">
        <v>95</v>
      </c>
      <c r="C38" s="150"/>
      <c r="D38" s="150"/>
      <c r="E38" s="150"/>
      <c r="F38" s="70"/>
      <c r="G38" s="102"/>
      <c r="H38" s="102"/>
      <c r="I38" s="102"/>
      <c r="J38" s="102"/>
      <c r="K38" s="102"/>
      <c r="L38" s="142">
        <f t="shared" si="39"/>
        <v>0</v>
      </c>
      <c r="M38" s="142">
        <f t="shared" si="40"/>
        <v>0</v>
      </c>
      <c r="N38" s="142">
        <f t="shared" si="41"/>
        <v>0</v>
      </c>
      <c r="O38" s="125"/>
      <c r="P38" s="83">
        <f t="shared" si="42"/>
        <v>0</v>
      </c>
      <c r="Q38" s="83">
        <f t="shared" si="43"/>
        <v>0</v>
      </c>
      <c r="R38" s="83">
        <f t="shared" si="44"/>
        <v>0</v>
      </c>
      <c r="S38" s="83">
        <f t="shared" si="48"/>
        <v>0</v>
      </c>
      <c r="T38" s="89">
        <f t="shared" si="45"/>
        <v>0</v>
      </c>
      <c r="U38" s="125"/>
      <c r="V38" s="208">
        <f t="shared" si="22"/>
        <v>0</v>
      </c>
      <c r="W38" s="128"/>
      <c r="X38" s="128"/>
    </row>
    <row r="39" spans="1:25" x14ac:dyDescent="0.2">
      <c r="A39" s="20"/>
      <c r="B39" s="20" t="s">
        <v>94</v>
      </c>
      <c r="C39" s="150"/>
      <c r="D39" s="150"/>
      <c r="E39" s="150"/>
      <c r="F39" s="70"/>
      <c r="G39" s="102"/>
      <c r="H39" s="102"/>
      <c r="I39" s="102"/>
      <c r="J39" s="102"/>
      <c r="K39" s="102"/>
      <c r="L39" s="142">
        <f t="shared" si="39"/>
        <v>0</v>
      </c>
      <c r="M39" s="142">
        <f t="shared" si="40"/>
        <v>0</v>
      </c>
      <c r="N39" s="142">
        <f t="shared" si="41"/>
        <v>0</v>
      </c>
      <c r="O39" s="125"/>
      <c r="P39" s="83">
        <f t="shared" si="42"/>
        <v>0</v>
      </c>
      <c r="Q39" s="83">
        <f t="shared" si="43"/>
        <v>0</v>
      </c>
      <c r="R39" s="83">
        <f t="shared" si="44"/>
        <v>0</v>
      </c>
      <c r="S39" s="83">
        <f t="shared" si="48"/>
        <v>0</v>
      </c>
      <c r="T39" s="89">
        <f t="shared" si="45"/>
        <v>0</v>
      </c>
      <c r="U39" s="125"/>
      <c r="V39" s="208">
        <f t="shared" si="22"/>
        <v>0</v>
      </c>
      <c r="W39" s="128"/>
      <c r="X39" s="128"/>
    </row>
    <row r="40" spans="1:25" x14ac:dyDescent="0.2">
      <c r="A40" s="20"/>
      <c r="B40" s="20" t="s">
        <v>93</v>
      </c>
      <c r="C40" s="150">
        <v>0</v>
      </c>
      <c r="D40" s="150">
        <v>0</v>
      </c>
      <c r="E40" s="150">
        <v>0</v>
      </c>
      <c r="F40" s="70"/>
      <c r="G40" s="102"/>
      <c r="H40" s="102">
        <v>0</v>
      </c>
      <c r="I40" s="102">
        <v>0</v>
      </c>
      <c r="J40" s="102"/>
      <c r="K40" s="102"/>
      <c r="L40" s="143">
        <f t="shared" si="39"/>
        <v>0</v>
      </c>
      <c r="M40" s="143">
        <f t="shared" si="40"/>
        <v>0</v>
      </c>
      <c r="N40" s="143">
        <f t="shared" si="41"/>
        <v>0</v>
      </c>
      <c r="O40" s="126"/>
      <c r="P40" s="83">
        <f t="shared" si="42"/>
        <v>0</v>
      </c>
      <c r="Q40" s="83">
        <f t="shared" si="43"/>
        <v>0</v>
      </c>
      <c r="R40" s="83">
        <f t="shared" si="44"/>
        <v>0</v>
      </c>
      <c r="S40" s="83">
        <f t="shared" si="48"/>
        <v>0</v>
      </c>
      <c r="T40" s="89">
        <f t="shared" si="45"/>
        <v>0</v>
      </c>
      <c r="U40" s="126"/>
      <c r="V40" s="208">
        <f t="shared" si="22"/>
        <v>0</v>
      </c>
      <c r="W40" s="128"/>
      <c r="X40" s="128"/>
    </row>
    <row r="41" spans="1:25" s="43" customFormat="1" x14ac:dyDescent="0.2">
      <c r="A41" s="40" t="s">
        <v>37</v>
      </c>
      <c r="B41" s="40" t="s">
        <v>38</v>
      </c>
      <c r="C41" s="101">
        <f>SUM(C42:C47)</f>
        <v>174000</v>
      </c>
      <c r="D41" s="101">
        <f t="shared" ref="D41:F41" si="49">SUM(D42:D47)</f>
        <v>174000</v>
      </c>
      <c r="E41" s="101">
        <f t="shared" si="49"/>
        <v>0</v>
      </c>
      <c r="F41" s="101">
        <f t="shared" si="49"/>
        <v>0</v>
      </c>
      <c r="G41" s="101"/>
      <c r="H41" s="101">
        <f t="shared" ref="H41" si="50">SUM(H42:H47)</f>
        <v>86598</v>
      </c>
      <c r="I41" s="101">
        <f t="shared" ref="I41" si="51">SUM(I42:I47)</f>
        <v>0</v>
      </c>
      <c r="J41" s="101">
        <f t="shared" ref="J41" si="52">SUM(J42:J47)</f>
        <v>0</v>
      </c>
      <c r="K41" s="101"/>
      <c r="L41" s="144">
        <f t="shared" si="39"/>
        <v>0.49768965517241381</v>
      </c>
      <c r="M41" s="144">
        <f t="shared" si="40"/>
        <v>0</v>
      </c>
      <c r="N41" s="144">
        <f t="shared" si="41"/>
        <v>0</v>
      </c>
      <c r="O41" s="127"/>
      <c r="P41" s="83">
        <f t="shared" si="42"/>
        <v>0</v>
      </c>
      <c r="Q41" s="83">
        <f t="shared" si="43"/>
        <v>-174000</v>
      </c>
      <c r="R41" s="83">
        <f t="shared" si="44"/>
        <v>0</v>
      </c>
      <c r="S41" s="83">
        <f t="shared" si="48"/>
        <v>-174000</v>
      </c>
      <c r="T41" s="89">
        <f t="shared" si="45"/>
        <v>-1</v>
      </c>
      <c r="U41" s="127"/>
      <c r="V41" s="208">
        <f t="shared" si="22"/>
        <v>0</v>
      </c>
      <c r="W41" s="135"/>
      <c r="X41" s="135"/>
    </row>
    <row r="42" spans="1:25" x14ac:dyDescent="0.2">
      <c r="A42" s="20" t="s">
        <v>39</v>
      </c>
      <c r="B42" s="20" t="s">
        <v>40</v>
      </c>
      <c r="C42" s="70">
        <v>78000</v>
      </c>
      <c r="D42" s="70">
        <v>78000</v>
      </c>
      <c r="E42" s="150">
        <v>0</v>
      </c>
      <c r="F42" s="70"/>
      <c r="G42" s="102"/>
      <c r="H42" s="102">
        <v>39000</v>
      </c>
      <c r="I42" s="102">
        <v>0</v>
      </c>
      <c r="J42" s="102"/>
      <c r="K42" s="102"/>
      <c r="L42" s="143">
        <f t="shared" si="39"/>
        <v>0.5</v>
      </c>
      <c r="M42" s="143">
        <f t="shared" si="40"/>
        <v>0</v>
      </c>
      <c r="N42" s="143">
        <f t="shared" si="41"/>
        <v>0</v>
      </c>
      <c r="O42" s="126"/>
      <c r="P42" s="83">
        <f t="shared" si="42"/>
        <v>0</v>
      </c>
      <c r="Q42" s="83">
        <f t="shared" si="43"/>
        <v>-78000</v>
      </c>
      <c r="R42" s="83">
        <f t="shared" si="44"/>
        <v>0</v>
      </c>
      <c r="S42" s="83">
        <f t="shared" si="48"/>
        <v>-78000</v>
      </c>
      <c r="T42" s="89">
        <f t="shared" si="45"/>
        <v>-1</v>
      </c>
      <c r="U42" s="126"/>
      <c r="V42" s="208">
        <f t="shared" si="22"/>
        <v>0</v>
      </c>
      <c r="W42" s="128"/>
      <c r="X42" s="128"/>
      <c r="Y42" s="2"/>
    </row>
    <row r="43" spans="1:25" ht="14.25" customHeight="1" x14ac:dyDescent="0.2">
      <c r="A43" s="20"/>
      <c r="B43" s="20" t="s">
        <v>41</v>
      </c>
      <c r="C43" s="70"/>
      <c r="D43" s="70"/>
      <c r="E43" s="70"/>
      <c r="F43" s="70"/>
      <c r="G43" s="102"/>
      <c r="H43" s="102"/>
      <c r="I43" s="102"/>
      <c r="J43" s="102"/>
      <c r="K43" s="102"/>
      <c r="L43" s="142">
        <f t="shared" si="39"/>
        <v>0</v>
      </c>
      <c r="M43" s="142">
        <f t="shared" si="40"/>
        <v>0</v>
      </c>
      <c r="N43" s="142">
        <f t="shared" si="41"/>
        <v>0</v>
      </c>
      <c r="O43" s="125"/>
      <c r="P43" s="83">
        <f t="shared" si="42"/>
        <v>0</v>
      </c>
      <c r="Q43" s="83">
        <f t="shared" si="43"/>
        <v>0</v>
      </c>
      <c r="R43" s="83">
        <f t="shared" si="44"/>
        <v>0</v>
      </c>
      <c r="S43" s="83">
        <f t="shared" si="48"/>
        <v>0</v>
      </c>
      <c r="T43" s="89">
        <f t="shared" si="45"/>
        <v>0</v>
      </c>
      <c r="U43" s="125"/>
      <c r="V43" s="208">
        <f t="shared" si="22"/>
        <v>0</v>
      </c>
      <c r="W43" s="128"/>
      <c r="X43" s="128"/>
    </row>
    <row r="44" spans="1:25" ht="15.75" customHeight="1" x14ac:dyDescent="0.2">
      <c r="A44" s="20"/>
      <c r="B44" s="20" t="s">
        <v>42</v>
      </c>
      <c r="C44" s="70"/>
      <c r="D44" s="70"/>
      <c r="E44" s="70"/>
      <c r="F44" s="70"/>
      <c r="G44" s="102"/>
      <c r="H44" s="102"/>
      <c r="I44" s="102"/>
      <c r="J44" s="102"/>
      <c r="K44" s="102"/>
      <c r="L44" s="142">
        <f t="shared" si="39"/>
        <v>0</v>
      </c>
      <c r="M44" s="142">
        <f t="shared" si="40"/>
        <v>0</v>
      </c>
      <c r="N44" s="142">
        <f t="shared" si="41"/>
        <v>0</v>
      </c>
      <c r="O44" s="125"/>
      <c r="P44" s="83">
        <f t="shared" si="42"/>
        <v>0</v>
      </c>
      <c r="Q44" s="83">
        <f t="shared" si="43"/>
        <v>0</v>
      </c>
      <c r="R44" s="83">
        <f t="shared" si="44"/>
        <v>0</v>
      </c>
      <c r="S44" s="83">
        <f t="shared" si="48"/>
        <v>0</v>
      </c>
      <c r="T44" s="89">
        <f t="shared" si="45"/>
        <v>0</v>
      </c>
      <c r="U44" s="125"/>
      <c r="V44" s="208">
        <f t="shared" si="22"/>
        <v>0</v>
      </c>
      <c r="W44" s="128"/>
      <c r="X44" s="128"/>
    </row>
    <row r="45" spans="1:25" x14ac:dyDescent="0.2">
      <c r="A45" s="20"/>
      <c r="B45" s="20" t="s">
        <v>43</v>
      </c>
      <c r="C45" s="70"/>
      <c r="D45" s="70"/>
      <c r="E45" s="70"/>
      <c r="F45" s="70"/>
      <c r="G45" s="102"/>
      <c r="H45" s="102"/>
      <c r="I45" s="102"/>
      <c r="J45" s="102"/>
      <c r="K45" s="102"/>
      <c r="L45" s="142">
        <f t="shared" si="39"/>
        <v>0</v>
      </c>
      <c r="M45" s="142">
        <f t="shared" si="40"/>
        <v>0</v>
      </c>
      <c r="N45" s="142">
        <f t="shared" si="41"/>
        <v>0</v>
      </c>
      <c r="O45" s="125"/>
      <c r="P45" s="83">
        <f t="shared" si="42"/>
        <v>0</v>
      </c>
      <c r="Q45" s="83">
        <f t="shared" si="43"/>
        <v>0</v>
      </c>
      <c r="R45" s="83">
        <f t="shared" si="44"/>
        <v>0</v>
      </c>
      <c r="S45" s="83">
        <f t="shared" si="48"/>
        <v>0</v>
      </c>
      <c r="T45" s="89">
        <f t="shared" si="45"/>
        <v>0</v>
      </c>
      <c r="U45" s="125"/>
      <c r="V45" s="208">
        <f t="shared" si="22"/>
        <v>0</v>
      </c>
      <c r="W45" s="128"/>
      <c r="X45" s="128"/>
    </row>
    <row r="46" spans="1:25" x14ac:dyDescent="0.2">
      <c r="A46" s="20" t="s">
        <v>44</v>
      </c>
      <c r="B46" s="20" t="s">
        <v>45</v>
      </c>
      <c r="C46" s="70">
        <v>96000</v>
      </c>
      <c r="D46" s="70">
        <v>96000</v>
      </c>
      <c r="E46" s="150">
        <v>0</v>
      </c>
      <c r="F46" s="70"/>
      <c r="G46" s="102"/>
      <c r="H46" s="102">
        <v>47598</v>
      </c>
      <c r="I46" s="102">
        <v>0</v>
      </c>
      <c r="J46" s="102"/>
      <c r="K46" s="102"/>
      <c r="L46" s="143">
        <f t="shared" si="39"/>
        <v>0.49581249999999999</v>
      </c>
      <c r="M46" s="143">
        <f t="shared" si="40"/>
        <v>0</v>
      </c>
      <c r="N46" s="143">
        <f t="shared" si="41"/>
        <v>0</v>
      </c>
      <c r="O46" s="126"/>
      <c r="P46" s="83">
        <f t="shared" si="42"/>
        <v>0</v>
      </c>
      <c r="Q46" s="83">
        <f t="shared" si="43"/>
        <v>-96000</v>
      </c>
      <c r="R46" s="83">
        <f t="shared" si="44"/>
        <v>0</v>
      </c>
      <c r="S46" s="83">
        <f t="shared" si="48"/>
        <v>-96000</v>
      </c>
      <c r="T46" s="89">
        <f t="shared" si="45"/>
        <v>-1</v>
      </c>
      <c r="U46" s="126"/>
      <c r="V46" s="208">
        <f t="shared" si="22"/>
        <v>0</v>
      </c>
      <c r="W46" s="128"/>
      <c r="X46" s="128"/>
    </row>
    <row r="47" spans="1:25" ht="15.75" customHeight="1" x14ac:dyDescent="0.2">
      <c r="A47" s="20"/>
      <c r="B47" s="20" t="s">
        <v>46</v>
      </c>
      <c r="C47" s="70"/>
      <c r="D47" s="70"/>
      <c r="E47" s="70"/>
      <c r="F47" s="70"/>
      <c r="G47" s="102"/>
      <c r="H47" s="102"/>
      <c r="I47" s="102"/>
      <c r="J47" s="102"/>
      <c r="K47" s="102"/>
      <c r="L47" s="142">
        <f t="shared" si="39"/>
        <v>0</v>
      </c>
      <c r="M47" s="142">
        <f t="shared" si="40"/>
        <v>0</v>
      </c>
      <c r="N47" s="142">
        <f t="shared" si="41"/>
        <v>0</v>
      </c>
      <c r="O47" s="125"/>
      <c r="P47" s="83">
        <f t="shared" si="42"/>
        <v>0</v>
      </c>
      <c r="Q47" s="83">
        <f t="shared" si="43"/>
        <v>0</v>
      </c>
      <c r="R47" s="83">
        <f t="shared" si="44"/>
        <v>0</v>
      </c>
      <c r="S47" s="83">
        <f t="shared" si="48"/>
        <v>0</v>
      </c>
      <c r="T47" s="89">
        <f t="shared" si="45"/>
        <v>0</v>
      </c>
      <c r="U47" s="125"/>
      <c r="V47" s="208">
        <f t="shared" si="22"/>
        <v>0</v>
      </c>
      <c r="W47" s="128"/>
      <c r="X47" s="128"/>
    </row>
    <row r="48" spans="1:25" s="43" customFormat="1" x14ac:dyDescent="0.2">
      <c r="A48" s="40" t="s">
        <v>47</v>
      </c>
      <c r="B48" s="40" t="s">
        <v>48</v>
      </c>
      <c r="C48" s="101">
        <f>SUM(C49:C65)</f>
        <v>6306000</v>
      </c>
      <c r="D48" s="101">
        <f t="shared" ref="D48:F48" si="53">SUM(D49:D65)</f>
        <v>7267000</v>
      </c>
      <c r="E48" s="101">
        <f t="shared" si="53"/>
        <v>0</v>
      </c>
      <c r="F48" s="101">
        <f t="shared" si="53"/>
        <v>0</v>
      </c>
      <c r="G48" s="101"/>
      <c r="H48" s="101">
        <f t="shared" ref="H48" si="54">SUM(H49:H65)</f>
        <v>3465173</v>
      </c>
      <c r="I48" s="101">
        <f t="shared" ref="I48" si="55">SUM(I49:I65)</f>
        <v>0</v>
      </c>
      <c r="J48" s="101">
        <f t="shared" ref="J48" si="56">SUM(J49:J65)</f>
        <v>0</v>
      </c>
      <c r="K48" s="101"/>
      <c r="L48" s="144">
        <f t="shared" si="39"/>
        <v>0.54950412305740559</v>
      </c>
      <c r="M48" s="144">
        <f t="shared" si="40"/>
        <v>0</v>
      </c>
      <c r="N48" s="144">
        <f t="shared" si="41"/>
        <v>0</v>
      </c>
      <c r="O48" s="127"/>
      <c r="P48" s="83">
        <f t="shared" si="42"/>
        <v>961000</v>
      </c>
      <c r="Q48" s="83">
        <f t="shared" si="43"/>
        <v>-7267000</v>
      </c>
      <c r="R48" s="83">
        <f t="shared" si="44"/>
        <v>0</v>
      </c>
      <c r="S48" s="83">
        <f t="shared" si="48"/>
        <v>-6306000</v>
      </c>
      <c r="T48" s="89">
        <f t="shared" si="45"/>
        <v>-1</v>
      </c>
      <c r="U48" s="127"/>
      <c r="V48" s="208">
        <f t="shared" si="22"/>
        <v>0</v>
      </c>
      <c r="W48" s="135"/>
      <c r="X48" s="135"/>
    </row>
    <row r="49" spans="1:25" x14ac:dyDescent="0.2">
      <c r="A49" s="20" t="s">
        <v>49</v>
      </c>
      <c r="B49" s="622" t="s">
        <v>50</v>
      </c>
      <c r="C49" s="70">
        <v>558000</v>
      </c>
      <c r="D49" s="70">
        <v>1564000</v>
      </c>
      <c r="E49" s="70">
        <v>0</v>
      </c>
      <c r="F49" s="70"/>
      <c r="G49" s="102"/>
      <c r="H49" s="102">
        <v>821375</v>
      </c>
      <c r="I49" s="102">
        <v>0</v>
      </c>
      <c r="J49" s="102"/>
      <c r="K49" s="102"/>
      <c r="L49" s="143">
        <f t="shared" si="39"/>
        <v>1.4719982078853047</v>
      </c>
      <c r="M49" s="143">
        <f t="shared" si="40"/>
        <v>0</v>
      </c>
      <c r="N49" s="143">
        <f t="shared" si="41"/>
        <v>0</v>
      </c>
      <c r="O49" s="126"/>
      <c r="P49" s="83">
        <f t="shared" si="42"/>
        <v>1006000</v>
      </c>
      <c r="Q49" s="83">
        <f t="shared" si="43"/>
        <v>-1564000</v>
      </c>
      <c r="R49" s="83">
        <f t="shared" si="44"/>
        <v>0</v>
      </c>
      <c r="S49" s="83">
        <f t="shared" si="48"/>
        <v>-558000</v>
      </c>
      <c r="T49" s="89">
        <f t="shared" si="45"/>
        <v>-1</v>
      </c>
      <c r="U49" s="126"/>
      <c r="V49" s="208">
        <f t="shared" si="22"/>
        <v>0</v>
      </c>
      <c r="W49" s="128"/>
      <c r="X49" s="128"/>
    </row>
    <row r="50" spans="1:25" x14ac:dyDescent="0.2">
      <c r="A50" s="20" t="s">
        <v>103</v>
      </c>
      <c r="B50" s="20" t="s">
        <v>97</v>
      </c>
      <c r="C50" s="70"/>
      <c r="D50" s="70"/>
      <c r="E50" s="70"/>
      <c r="F50" s="70"/>
      <c r="G50" s="102"/>
      <c r="H50" s="102"/>
      <c r="I50" s="102"/>
      <c r="J50" s="102"/>
      <c r="K50" s="102"/>
      <c r="L50" s="142">
        <f t="shared" si="39"/>
        <v>0</v>
      </c>
      <c r="M50" s="142">
        <f t="shared" si="40"/>
        <v>0</v>
      </c>
      <c r="N50" s="142">
        <f t="shared" si="41"/>
        <v>0</v>
      </c>
      <c r="O50" s="125"/>
      <c r="P50" s="83">
        <f t="shared" si="42"/>
        <v>0</v>
      </c>
      <c r="Q50" s="83">
        <f t="shared" si="43"/>
        <v>0</v>
      </c>
      <c r="R50" s="83">
        <f t="shared" si="44"/>
        <v>0</v>
      </c>
      <c r="S50" s="83">
        <f t="shared" si="48"/>
        <v>0</v>
      </c>
      <c r="T50" s="89">
        <f t="shared" si="45"/>
        <v>0</v>
      </c>
      <c r="U50" s="125"/>
      <c r="V50" s="208">
        <f t="shared" si="22"/>
        <v>0</v>
      </c>
      <c r="W50" s="128"/>
      <c r="X50" s="128"/>
    </row>
    <row r="51" spans="1:25" x14ac:dyDescent="0.2">
      <c r="A51" s="20"/>
      <c r="B51" s="20" t="s">
        <v>98</v>
      </c>
      <c r="C51" s="70"/>
      <c r="D51" s="70"/>
      <c r="E51" s="70"/>
      <c r="F51" s="70"/>
      <c r="G51" s="102"/>
      <c r="H51" s="102"/>
      <c r="I51" s="102"/>
      <c r="J51" s="102"/>
      <c r="K51" s="102"/>
      <c r="L51" s="142">
        <f t="shared" si="39"/>
        <v>0</v>
      </c>
      <c r="M51" s="142">
        <f t="shared" si="40"/>
        <v>0</v>
      </c>
      <c r="N51" s="142">
        <f t="shared" si="41"/>
        <v>0</v>
      </c>
      <c r="O51" s="125"/>
      <c r="P51" s="83">
        <f t="shared" si="42"/>
        <v>0</v>
      </c>
      <c r="Q51" s="83">
        <f t="shared" si="43"/>
        <v>0</v>
      </c>
      <c r="R51" s="83">
        <f t="shared" si="44"/>
        <v>0</v>
      </c>
      <c r="S51" s="83">
        <f t="shared" si="48"/>
        <v>0</v>
      </c>
      <c r="T51" s="89">
        <f t="shared" si="45"/>
        <v>0</v>
      </c>
      <c r="U51" s="125"/>
      <c r="V51" s="208">
        <f t="shared" si="22"/>
        <v>0</v>
      </c>
      <c r="W51" s="128"/>
      <c r="X51" s="128"/>
    </row>
    <row r="52" spans="1:25" x14ac:dyDescent="0.2">
      <c r="A52" s="20"/>
      <c r="B52" s="20" t="s">
        <v>99</v>
      </c>
      <c r="C52" s="70"/>
      <c r="D52" s="70"/>
      <c r="E52" s="70"/>
      <c r="F52" s="70"/>
      <c r="G52" s="102"/>
      <c r="H52" s="102"/>
      <c r="I52" s="102"/>
      <c r="J52" s="102"/>
      <c r="K52" s="102"/>
      <c r="L52" s="142">
        <f t="shared" si="39"/>
        <v>0</v>
      </c>
      <c r="M52" s="142">
        <f t="shared" si="40"/>
        <v>0</v>
      </c>
      <c r="N52" s="142">
        <f t="shared" si="41"/>
        <v>0</v>
      </c>
      <c r="O52" s="125"/>
      <c r="P52" s="83">
        <f t="shared" si="42"/>
        <v>0</v>
      </c>
      <c r="Q52" s="83">
        <f t="shared" si="43"/>
        <v>0</v>
      </c>
      <c r="R52" s="83">
        <f t="shared" si="44"/>
        <v>0</v>
      </c>
      <c r="S52" s="83">
        <f t="shared" si="48"/>
        <v>0</v>
      </c>
      <c r="T52" s="89">
        <f t="shared" si="45"/>
        <v>0</v>
      </c>
      <c r="U52" s="125"/>
      <c r="V52" s="208">
        <f t="shared" si="22"/>
        <v>0</v>
      </c>
      <c r="W52" s="128"/>
      <c r="X52" s="128"/>
    </row>
    <row r="53" spans="1:25" x14ac:dyDescent="0.2">
      <c r="A53" s="20" t="s">
        <v>51</v>
      </c>
      <c r="B53" s="20" t="s">
        <v>52</v>
      </c>
      <c r="C53" s="70">
        <v>5535000</v>
      </c>
      <c r="D53" s="70">
        <v>5486000</v>
      </c>
      <c r="E53" s="150">
        <v>0</v>
      </c>
      <c r="F53" s="70"/>
      <c r="G53" s="102"/>
      <c r="H53" s="102">
        <v>2508996</v>
      </c>
      <c r="I53" s="102">
        <v>0</v>
      </c>
      <c r="J53" s="102"/>
      <c r="K53" s="102"/>
      <c r="L53" s="143">
        <f t="shared" si="39"/>
        <v>0.45329647696476966</v>
      </c>
      <c r="M53" s="143">
        <f t="shared" si="40"/>
        <v>0</v>
      </c>
      <c r="N53" s="143">
        <f t="shared" si="41"/>
        <v>0</v>
      </c>
      <c r="O53" s="126"/>
      <c r="P53" s="83">
        <f t="shared" si="42"/>
        <v>-49000</v>
      </c>
      <c r="Q53" s="83">
        <f t="shared" si="43"/>
        <v>-5486000</v>
      </c>
      <c r="R53" s="83">
        <f t="shared" si="44"/>
        <v>0</v>
      </c>
      <c r="S53" s="83">
        <f t="shared" si="48"/>
        <v>-5535000</v>
      </c>
      <c r="T53" s="89">
        <f t="shared" si="45"/>
        <v>-1</v>
      </c>
      <c r="U53" s="126"/>
      <c r="V53" s="208">
        <f t="shared" si="22"/>
        <v>0</v>
      </c>
      <c r="W53" s="128"/>
      <c r="X53" s="128"/>
    </row>
    <row r="54" spans="1:25" x14ac:dyDescent="0.2">
      <c r="A54" s="20"/>
      <c r="B54" s="20" t="s">
        <v>90</v>
      </c>
      <c r="C54" s="70"/>
      <c r="D54" s="70"/>
      <c r="E54" s="70"/>
      <c r="F54" s="70"/>
      <c r="G54" s="102"/>
      <c r="H54" s="102"/>
      <c r="I54" s="102"/>
      <c r="J54" s="102"/>
      <c r="K54" s="102"/>
      <c r="L54" s="142">
        <f t="shared" si="39"/>
        <v>0</v>
      </c>
      <c r="M54" s="142">
        <f t="shared" si="40"/>
        <v>0</v>
      </c>
      <c r="N54" s="142">
        <f t="shared" si="41"/>
        <v>0</v>
      </c>
      <c r="O54" s="125"/>
      <c r="P54" s="83">
        <f t="shared" si="42"/>
        <v>0</v>
      </c>
      <c r="Q54" s="83">
        <f t="shared" si="43"/>
        <v>0</v>
      </c>
      <c r="R54" s="83">
        <f t="shared" si="44"/>
        <v>0</v>
      </c>
      <c r="S54" s="83">
        <f t="shared" si="48"/>
        <v>0</v>
      </c>
      <c r="T54" s="89">
        <f t="shared" si="45"/>
        <v>0</v>
      </c>
      <c r="U54" s="125"/>
      <c r="V54" s="208">
        <f t="shared" si="22"/>
        <v>0</v>
      </c>
      <c r="W54" s="128"/>
      <c r="X54" s="128"/>
    </row>
    <row r="55" spans="1:25" x14ac:dyDescent="0.2">
      <c r="A55" s="20"/>
      <c r="B55" s="20" t="s">
        <v>53</v>
      </c>
      <c r="C55" s="70"/>
      <c r="D55" s="70"/>
      <c r="E55" s="70"/>
      <c r="F55" s="70"/>
      <c r="G55" s="102"/>
      <c r="H55" s="102"/>
      <c r="I55" s="102"/>
      <c r="J55" s="102"/>
      <c r="K55" s="102"/>
      <c r="L55" s="142">
        <f t="shared" si="39"/>
        <v>0</v>
      </c>
      <c r="M55" s="142">
        <f t="shared" si="40"/>
        <v>0</v>
      </c>
      <c r="N55" s="142">
        <f t="shared" si="41"/>
        <v>0</v>
      </c>
      <c r="O55" s="125"/>
      <c r="P55" s="83">
        <f t="shared" si="42"/>
        <v>0</v>
      </c>
      <c r="Q55" s="83">
        <f t="shared" si="43"/>
        <v>0</v>
      </c>
      <c r="R55" s="83">
        <f t="shared" si="44"/>
        <v>0</v>
      </c>
      <c r="S55" s="83">
        <f t="shared" si="48"/>
        <v>0</v>
      </c>
      <c r="T55" s="89">
        <f t="shared" si="45"/>
        <v>0</v>
      </c>
      <c r="U55" s="125"/>
      <c r="V55" s="208">
        <f t="shared" si="22"/>
        <v>0</v>
      </c>
      <c r="W55" s="128"/>
      <c r="X55" s="128"/>
    </row>
    <row r="56" spans="1:25" x14ac:dyDescent="0.2">
      <c r="A56" s="20" t="s">
        <v>54</v>
      </c>
      <c r="B56" s="20" t="s">
        <v>55</v>
      </c>
      <c r="C56" s="70"/>
      <c r="D56" s="70"/>
      <c r="E56" s="70"/>
      <c r="F56" s="70"/>
      <c r="G56" s="102"/>
      <c r="H56" s="102"/>
      <c r="I56" s="102"/>
      <c r="J56" s="102"/>
      <c r="K56" s="102"/>
      <c r="L56" s="142">
        <f t="shared" si="39"/>
        <v>0</v>
      </c>
      <c r="M56" s="142">
        <f t="shared" si="40"/>
        <v>0</v>
      </c>
      <c r="N56" s="142">
        <f t="shared" si="41"/>
        <v>0</v>
      </c>
      <c r="O56" s="125"/>
      <c r="P56" s="83">
        <f t="shared" si="42"/>
        <v>0</v>
      </c>
      <c r="Q56" s="83">
        <f t="shared" si="43"/>
        <v>0</v>
      </c>
      <c r="R56" s="83">
        <f t="shared" si="44"/>
        <v>0</v>
      </c>
      <c r="S56" s="83">
        <f t="shared" si="48"/>
        <v>0</v>
      </c>
      <c r="T56" s="89">
        <f t="shared" si="45"/>
        <v>0</v>
      </c>
      <c r="U56" s="125"/>
      <c r="V56" s="208">
        <f t="shared" si="22"/>
        <v>0</v>
      </c>
      <c r="W56" s="128"/>
      <c r="X56" s="128"/>
    </row>
    <row r="57" spans="1:25" x14ac:dyDescent="0.2">
      <c r="A57" s="20"/>
      <c r="B57" s="20" t="s">
        <v>56</v>
      </c>
      <c r="C57" s="70"/>
      <c r="D57" s="70"/>
      <c r="E57" s="70"/>
      <c r="F57" s="70"/>
      <c r="G57" s="102"/>
      <c r="H57" s="102"/>
      <c r="I57" s="102"/>
      <c r="J57" s="102"/>
      <c r="K57" s="102"/>
      <c r="L57" s="142">
        <f t="shared" si="39"/>
        <v>0</v>
      </c>
      <c r="M57" s="142">
        <f t="shared" si="40"/>
        <v>0</v>
      </c>
      <c r="N57" s="142">
        <f t="shared" si="41"/>
        <v>0</v>
      </c>
      <c r="O57" s="125"/>
      <c r="P57" s="83">
        <f t="shared" si="42"/>
        <v>0</v>
      </c>
      <c r="Q57" s="83">
        <f t="shared" si="43"/>
        <v>0</v>
      </c>
      <c r="R57" s="83">
        <f t="shared" si="44"/>
        <v>0</v>
      </c>
      <c r="S57" s="83">
        <f t="shared" si="48"/>
        <v>0</v>
      </c>
      <c r="T57" s="89">
        <f t="shared" si="45"/>
        <v>0</v>
      </c>
      <c r="U57" s="125"/>
      <c r="V57" s="208">
        <f t="shared" si="22"/>
        <v>0</v>
      </c>
      <c r="W57" s="128"/>
      <c r="X57" s="128"/>
    </row>
    <row r="58" spans="1:25" x14ac:dyDescent="0.2">
      <c r="A58" s="20" t="s">
        <v>57</v>
      </c>
      <c r="B58" s="20" t="s">
        <v>91</v>
      </c>
      <c r="C58" s="70">
        <v>0</v>
      </c>
      <c r="D58" s="70">
        <v>40000</v>
      </c>
      <c r="E58" s="70">
        <v>0</v>
      </c>
      <c r="F58" s="70"/>
      <c r="G58" s="102"/>
      <c r="H58" s="102">
        <v>37300</v>
      </c>
      <c r="I58" s="102">
        <v>0</v>
      </c>
      <c r="J58" s="102"/>
      <c r="K58" s="102"/>
      <c r="L58" s="143" t="e">
        <f t="shared" si="39"/>
        <v>#DIV/0!</v>
      </c>
      <c r="M58" s="143">
        <f t="shared" si="40"/>
        <v>0</v>
      </c>
      <c r="N58" s="143">
        <f t="shared" si="41"/>
        <v>0</v>
      </c>
      <c r="O58" s="126"/>
      <c r="P58" s="83">
        <f t="shared" si="42"/>
        <v>40000</v>
      </c>
      <c r="Q58" s="83">
        <f t="shared" si="43"/>
        <v>-40000</v>
      </c>
      <c r="R58" s="83">
        <f t="shared" si="44"/>
        <v>0</v>
      </c>
      <c r="S58" s="83">
        <f t="shared" si="48"/>
        <v>0</v>
      </c>
      <c r="T58" s="89">
        <f t="shared" si="45"/>
        <v>0</v>
      </c>
      <c r="U58" s="126"/>
      <c r="V58" s="208">
        <f t="shared" si="22"/>
        <v>0</v>
      </c>
      <c r="W58" s="128"/>
      <c r="X58" s="128"/>
    </row>
    <row r="59" spans="1:25" x14ac:dyDescent="0.2">
      <c r="A59" s="20"/>
      <c r="B59" s="20" t="s">
        <v>58</v>
      </c>
      <c r="C59" s="70"/>
      <c r="D59" s="70"/>
      <c r="E59" s="70"/>
      <c r="F59" s="70"/>
      <c r="G59" s="102"/>
      <c r="H59" s="102"/>
      <c r="I59" s="102"/>
      <c r="J59" s="102"/>
      <c r="K59" s="102"/>
      <c r="L59" s="142">
        <f t="shared" si="39"/>
        <v>0</v>
      </c>
      <c r="M59" s="142">
        <f t="shared" si="40"/>
        <v>0</v>
      </c>
      <c r="N59" s="142">
        <f t="shared" si="41"/>
        <v>0</v>
      </c>
      <c r="O59" s="125"/>
      <c r="P59" s="83">
        <f t="shared" si="42"/>
        <v>0</v>
      </c>
      <c r="Q59" s="83">
        <f t="shared" si="43"/>
        <v>0</v>
      </c>
      <c r="R59" s="83">
        <f t="shared" si="44"/>
        <v>0</v>
      </c>
      <c r="S59" s="83">
        <f t="shared" si="48"/>
        <v>0</v>
      </c>
      <c r="T59" s="89">
        <f t="shared" si="45"/>
        <v>0</v>
      </c>
      <c r="U59" s="125"/>
      <c r="V59" s="208">
        <f t="shared" si="22"/>
        <v>0</v>
      </c>
      <c r="W59" s="128"/>
      <c r="X59" s="128"/>
    </row>
    <row r="60" spans="1:25" x14ac:dyDescent="0.2">
      <c r="A60" s="20" t="s">
        <v>59</v>
      </c>
      <c r="B60" s="20" t="s">
        <v>60</v>
      </c>
      <c r="C60" s="70"/>
      <c r="D60" s="70"/>
      <c r="E60" s="70"/>
      <c r="F60" s="70"/>
      <c r="G60" s="102"/>
      <c r="H60" s="102"/>
      <c r="I60" s="102"/>
      <c r="J60" s="102"/>
      <c r="K60" s="102"/>
      <c r="L60" s="142">
        <f t="shared" si="39"/>
        <v>0</v>
      </c>
      <c r="M60" s="142">
        <f t="shared" si="40"/>
        <v>0</v>
      </c>
      <c r="N60" s="142">
        <f t="shared" si="41"/>
        <v>0</v>
      </c>
      <c r="O60" s="125"/>
      <c r="P60" s="83">
        <f t="shared" si="42"/>
        <v>0</v>
      </c>
      <c r="Q60" s="83">
        <f t="shared" si="43"/>
        <v>0</v>
      </c>
      <c r="R60" s="83">
        <f t="shared" si="44"/>
        <v>0</v>
      </c>
      <c r="S60" s="83">
        <f t="shared" si="48"/>
        <v>0</v>
      </c>
      <c r="T60" s="89">
        <f t="shared" si="45"/>
        <v>0</v>
      </c>
      <c r="U60" s="125"/>
      <c r="V60" s="208">
        <f t="shared" si="22"/>
        <v>0</v>
      </c>
      <c r="W60" s="128"/>
      <c r="X60" s="128"/>
    </row>
    <row r="61" spans="1:25" ht="25.5" x14ac:dyDescent="0.2">
      <c r="A61" s="20"/>
      <c r="B61" s="20" t="s">
        <v>61</v>
      </c>
      <c r="C61" s="70"/>
      <c r="D61" s="70"/>
      <c r="E61" s="70"/>
      <c r="F61" s="70"/>
      <c r="G61" s="102"/>
      <c r="H61" s="102"/>
      <c r="I61" s="102"/>
      <c r="J61" s="102"/>
      <c r="K61" s="102"/>
      <c r="L61" s="142">
        <f t="shared" si="39"/>
        <v>0</v>
      </c>
      <c r="M61" s="142">
        <f t="shared" si="40"/>
        <v>0</v>
      </c>
      <c r="N61" s="142">
        <f t="shared" si="41"/>
        <v>0</v>
      </c>
      <c r="O61" s="125"/>
      <c r="P61" s="83">
        <f t="shared" si="42"/>
        <v>0</v>
      </c>
      <c r="Q61" s="83">
        <f t="shared" si="43"/>
        <v>0</v>
      </c>
      <c r="R61" s="83">
        <f t="shared" si="44"/>
        <v>0</v>
      </c>
      <c r="S61" s="83">
        <f t="shared" si="48"/>
        <v>0</v>
      </c>
      <c r="T61" s="89">
        <f t="shared" si="45"/>
        <v>0</v>
      </c>
      <c r="U61" s="125"/>
      <c r="V61" s="208">
        <f t="shared" si="22"/>
        <v>0</v>
      </c>
      <c r="W61" s="128"/>
      <c r="X61" s="128"/>
    </row>
    <row r="62" spans="1:25" x14ac:dyDescent="0.2">
      <c r="A62" s="20" t="s">
        <v>62</v>
      </c>
      <c r="B62" s="20" t="s">
        <v>63</v>
      </c>
      <c r="C62" s="70">
        <v>68000</v>
      </c>
      <c r="D62" s="70">
        <v>32000</v>
      </c>
      <c r="E62" s="70">
        <v>0</v>
      </c>
      <c r="F62" s="70"/>
      <c r="G62" s="102"/>
      <c r="H62" s="102">
        <v>31200</v>
      </c>
      <c r="I62" s="102">
        <v>0</v>
      </c>
      <c r="J62" s="102"/>
      <c r="K62" s="102"/>
      <c r="L62" s="143">
        <f t="shared" si="39"/>
        <v>0.45882352941176469</v>
      </c>
      <c r="M62" s="143">
        <f t="shared" si="40"/>
        <v>0</v>
      </c>
      <c r="N62" s="143">
        <f t="shared" si="41"/>
        <v>0</v>
      </c>
      <c r="O62" s="126"/>
      <c r="P62" s="83">
        <f t="shared" si="42"/>
        <v>-36000</v>
      </c>
      <c r="Q62" s="83">
        <f t="shared" si="43"/>
        <v>-32000</v>
      </c>
      <c r="R62" s="83">
        <f t="shared" si="44"/>
        <v>0</v>
      </c>
      <c r="S62" s="83">
        <f t="shared" si="48"/>
        <v>-68000</v>
      </c>
      <c r="T62" s="89">
        <f t="shared" si="45"/>
        <v>-1</v>
      </c>
      <c r="U62" s="126"/>
      <c r="V62" s="208">
        <f t="shared" si="22"/>
        <v>0</v>
      </c>
      <c r="W62" s="128"/>
      <c r="X62" s="128"/>
    </row>
    <row r="63" spans="1:25" ht="40.35" customHeight="1" x14ac:dyDescent="0.2">
      <c r="A63" s="20"/>
      <c r="B63" s="20" t="s">
        <v>102</v>
      </c>
      <c r="C63" s="70"/>
      <c r="D63" s="70"/>
      <c r="E63" s="70"/>
      <c r="F63" s="70"/>
      <c r="G63" s="102"/>
      <c r="H63" s="102"/>
      <c r="I63" s="102"/>
      <c r="J63" s="102"/>
      <c r="K63" s="102"/>
      <c r="L63" s="142">
        <f t="shared" si="39"/>
        <v>0</v>
      </c>
      <c r="M63" s="142">
        <f t="shared" si="40"/>
        <v>0</v>
      </c>
      <c r="N63" s="142">
        <f t="shared" si="41"/>
        <v>0</v>
      </c>
      <c r="O63" s="125"/>
      <c r="P63" s="83">
        <f t="shared" si="42"/>
        <v>0</v>
      </c>
      <c r="Q63" s="83">
        <f t="shared" si="43"/>
        <v>0</v>
      </c>
      <c r="R63" s="83">
        <f t="shared" si="44"/>
        <v>0</v>
      </c>
      <c r="S63" s="83">
        <f t="shared" si="48"/>
        <v>0</v>
      </c>
      <c r="T63" s="89">
        <f t="shared" si="45"/>
        <v>0</v>
      </c>
      <c r="U63" s="125"/>
      <c r="V63" s="208">
        <f t="shared" si="22"/>
        <v>0</v>
      </c>
      <c r="W63" s="128"/>
      <c r="X63" s="128"/>
      <c r="Y63" s="2"/>
    </row>
    <row r="64" spans="1:25" x14ac:dyDescent="0.2">
      <c r="A64" s="20" t="s">
        <v>64</v>
      </c>
      <c r="B64" s="20" t="s">
        <v>65</v>
      </c>
      <c r="C64" s="70">
        <v>145000</v>
      </c>
      <c r="D64" s="70">
        <v>145000</v>
      </c>
      <c r="E64" s="150">
        <v>0</v>
      </c>
      <c r="F64" s="70"/>
      <c r="G64" s="102"/>
      <c r="H64" s="102">
        <v>66302</v>
      </c>
      <c r="I64" s="102">
        <v>0</v>
      </c>
      <c r="J64" s="102"/>
      <c r="K64" s="102"/>
      <c r="L64" s="143">
        <f t="shared" ref="L64:L89" si="57">IF(H64&gt;0,H64/C64,0)</f>
        <v>0.4572551724137931</v>
      </c>
      <c r="M64" s="143">
        <f t="shared" ref="M64:M89" si="58">IF(I64&gt;0,I64/D64,0)</f>
        <v>0</v>
      </c>
      <c r="N64" s="143">
        <f t="shared" ref="N64:N89" si="59">IF(J64&gt;0,J64/E64,0)</f>
        <v>0</v>
      </c>
      <c r="O64" s="126"/>
      <c r="P64" s="83">
        <f t="shared" ref="P64:P89" si="60">+(D64-C64)*P$10</f>
        <v>0</v>
      </c>
      <c r="Q64" s="83">
        <f t="shared" ref="Q64:Q89" si="61">+(E64-D64)*Q$10</f>
        <v>-145000</v>
      </c>
      <c r="R64" s="83">
        <f t="shared" ref="R64:R89" si="62">+(F64-E64)*R$10</f>
        <v>0</v>
      </c>
      <c r="S64" s="83">
        <f t="shared" si="48"/>
        <v>-145000</v>
      </c>
      <c r="T64" s="89">
        <f t="shared" ref="T64:T89" si="63">IF(C64=0,0,+S64/C64)</f>
        <v>-1</v>
      </c>
      <c r="U64" s="126"/>
      <c r="V64" s="208">
        <f t="shared" si="22"/>
        <v>0</v>
      </c>
      <c r="W64" s="128"/>
      <c r="X64" s="128"/>
      <c r="Y64" s="2"/>
    </row>
    <row r="65" spans="1:24" ht="38.25" x14ac:dyDescent="0.2">
      <c r="A65" s="20"/>
      <c r="B65" s="20" t="s">
        <v>66</v>
      </c>
      <c r="C65" s="70"/>
      <c r="D65" s="70"/>
      <c r="E65" s="70"/>
      <c r="F65" s="70"/>
      <c r="G65" s="102"/>
      <c r="H65" s="102"/>
      <c r="I65" s="102"/>
      <c r="J65" s="102"/>
      <c r="K65" s="102"/>
      <c r="L65" s="142">
        <f t="shared" si="57"/>
        <v>0</v>
      </c>
      <c r="M65" s="142">
        <f t="shared" si="58"/>
        <v>0</v>
      </c>
      <c r="N65" s="142">
        <f t="shared" si="59"/>
        <v>0</v>
      </c>
      <c r="O65" s="125"/>
      <c r="P65" s="83">
        <f t="shared" si="60"/>
        <v>0</v>
      </c>
      <c r="Q65" s="83">
        <f t="shared" si="61"/>
        <v>0</v>
      </c>
      <c r="R65" s="83">
        <f t="shared" si="62"/>
        <v>0</v>
      </c>
      <c r="S65" s="83">
        <f t="shared" si="48"/>
        <v>0</v>
      </c>
      <c r="T65" s="89">
        <f t="shared" si="63"/>
        <v>0</v>
      </c>
      <c r="U65" s="125"/>
      <c r="V65" s="208">
        <f t="shared" si="22"/>
        <v>0</v>
      </c>
      <c r="W65" s="128"/>
      <c r="X65" s="128"/>
    </row>
    <row r="66" spans="1:24" s="43" customFormat="1" x14ac:dyDescent="0.2">
      <c r="A66" s="40" t="s">
        <v>67</v>
      </c>
      <c r="B66" s="40" t="s">
        <v>68</v>
      </c>
      <c r="C66" s="101">
        <f>SUM(C67:C70)</f>
        <v>432000</v>
      </c>
      <c r="D66" s="101">
        <f t="shared" ref="D66:F66" si="64">SUM(D67:D70)</f>
        <v>496000</v>
      </c>
      <c r="E66" s="101">
        <f t="shared" si="64"/>
        <v>0</v>
      </c>
      <c r="F66" s="101">
        <f t="shared" si="64"/>
        <v>0</v>
      </c>
      <c r="G66" s="101"/>
      <c r="H66" s="101">
        <f t="shared" ref="H66" si="65">SUM(H67:H70)</f>
        <v>284884</v>
      </c>
      <c r="I66" s="101">
        <f t="shared" ref="I66" si="66">SUM(I67:I70)</f>
        <v>0</v>
      </c>
      <c r="J66" s="101">
        <f t="shared" ref="J66" si="67">SUM(J67:J70)</f>
        <v>0</v>
      </c>
      <c r="K66" s="101"/>
      <c r="L66" s="144">
        <f t="shared" si="57"/>
        <v>0.65945370370370371</v>
      </c>
      <c r="M66" s="144">
        <f t="shared" si="58"/>
        <v>0</v>
      </c>
      <c r="N66" s="144">
        <f t="shared" si="59"/>
        <v>0</v>
      </c>
      <c r="O66" s="127"/>
      <c r="P66" s="83">
        <f t="shared" si="60"/>
        <v>64000</v>
      </c>
      <c r="Q66" s="83">
        <f t="shared" si="61"/>
        <v>-496000</v>
      </c>
      <c r="R66" s="83">
        <f t="shared" si="62"/>
        <v>0</v>
      </c>
      <c r="S66" s="83">
        <f t="shared" si="48"/>
        <v>-432000</v>
      </c>
      <c r="T66" s="89">
        <f t="shared" si="63"/>
        <v>-1</v>
      </c>
      <c r="U66" s="127"/>
      <c r="V66" s="208">
        <f t="shared" si="22"/>
        <v>0</v>
      </c>
      <c r="W66" s="135"/>
      <c r="X66" s="135"/>
    </row>
    <row r="67" spans="1:24" x14ac:dyDescent="0.2">
      <c r="A67" s="20" t="s">
        <v>69</v>
      </c>
      <c r="B67" s="20" t="s">
        <v>70</v>
      </c>
      <c r="C67" s="70">
        <v>432000</v>
      </c>
      <c r="D67" s="70">
        <v>496000</v>
      </c>
      <c r="E67" s="70">
        <v>0</v>
      </c>
      <c r="F67" s="70"/>
      <c r="G67" s="102"/>
      <c r="H67" s="102">
        <v>284884</v>
      </c>
      <c r="I67" s="102">
        <v>0</v>
      </c>
      <c r="J67" s="102"/>
      <c r="K67" s="102"/>
      <c r="L67" s="143">
        <f t="shared" si="57"/>
        <v>0.65945370370370371</v>
      </c>
      <c r="M67" s="143">
        <f t="shared" si="58"/>
        <v>0</v>
      </c>
      <c r="N67" s="143">
        <f t="shared" si="59"/>
        <v>0</v>
      </c>
      <c r="O67" s="126"/>
      <c r="P67" s="83">
        <f t="shared" si="60"/>
        <v>64000</v>
      </c>
      <c r="Q67" s="83">
        <f t="shared" si="61"/>
        <v>-496000</v>
      </c>
      <c r="R67" s="83">
        <f t="shared" si="62"/>
        <v>0</v>
      </c>
      <c r="S67" s="83">
        <f t="shared" si="48"/>
        <v>-432000</v>
      </c>
      <c r="T67" s="89">
        <f t="shared" si="63"/>
        <v>-1</v>
      </c>
      <c r="U67" s="126"/>
      <c r="V67" s="208">
        <f t="shared" si="22"/>
        <v>0</v>
      </c>
      <c r="W67" s="128"/>
      <c r="X67" s="128"/>
    </row>
    <row r="68" spans="1:24" ht="38.25" x14ac:dyDescent="0.2">
      <c r="A68" s="20"/>
      <c r="B68" s="20" t="s">
        <v>71</v>
      </c>
      <c r="C68" s="70"/>
      <c r="D68" s="70"/>
      <c r="E68" s="70"/>
      <c r="F68" s="70"/>
      <c r="G68" s="102"/>
      <c r="H68" s="102"/>
      <c r="I68" s="102"/>
      <c r="J68" s="102"/>
      <c r="K68" s="102"/>
      <c r="L68" s="142">
        <f t="shared" si="57"/>
        <v>0</v>
      </c>
      <c r="M68" s="142">
        <f t="shared" si="58"/>
        <v>0</v>
      </c>
      <c r="N68" s="142">
        <f t="shared" si="59"/>
        <v>0</v>
      </c>
      <c r="O68" s="125"/>
      <c r="P68" s="83">
        <f t="shared" si="60"/>
        <v>0</v>
      </c>
      <c r="Q68" s="83">
        <f t="shared" si="61"/>
        <v>0</v>
      </c>
      <c r="R68" s="83">
        <f t="shared" si="62"/>
        <v>0</v>
      </c>
      <c r="S68" s="83">
        <f t="shared" si="48"/>
        <v>0</v>
      </c>
      <c r="T68" s="89">
        <f t="shared" si="63"/>
        <v>0</v>
      </c>
      <c r="U68" s="125"/>
      <c r="V68" s="208">
        <f t="shared" si="22"/>
        <v>0</v>
      </c>
      <c r="W68" s="128"/>
      <c r="X68" s="128"/>
    </row>
    <row r="69" spans="1:24" x14ac:dyDescent="0.2">
      <c r="A69" s="20" t="s">
        <v>72</v>
      </c>
      <c r="B69" s="20" t="s">
        <v>100</v>
      </c>
      <c r="C69" s="70"/>
      <c r="D69" s="70"/>
      <c r="E69" s="70"/>
      <c r="F69" s="70"/>
      <c r="G69" s="102"/>
      <c r="H69" s="102"/>
      <c r="I69" s="102"/>
      <c r="J69" s="102"/>
      <c r="K69" s="102"/>
      <c r="L69" s="142">
        <f t="shared" si="57"/>
        <v>0</v>
      </c>
      <c r="M69" s="142">
        <f t="shared" si="58"/>
        <v>0</v>
      </c>
      <c r="N69" s="142">
        <f t="shared" si="59"/>
        <v>0</v>
      </c>
      <c r="O69" s="125"/>
      <c r="P69" s="83">
        <f t="shared" si="60"/>
        <v>0</v>
      </c>
      <c r="Q69" s="83">
        <f t="shared" si="61"/>
        <v>0</v>
      </c>
      <c r="R69" s="83">
        <f t="shared" si="62"/>
        <v>0</v>
      </c>
      <c r="S69" s="83">
        <f t="shared" si="48"/>
        <v>0</v>
      </c>
      <c r="T69" s="89">
        <f t="shared" si="63"/>
        <v>0</v>
      </c>
      <c r="U69" s="125"/>
      <c r="V69" s="208">
        <f t="shared" si="22"/>
        <v>0</v>
      </c>
      <c r="W69" s="128"/>
      <c r="X69" s="128"/>
    </row>
    <row r="70" spans="1:24" ht="38.25" x14ac:dyDescent="0.2">
      <c r="A70" s="20"/>
      <c r="B70" s="20" t="s">
        <v>73</v>
      </c>
      <c r="C70" s="70"/>
      <c r="D70" s="70"/>
      <c r="E70" s="70"/>
      <c r="F70" s="70"/>
      <c r="G70" s="102"/>
      <c r="H70" s="102"/>
      <c r="I70" s="102"/>
      <c r="J70" s="102"/>
      <c r="K70" s="102"/>
      <c r="L70" s="142">
        <f t="shared" si="57"/>
        <v>0</v>
      </c>
      <c r="M70" s="142">
        <f t="shared" si="58"/>
        <v>0</v>
      </c>
      <c r="N70" s="142">
        <f t="shared" si="59"/>
        <v>0</v>
      </c>
      <c r="O70" s="125"/>
      <c r="P70" s="83">
        <f t="shared" si="60"/>
        <v>0</v>
      </c>
      <c r="Q70" s="83">
        <f t="shared" si="61"/>
        <v>0</v>
      </c>
      <c r="R70" s="83">
        <f t="shared" si="62"/>
        <v>0</v>
      </c>
      <c r="S70" s="83">
        <f t="shared" si="48"/>
        <v>0</v>
      </c>
      <c r="T70" s="89">
        <f t="shared" si="63"/>
        <v>0</v>
      </c>
      <c r="U70" s="125"/>
      <c r="V70" s="208">
        <f t="shared" si="22"/>
        <v>0</v>
      </c>
      <c r="W70" s="128"/>
      <c r="X70" s="128"/>
    </row>
    <row r="71" spans="1:24" s="43" customFormat="1" x14ac:dyDescent="0.2">
      <c r="A71" s="40" t="s">
        <v>74</v>
      </c>
      <c r="B71" s="40" t="s">
        <v>75</v>
      </c>
      <c r="C71" s="101">
        <f>SUM(C72:C81)</f>
        <v>3372000</v>
      </c>
      <c r="D71" s="101">
        <f t="shared" ref="D71:F71" si="68">SUM(D72:D81)</f>
        <v>2685000</v>
      </c>
      <c r="E71" s="101">
        <f t="shared" si="68"/>
        <v>0</v>
      </c>
      <c r="F71" s="101">
        <f t="shared" si="68"/>
        <v>0</v>
      </c>
      <c r="G71" s="101"/>
      <c r="H71" s="101">
        <f t="shared" ref="H71" si="69">SUM(H72:H81)</f>
        <v>1423663</v>
      </c>
      <c r="I71" s="101">
        <f t="shared" ref="I71" si="70">SUM(I72:I81)</f>
        <v>0</v>
      </c>
      <c r="J71" s="101">
        <f t="shared" ref="J71" si="71">SUM(J72:J81)</f>
        <v>0</v>
      </c>
      <c r="K71" s="101"/>
      <c r="L71" s="144">
        <f t="shared" si="57"/>
        <v>0.42220136417556348</v>
      </c>
      <c r="M71" s="144">
        <f t="shared" si="58"/>
        <v>0</v>
      </c>
      <c r="N71" s="144">
        <f t="shared" si="59"/>
        <v>0</v>
      </c>
      <c r="O71" s="127"/>
      <c r="P71" s="83">
        <f t="shared" si="60"/>
        <v>-687000</v>
      </c>
      <c r="Q71" s="83">
        <f t="shared" si="61"/>
        <v>-2685000</v>
      </c>
      <c r="R71" s="83">
        <f t="shared" si="62"/>
        <v>0</v>
      </c>
      <c r="S71" s="83">
        <f t="shared" si="48"/>
        <v>-3372000</v>
      </c>
      <c r="T71" s="89">
        <f t="shared" si="63"/>
        <v>-1</v>
      </c>
      <c r="U71" s="127"/>
      <c r="V71" s="208">
        <f t="shared" si="22"/>
        <v>0</v>
      </c>
      <c r="W71" s="135"/>
      <c r="X71" s="135"/>
    </row>
    <row r="72" spans="1:24" x14ac:dyDescent="0.2">
      <c r="A72" s="20" t="s">
        <v>76</v>
      </c>
      <c r="B72" s="20" t="s">
        <v>77</v>
      </c>
      <c r="C72" s="70">
        <v>1780000</v>
      </c>
      <c r="D72" s="70">
        <v>1888000</v>
      </c>
      <c r="E72" s="150">
        <v>0</v>
      </c>
      <c r="F72" s="70"/>
      <c r="G72" s="102"/>
      <c r="H72" s="102">
        <v>979671</v>
      </c>
      <c r="I72" s="102">
        <v>0</v>
      </c>
      <c r="J72" s="102"/>
      <c r="K72" s="102"/>
      <c r="L72" s="143">
        <f t="shared" si="57"/>
        <v>0.55037696629213484</v>
      </c>
      <c r="M72" s="143">
        <f t="shared" si="58"/>
        <v>0</v>
      </c>
      <c r="N72" s="143">
        <f t="shared" si="59"/>
        <v>0</v>
      </c>
      <c r="O72" s="126"/>
      <c r="P72" s="83">
        <f t="shared" si="60"/>
        <v>108000</v>
      </c>
      <c r="Q72" s="83">
        <f t="shared" si="61"/>
        <v>-1888000</v>
      </c>
      <c r="R72" s="83">
        <f t="shared" si="62"/>
        <v>0</v>
      </c>
      <c r="S72" s="83">
        <f t="shared" si="48"/>
        <v>-1780000</v>
      </c>
      <c r="T72" s="89">
        <f t="shared" si="63"/>
        <v>-1</v>
      </c>
      <c r="U72" s="126"/>
      <c r="V72" s="208">
        <f t="shared" si="22"/>
        <v>0</v>
      </c>
      <c r="W72" s="128"/>
      <c r="X72" s="128"/>
    </row>
    <row r="73" spans="1:24" x14ac:dyDescent="0.2">
      <c r="A73" s="20"/>
      <c r="B73" s="20" t="s">
        <v>78</v>
      </c>
      <c r="C73" s="70"/>
      <c r="D73" s="70"/>
      <c r="E73" s="70"/>
      <c r="F73" s="70"/>
      <c r="G73" s="102"/>
      <c r="H73" s="102"/>
      <c r="I73" s="102"/>
      <c r="J73" s="102"/>
      <c r="K73" s="102"/>
      <c r="L73" s="142">
        <f t="shared" si="57"/>
        <v>0</v>
      </c>
      <c r="M73" s="142">
        <f t="shared" si="58"/>
        <v>0</v>
      </c>
      <c r="N73" s="142">
        <f t="shared" si="59"/>
        <v>0</v>
      </c>
      <c r="O73" s="125"/>
      <c r="P73" s="83">
        <f t="shared" si="60"/>
        <v>0</v>
      </c>
      <c r="Q73" s="83">
        <f t="shared" si="61"/>
        <v>0</v>
      </c>
      <c r="R73" s="83">
        <f t="shared" si="62"/>
        <v>0</v>
      </c>
      <c r="S73" s="83">
        <f t="shared" si="48"/>
        <v>0</v>
      </c>
      <c r="T73" s="89">
        <f t="shared" si="63"/>
        <v>0</v>
      </c>
      <c r="U73" s="125"/>
      <c r="V73" s="208">
        <f t="shared" si="22"/>
        <v>0</v>
      </c>
      <c r="W73" s="128"/>
      <c r="X73" s="128"/>
    </row>
    <row r="74" spans="1:24" x14ac:dyDescent="0.2">
      <c r="A74" s="20" t="s">
        <v>79</v>
      </c>
      <c r="B74" s="20" t="s">
        <v>80</v>
      </c>
      <c r="C74" s="70">
        <v>1568000</v>
      </c>
      <c r="D74" s="70">
        <v>773000</v>
      </c>
      <c r="E74" s="70">
        <v>0</v>
      </c>
      <c r="F74" s="70"/>
      <c r="G74" s="102"/>
      <c r="H74" s="102">
        <v>442000</v>
      </c>
      <c r="I74" s="102">
        <v>0</v>
      </c>
      <c r="J74" s="102"/>
      <c r="K74" s="102"/>
      <c r="L74" s="143">
        <f t="shared" si="57"/>
        <v>0.28188775510204084</v>
      </c>
      <c r="M74" s="143">
        <f t="shared" si="58"/>
        <v>0</v>
      </c>
      <c r="N74" s="143">
        <f t="shared" si="59"/>
        <v>0</v>
      </c>
      <c r="O74" s="126"/>
      <c r="P74" s="83">
        <f t="shared" si="60"/>
        <v>-795000</v>
      </c>
      <c r="Q74" s="83">
        <f t="shared" si="61"/>
        <v>-773000</v>
      </c>
      <c r="R74" s="83">
        <f t="shared" si="62"/>
        <v>0</v>
      </c>
      <c r="S74" s="83">
        <f t="shared" si="48"/>
        <v>-1568000</v>
      </c>
      <c r="T74" s="89">
        <f t="shared" si="63"/>
        <v>-1</v>
      </c>
      <c r="U74" s="126"/>
      <c r="V74" s="208">
        <f t="shared" si="22"/>
        <v>0</v>
      </c>
      <c r="W74" s="128"/>
      <c r="X74" s="128"/>
    </row>
    <row r="75" spans="1:24" ht="25.5" x14ac:dyDescent="0.2">
      <c r="A75" s="20"/>
      <c r="B75" s="20" t="s">
        <v>101</v>
      </c>
      <c r="C75" s="70"/>
      <c r="D75" s="70"/>
      <c r="E75" s="70"/>
      <c r="F75" s="70"/>
      <c r="G75" s="102"/>
      <c r="H75" s="102"/>
      <c r="I75" s="102"/>
      <c r="J75" s="102"/>
      <c r="K75" s="102"/>
      <c r="L75" s="142">
        <f t="shared" si="57"/>
        <v>0</v>
      </c>
      <c r="M75" s="142">
        <f t="shared" si="58"/>
        <v>0</v>
      </c>
      <c r="N75" s="142">
        <f t="shared" si="59"/>
        <v>0</v>
      </c>
      <c r="O75" s="125"/>
      <c r="P75" s="83">
        <f t="shared" si="60"/>
        <v>0</v>
      </c>
      <c r="Q75" s="83">
        <f t="shared" si="61"/>
        <v>0</v>
      </c>
      <c r="R75" s="83">
        <f t="shared" si="62"/>
        <v>0</v>
      </c>
      <c r="S75" s="83">
        <f t="shared" si="48"/>
        <v>0</v>
      </c>
      <c r="T75" s="89">
        <f t="shared" si="63"/>
        <v>0</v>
      </c>
      <c r="U75" s="125"/>
      <c r="V75" s="208">
        <f t="shared" si="22"/>
        <v>0</v>
      </c>
      <c r="W75" s="128"/>
      <c r="X75" s="128"/>
    </row>
    <row r="76" spans="1:24" x14ac:dyDescent="0.2">
      <c r="A76" s="20" t="s">
        <v>81</v>
      </c>
      <c r="B76" s="20" t="s">
        <v>82</v>
      </c>
      <c r="C76" s="70"/>
      <c r="D76" s="70"/>
      <c r="E76" s="70"/>
      <c r="F76" s="70"/>
      <c r="G76" s="102"/>
      <c r="H76" s="102"/>
      <c r="I76" s="102"/>
      <c r="J76" s="102"/>
      <c r="K76" s="102"/>
      <c r="L76" s="142">
        <f t="shared" si="57"/>
        <v>0</v>
      </c>
      <c r="M76" s="142">
        <f t="shared" si="58"/>
        <v>0</v>
      </c>
      <c r="N76" s="142">
        <f t="shared" si="59"/>
        <v>0</v>
      </c>
      <c r="O76" s="125"/>
      <c r="P76" s="83">
        <f t="shared" si="60"/>
        <v>0</v>
      </c>
      <c r="Q76" s="83">
        <f t="shared" si="61"/>
        <v>0</v>
      </c>
      <c r="R76" s="83">
        <f t="shared" si="62"/>
        <v>0</v>
      </c>
      <c r="S76" s="83">
        <f t="shared" si="48"/>
        <v>0</v>
      </c>
      <c r="T76" s="89">
        <f t="shared" si="63"/>
        <v>0</v>
      </c>
      <c r="U76" s="125"/>
      <c r="V76" s="208">
        <f t="shared" si="22"/>
        <v>0</v>
      </c>
      <c r="W76" s="128"/>
      <c r="X76" s="128"/>
    </row>
    <row r="77" spans="1:24" ht="25.5" x14ac:dyDescent="0.2">
      <c r="A77" s="20"/>
      <c r="B77" s="20" t="s">
        <v>83</v>
      </c>
      <c r="C77" s="70"/>
      <c r="D77" s="70"/>
      <c r="E77" s="70"/>
      <c r="F77" s="70"/>
      <c r="G77" s="102"/>
      <c r="H77" s="102"/>
      <c r="I77" s="102"/>
      <c r="J77" s="102"/>
      <c r="K77" s="102"/>
      <c r="L77" s="142">
        <f t="shared" si="57"/>
        <v>0</v>
      </c>
      <c r="M77" s="142">
        <f t="shared" si="58"/>
        <v>0</v>
      </c>
      <c r="N77" s="142">
        <f t="shared" si="59"/>
        <v>0</v>
      </c>
      <c r="O77" s="125"/>
      <c r="P77" s="83">
        <f t="shared" si="60"/>
        <v>0</v>
      </c>
      <c r="Q77" s="83">
        <f t="shared" si="61"/>
        <v>0</v>
      </c>
      <c r="R77" s="83">
        <f t="shared" si="62"/>
        <v>0</v>
      </c>
      <c r="S77" s="83">
        <f t="shared" si="48"/>
        <v>0</v>
      </c>
      <c r="T77" s="89">
        <f t="shared" si="63"/>
        <v>0</v>
      </c>
      <c r="U77" s="125"/>
      <c r="V77" s="208">
        <f t="shared" ref="V77" si="72">+S77-E77+C77</f>
        <v>0</v>
      </c>
      <c r="W77" s="128"/>
      <c r="X77" s="128"/>
    </row>
    <row r="78" spans="1:24" x14ac:dyDescent="0.2">
      <c r="A78" s="20" t="s">
        <v>84</v>
      </c>
      <c r="B78" s="20" t="s">
        <v>85</v>
      </c>
      <c r="C78" s="70"/>
      <c r="D78" s="70"/>
      <c r="E78" s="70"/>
      <c r="F78" s="70"/>
      <c r="G78" s="102"/>
      <c r="H78" s="102"/>
      <c r="I78" s="102"/>
      <c r="J78" s="102"/>
      <c r="K78" s="102"/>
      <c r="L78" s="142">
        <f t="shared" si="57"/>
        <v>0</v>
      </c>
      <c r="M78" s="142">
        <f t="shared" si="58"/>
        <v>0</v>
      </c>
      <c r="N78" s="142">
        <f t="shared" si="59"/>
        <v>0</v>
      </c>
      <c r="O78" s="125"/>
      <c r="P78" s="83">
        <f t="shared" si="60"/>
        <v>0</v>
      </c>
      <c r="Q78" s="83">
        <f t="shared" si="61"/>
        <v>0</v>
      </c>
      <c r="R78" s="83">
        <f t="shared" si="62"/>
        <v>0</v>
      </c>
      <c r="S78" s="83">
        <f t="shared" si="48"/>
        <v>0</v>
      </c>
      <c r="T78" s="89">
        <f t="shared" si="63"/>
        <v>0</v>
      </c>
      <c r="U78" s="125"/>
      <c r="V78" s="208">
        <f t="shared" ref="V78:V95" si="73">+S78-E78+C78</f>
        <v>0</v>
      </c>
      <c r="W78" s="128"/>
      <c r="X78" s="128"/>
    </row>
    <row r="79" spans="1:24" x14ac:dyDescent="0.2">
      <c r="A79" s="20"/>
      <c r="B79" s="20" t="s">
        <v>86</v>
      </c>
      <c r="C79" s="70"/>
      <c r="D79" s="70"/>
      <c r="E79" s="70"/>
      <c r="F79" s="70"/>
      <c r="G79" s="102"/>
      <c r="H79" s="102"/>
      <c r="I79" s="102"/>
      <c r="J79" s="102"/>
      <c r="K79" s="102"/>
      <c r="L79" s="142">
        <f t="shared" si="57"/>
        <v>0</v>
      </c>
      <c r="M79" s="142">
        <f t="shared" si="58"/>
        <v>0</v>
      </c>
      <c r="N79" s="142">
        <f t="shared" si="59"/>
        <v>0</v>
      </c>
      <c r="O79" s="125"/>
      <c r="P79" s="83">
        <f t="shared" si="60"/>
        <v>0</v>
      </c>
      <c r="Q79" s="83">
        <f t="shared" si="61"/>
        <v>0</v>
      </c>
      <c r="R79" s="83">
        <f t="shared" si="62"/>
        <v>0</v>
      </c>
      <c r="S79" s="83">
        <f t="shared" si="48"/>
        <v>0</v>
      </c>
      <c r="T79" s="89">
        <f t="shared" si="63"/>
        <v>0</v>
      </c>
      <c r="U79" s="125"/>
      <c r="V79" s="208">
        <f t="shared" si="73"/>
        <v>0</v>
      </c>
      <c r="W79" s="128"/>
      <c r="X79" s="128"/>
    </row>
    <row r="80" spans="1:24" x14ac:dyDescent="0.2">
      <c r="A80" s="20" t="s">
        <v>87</v>
      </c>
      <c r="B80" s="20" t="s">
        <v>88</v>
      </c>
      <c r="C80" s="70">
        <v>24000</v>
      </c>
      <c r="D80" s="70">
        <v>24000</v>
      </c>
      <c r="E80" s="150">
        <v>0</v>
      </c>
      <c r="F80" s="70"/>
      <c r="G80" s="102"/>
      <c r="H80" s="102">
        <v>1992</v>
      </c>
      <c r="I80" s="102">
        <v>0</v>
      </c>
      <c r="J80" s="102"/>
      <c r="K80" s="102"/>
      <c r="L80" s="143">
        <f t="shared" si="57"/>
        <v>8.3000000000000004E-2</v>
      </c>
      <c r="M80" s="143">
        <f t="shared" si="58"/>
        <v>0</v>
      </c>
      <c r="N80" s="143">
        <f t="shared" si="59"/>
        <v>0</v>
      </c>
      <c r="O80" s="126"/>
      <c r="P80" s="83">
        <f t="shared" si="60"/>
        <v>0</v>
      </c>
      <c r="Q80" s="83">
        <f t="shared" si="61"/>
        <v>-24000</v>
      </c>
      <c r="R80" s="83">
        <f t="shared" si="62"/>
        <v>0</v>
      </c>
      <c r="S80" s="83">
        <f t="shared" si="48"/>
        <v>-24000</v>
      </c>
      <c r="T80" s="89">
        <f t="shared" si="63"/>
        <v>-1</v>
      </c>
      <c r="U80" s="126"/>
      <c r="V80" s="208">
        <f t="shared" si="73"/>
        <v>0</v>
      </c>
      <c r="W80" s="128"/>
      <c r="X80" s="128"/>
    </row>
    <row r="81" spans="1:26" ht="38.450000000000003" customHeight="1" x14ac:dyDescent="0.2">
      <c r="A81" s="20"/>
      <c r="B81" s="20" t="s">
        <v>92</v>
      </c>
      <c r="C81" s="70"/>
      <c r="D81" s="70"/>
      <c r="E81" s="70"/>
      <c r="F81" s="70"/>
      <c r="G81" s="102"/>
      <c r="H81" s="102"/>
      <c r="I81" s="102"/>
      <c r="J81" s="102"/>
      <c r="K81" s="102"/>
      <c r="L81" s="142">
        <f t="shared" si="57"/>
        <v>0</v>
      </c>
      <c r="M81" s="142">
        <f t="shared" si="58"/>
        <v>0</v>
      </c>
      <c r="N81" s="142">
        <f t="shared" si="59"/>
        <v>0</v>
      </c>
      <c r="O81" s="125"/>
      <c r="P81" s="83">
        <f t="shared" si="60"/>
        <v>0</v>
      </c>
      <c r="Q81" s="83">
        <f t="shared" si="61"/>
        <v>0</v>
      </c>
      <c r="R81" s="83">
        <f t="shared" si="62"/>
        <v>0</v>
      </c>
      <c r="S81" s="83">
        <f t="shared" si="48"/>
        <v>0</v>
      </c>
      <c r="T81" s="89">
        <f t="shared" si="63"/>
        <v>0</v>
      </c>
      <c r="U81" s="125"/>
      <c r="V81" s="208">
        <f t="shared" si="73"/>
        <v>0</v>
      </c>
      <c r="W81" s="128"/>
      <c r="X81" s="128"/>
      <c r="Y81" s="2"/>
    </row>
    <row r="82" spans="1:26" x14ac:dyDescent="0.2">
      <c r="A82" s="20"/>
      <c r="B82" s="14"/>
      <c r="C82" s="70"/>
      <c r="D82" s="99"/>
      <c r="E82" s="99"/>
      <c r="F82" s="99"/>
      <c r="G82" s="100"/>
      <c r="H82" s="100"/>
      <c r="I82" s="100"/>
      <c r="J82" s="100"/>
      <c r="K82" s="100"/>
      <c r="L82" s="142"/>
      <c r="M82" s="142"/>
      <c r="N82" s="142"/>
      <c r="O82" s="125"/>
      <c r="P82" s="83"/>
      <c r="Q82" s="83"/>
      <c r="R82" s="83"/>
      <c r="S82" s="83"/>
      <c r="T82" s="89"/>
      <c r="U82" s="125"/>
      <c r="V82" s="208">
        <f t="shared" si="73"/>
        <v>0</v>
      </c>
      <c r="W82" s="128"/>
      <c r="X82" s="128"/>
    </row>
    <row r="83" spans="1:26" x14ac:dyDescent="0.2">
      <c r="A83" s="3" t="s">
        <v>158</v>
      </c>
      <c r="B83" s="3" t="s">
        <v>159</v>
      </c>
      <c r="C83" s="95">
        <f>SUM(C84:C85)</f>
        <v>52000</v>
      </c>
      <c r="D83" s="95">
        <f t="shared" ref="D83:F83" si="74">SUM(D84:D85)</f>
        <v>52000</v>
      </c>
      <c r="E83" s="95">
        <f t="shared" si="74"/>
        <v>0</v>
      </c>
      <c r="F83" s="95">
        <f t="shared" si="74"/>
        <v>0</v>
      </c>
      <c r="G83" s="96"/>
      <c r="H83" s="95">
        <f t="shared" ref="H83:J83" si="75">SUM(H84:H85)</f>
        <v>0</v>
      </c>
      <c r="I83" s="95">
        <f t="shared" si="75"/>
        <v>0</v>
      </c>
      <c r="J83" s="95">
        <f t="shared" si="75"/>
        <v>0</v>
      </c>
      <c r="K83" s="96"/>
      <c r="L83" s="89">
        <f t="shared" ref="L83:L84" si="76">IF(H83&gt;0,H83/C83,0)</f>
        <v>0</v>
      </c>
      <c r="M83" s="89">
        <f t="shared" ref="M83:M84" si="77">IF(I83&gt;0,I83/D83,0)</f>
        <v>0</v>
      </c>
      <c r="N83" s="89">
        <f t="shared" ref="N83:N84" si="78">IF(J83&gt;0,J83/E83,0)</f>
        <v>0</v>
      </c>
      <c r="O83" s="124"/>
      <c r="P83" s="96">
        <f t="shared" ref="P83:P84" si="79">+(D83-C83)*P$10</f>
        <v>0</v>
      </c>
      <c r="Q83" s="96">
        <f t="shared" ref="Q83:Q84" si="80">+(E83-D83)*Q$10</f>
        <v>-52000</v>
      </c>
      <c r="R83" s="96">
        <f t="shared" ref="R83:R84" si="81">+(F83-E83)*R$10</f>
        <v>0</v>
      </c>
      <c r="S83" s="96">
        <f t="shared" ref="S83:S84" si="82">SUM(P83:R83)</f>
        <v>-52000</v>
      </c>
      <c r="T83" s="215">
        <f>IF(C83=0,0,+S83/C83)</f>
        <v>-1</v>
      </c>
      <c r="U83" s="124"/>
      <c r="V83" s="208">
        <f t="shared" ref="V83:V88" si="83">+S83-E83+C83</f>
        <v>0</v>
      </c>
      <c r="W83" s="128"/>
      <c r="X83" s="128"/>
      <c r="Y83" s="2"/>
      <c r="Z83" s="2"/>
    </row>
    <row r="84" spans="1:26" x14ac:dyDescent="0.2">
      <c r="A84" s="20"/>
      <c r="B84" s="20"/>
      <c r="C84" s="295">
        <v>52000</v>
      </c>
      <c r="D84" s="295">
        <v>52000</v>
      </c>
      <c r="E84" s="295">
        <v>0</v>
      </c>
      <c r="F84" s="295"/>
      <c r="G84" s="327"/>
      <c r="H84" s="327">
        <v>0</v>
      </c>
      <c r="I84" s="327">
        <v>0</v>
      </c>
      <c r="J84" s="327"/>
      <c r="K84" s="100"/>
      <c r="L84" s="143">
        <f t="shared" si="76"/>
        <v>0</v>
      </c>
      <c r="M84" s="143">
        <f t="shared" si="77"/>
        <v>0</v>
      </c>
      <c r="N84" s="143">
        <f t="shared" si="78"/>
        <v>0</v>
      </c>
      <c r="O84" s="126"/>
      <c r="P84" s="83">
        <f t="shared" si="79"/>
        <v>0</v>
      </c>
      <c r="Q84" s="83">
        <f t="shared" si="80"/>
        <v>-52000</v>
      </c>
      <c r="R84" s="83">
        <f t="shared" si="81"/>
        <v>0</v>
      </c>
      <c r="S84" s="83">
        <f t="shared" si="82"/>
        <v>-52000</v>
      </c>
      <c r="T84" s="89">
        <f>IF(C84=0,0,+S84/C84)</f>
        <v>-1</v>
      </c>
      <c r="U84" s="126"/>
      <c r="V84" s="208">
        <f t="shared" si="83"/>
        <v>0</v>
      </c>
      <c r="W84" s="128"/>
      <c r="X84" s="128"/>
      <c r="Y84" s="59"/>
    </row>
    <row r="85" spans="1:26" x14ac:dyDescent="0.2">
      <c r="A85" s="20"/>
      <c r="B85" s="14"/>
      <c r="C85" s="70"/>
      <c r="D85" s="99"/>
      <c r="E85" s="99"/>
      <c r="F85" s="99"/>
      <c r="G85" s="100"/>
      <c r="H85" s="100"/>
      <c r="I85" s="100"/>
      <c r="J85" s="100"/>
      <c r="K85" s="100"/>
      <c r="L85" s="142"/>
      <c r="M85" s="142"/>
      <c r="N85" s="142"/>
      <c r="O85" s="125"/>
      <c r="P85" s="83"/>
      <c r="Q85" s="83"/>
      <c r="R85" s="83"/>
      <c r="S85" s="83"/>
      <c r="T85" s="89"/>
      <c r="U85" s="125"/>
      <c r="V85" s="208">
        <f t="shared" si="83"/>
        <v>0</v>
      </c>
      <c r="W85" s="128"/>
      <c r="X85" s="128"/>
    </row>
    <row r="86" spans="1:26" x14ac:dyDescent="0.2">
      <c r="A86" s="3" t="s">
        <v>173</v>
      </c>
      <c r="B86" s="3" t="s">
        <v>174</v>
      </c>
      <c r="C86" s="95">
        <f>SUM(C87:C88)</f>
        <v>0</v>
      </c>
      <c r="D86" s="95">
        <f t="shared" ref="D86:F86" si="84">SUM(D87:D88)</f>
        <v>0</v>
      </c>
      <c r="E86" s="95">
        <f t="shared" si="84"/>
        <v>0</v>
      </c>
      <c r="F86" s="95">
        <f t="shared" si="84"/>
        <v>0</v>
      </c>
      <c r="G86" s="96"/>
      <c r="H86" s="95">
        <f t="shared" ref="H86:J86" si="85">SUM(H87:H88)</f>
        <v>0</v>
      </c>
      <c r="I86" s="95">
        <f t="shared" si="85"/>
        <v>0</v>
      </c>
      <c r="J86" s="95">
        <f t="shared" si="85"/>
        <v>0</v>
      </c>
      <c r="K86" s="96"/>
      <c r="L86" s="89">
        <f t="shared" ref="L86:L87" si="86">IF(H86&gt;0,H86/C86,0)</f>
        <v>0</v>
      </c>
      <c r="M86" s="89">
        <f t="shared" ref="M86:M87" si="87">IF(I86&gt;0,I86/D86,0)</f>
        <v>0</v>
      </c>
      <c r="N86" s="89">
        <f t="shared" ref="N86:N87" si="88">IF(J86&gt;0,J86/E86,0)</f>
        <v>0</v>
      </c>
      <c r="O86" s="124"/>
      <c r="P86" s="96">
        <f t="shared" ref="P86:P87" si="89">+(D86-C86)*P$10</f>
        <v>0</v>
      </c>
      <c r="Q86" s="96">
        <f t="shared" ref="Q86:Q87" si="90">+(E86-D86)*Q$10</f>
        <v>0</v>
      </c>
      <c r="R86" s="96">
        <f t="shared" ref="R86:R87" si="91">+(F86-E86)*R$10</f>
        <v>0</v>
      </c>
      <c r="S86" s="96">
        <f t="shared" ref="S86:S87" si="92">SUM(P86:R86)</f>
        <v>0</v>
      </c>
      <c r="T86" s="215">
        <f>IF(C86=0,0,+S86/C86)</f>
        <v>0</v>
      </c>
      <c r="U86" s="124"/>
      <c r="V86" s="208">
        <f t="shared" si="83"/>
        <v>0</v>
      </c>
      <c r="W86" s="128"/>
      <c r="X86" s="128"/>
      <c r="Y86" s="2"/>
      <c r="Z86" s="2"/>
    </row>
    <row r="87" spans="1:26" x14ac:dyDescent="0.2">
      <c r="A87" s="20"/>
      <c r="B87" s="20"/>
      <c r="C87" s="295"/>
      <c r="D87" s="295"/>
      <c r="E87" s="295"/>
      <c r="F87" s="295"/>
      <c r="G87" s="327"/>
      <c r="H87" s="327"/>
      <c r="I87" s="327"/>
      <c r="J87" s="327"/>
      <c r="K87" s="100"/>
      <c r="L87" s="143">
        <f t="shared" si="86"/>
        <v>0</v>
      </c>
      <c r="M87" s="143">
        <f t="shared" si="87"/>
        <v>0</v>
      </c>
      <c r="N87" s="143">
        <f t="shared" si="88"/>
        <v>0</v>
      </c>
      <c r="O87" s="126"/>
      <c r="P87" s="83">
        <f t="shared" si="89"/>
        <v>0</v>
      </c>
      <c r="Q87" s="83">
        <f t="shared" si="90"/>
        <v>0</v>
      </c>
      <c r="R87" s="83">
        <f t="shared" si="91"/>
        <v>0</v>
      </c>
      <c r="S87" s="83">
        <f t="shared" si="92"/>
        <v>0</v>
      </c>
      <c r="T87" s="89">
        <f>IF(C87=0,0,+S87/C87)</f>
        <v>0</v>
      </c>
      <c r="U87" s="126"/>
      <c r="V87" s="208">
        <f t="shared" si="83"/>
        <v>0</v>
      </c>
      <c r="W87" s="128"/>
      <c r="X87" s="128"/>
      <c r="Y87" s="59"/>
    </row>
    <row r="88" spans="1:26" x14ac:dyDescent="0.2">
      <c r="A88" s="20"/>
      <c r="B88" s="14"/>
      <c r="C88" s="70"/>
      <c r="D88" s="99"/>
      <c r="E88" s="99"/>
      <c r="F88" s="99"/>
      <c r="G88" s="100"/>
      <c r="H88" s="100"/>
      <c r="I88" s="100"/>
      <c r="J88" s="100"/>
      <c r="K88" s="100"/>
      <c r="L88" s="142"/>
      <c r="M88" s="142"/>
      <c r="N88" s="142"/>
      <c r="O88" s="125"/>
      <c r="P88" s="83"/>
      <c r="Q88" s="83"/>
      <c r="R88" s="83"/>
      <c r="S88" s="83"/>
      <c r="T88" s="89"/>
      <c r="U88" s="125"/>
      <c r="V88" s="208">
        <f t="shared" si="83"/>
        <v>0</v>
      </c>
      <c r="W88" s="128"/>
      <c r="X88" s="128"/>
    </row>
    <row r="89" spans="1:26" x14ac:dyDescent="0.2">
      <c r="A89" s="3"/>
      <c r="B89" s="3" t="s">
        <v>378</v>
      </c>
      <c r="C89" s="95">
        <f>C13+C32+C29+C83+C86</f>
        <v>36750000</v>
      </c>
      <c r="D89" s="95">
        <f t="shared" ref="D89:J89" si="93">D13+D32+D29+D83+D86</f>
        <v>37159000</v>
      </c>
      <c r="E89" s="95">
        <f t="shared" si="93"/>
        <v>0</v>
      </c>
      <c r="F89" s="95">
        <f t="shared" si="93"/>
        <v>0</v>
      </c>
      <c r="G89" s="95"/>
      <c r="H89" s="95">
        <f t="shared" si="93"/>
        <v>17640024</v>
      </c>
      <c r="I89" s="95">
        <f t="shared" si="93"/>
        <v>0</v>
      </c>
      <c r="J89" s="95">
        <f t="shared" si="93"/>
        <v>0</v>
      </c>
      <c r="K89" s="96"/>
      <c r="L89" s="89">
        <f t="shared" si="57"/>
        <v>0.48000065306122447</v>
      </c>
      <c r="M89" s="89">
        <f t="shared" si="58"/>
        <v>0</v>
      </c>
      <c r="N89" s="89">
        <f t="shared" si="59"/>
        <v>0</v>
      </c>
      <c r="O89" s="124"/>
      <c r="P89" s="96">
        <f t="shared" si="60"/>
        <v>409000</v>
      </c>
      <c r="Q89" s="96">
        <f t="shared" si="61"/>
        <v>-37159000</v>
      </c>
      <c r="R89" s="96">
        <f t="shared" si="62"/>
        <v>0</v>
      </c>
      <c r="S89" s="96">
        <f t="shared" si="48"/>
        <v>-36750000</v>
      </c>
      <c r="T89" s="215">
        <f t="shared" si="63"/>
        <v>-1</v>
      </c>
      <c r="U89" s="124"/>
      <c r="V89" s="208">
        <f t="shared" si="73"/>
        <v>0</v>
      </c>
      <c r="W89" s="128"/>
      <c r="X89" s="128"/>
    </row>
    <row r="90" spans="1:26" ht="10.35" customHeight="1" x14ac:dyDescent="0.2"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73"/>
        <v>0</v>
      </c>
      <c r="W90" s="128"/>
      <c r="X90" s="128"/>
    </row>
    <row r="91" spans="1:26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6" ht="10.35" customHeight="1" x14ac:dyDescent="0.2"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6" s="43" customFormat="1" x14ac:dyDescent="0.2">
      <c r="A93" s="4" t="s">
        <v>241</v>
      </c>
      <c r="B93" s="3" t="s">
        <v>242</v>
      </c>
      <c r="C93" s="68">
        <f>SUM(C94:C94)</f>
        <v>0</v>
      </c>
      <c r="D93" s="68">
        <f>SUM(D94:D94)</f>
        <v>0</v>
      </c>
      <c r="E93" s="68">
        <f>SUM(E94:E94)</f>
        <v>0</v>
      </c>
      <c r="F93" s="68">
        <f>SUM(F94:F94)</f>
        <v>0</v>
      </c>
      <c r="G93" s="68"/>
      <c r="H93" s="68">
        <f>SUM(H94:H94)</f>
        <v>0</v>
      </c>
      <c r="I93" s="68">
        <f>SUM(I94:I94)</f>
        <v>0</v>
      </c>
      <c r="J93" s="68">
        <f>SUM(J94:J94)</f>
        <v>0</v>
      </c>
      <c r="K93" s="68"/>
      <c r="L93" s="89">
        <f t="shared" ref="L93:L94" si="94">IF(H93&gt;0,H93/C93,0)</f>
        <v>0</v>
      </c>
      <c r="M93" s="89">
        <f t="shared" ref="M93:M94" si="95">IF(I93&gt;0,I93/D93,0)</f>
        <v>0</v>
      </c>
      <c r="N93" s="89">
        <f t="shared" ref="N93:N94" si="96">IF(J93&gt;0,J93/E93,0)</f>
        <v>0</v>
      </c>
      <c r="O93" s="32"/>
      <c r="P93" s="68">
        <f t="shared" ref="P93:P94" si="97">+(D93-C93)*P$10</f>
        <v>0</v>
      </c>
      <c r="Q93" s="68">
        <f t="shared" ref="Q93:Q94" si="98">+(E93-D93)*Q$10</f>
        <v>0</v>
      </c>
      <c r="R93" s="68">
        <f t="shared" ref="R93:R94" si="99">+(F93-E93)*R$10</f>
        <v>0</v>
      </c>
      <c r="S93" s="68">
        <f t="shared" ref="S93:S94" si="100">SUM(P93:R93)</f>
        <v>0</v>
      </c>
      <c r="T93" s="214">
        <f t="shared" ref="T93:T94" si="101">IF(C93=0,0,+S93/C93)</f>
        <v>0</v>
      </c>
      <c r="U93" s="124"/>
      <c r="V93" s="208">
        <f t="shared" si="73"/>
        <v>0</v>
      </c>
      <c r="W93" s="135"/>
      <c r="X93" s="135"/>
    </row>
    <row r="94" spans="1:26" x14ac:dyDescent="0.2">
      <c r="A94" s="14"/>
      <c r="B94" s="20"/>
      <c r="C94" s="149"/>
      <c r="D94" s="149"/>
      <c r="E94" s="495"/>
      <c r="F94" s="73"/>
      <c r="G94" s="123"/>
      <c r="H94" s="102"/>
      <c r="I94" s="102"/>
      <c r="J94" s="102"/>
      <c r="K94" s="123"/>
      <c r="L94" s="143">
        <f t="shared" si="94"/>
        <v>0</v>
      </c>
      <c r="M94" s="143">
        <f t="shared" si="95"/>
        <v>0</v>
      </c>
      <c r="N94" s="143">
        <f t="shared" si="96"/>
        <v>0</v>
      </c>
      <c r="O94" s="126"/>
      <c r="P94" s="83">
        <f t="shared" si="97"/>
        <v>0</v>
      </c>
      <c r="Q94" s="83">
        <f t="shared" si="98"/>
        <v>0</v>
      </c>
      <c r="R94" s="83">
        <f t="shared" si="99"/>
        <v>0</v>
      </c>
      <c r="S94" s="83">
        <f t="shared" si="100"/>
        <v>0</v>
      </c>
      <c r="T94" s="89">
        <f t="shared" si="101"/>
        <v>0</v>
      </c>
      <c r="U94" s="126"/>
      <c r="V94" s="208">
        <f>+S94-E94+C94</f>
        <v>0</v>
      </c>
      <c r="W94" s="128"/>
      <c r="X94" s="128"/>
    </row>
    <row r="95" spans="1:26" s="43" customFormat="1" x14ac:dyDescent="0.2">
      <c r="A95" s="4" t="s">
        <v>284</v>
      </c>
      <c r="B95" s="3" t="s">
        <v>285</v>
      </c>
      <c r="C95" s="68">
        <f>SUM(C96:C98)</f>
        <v>8135000</v>
      </c>
      <c r="D95" s="68">
        <f>SUM(D96:D98)</f>
        <v>8135000</v>
      </c>
      <c r="E95" s="68">
        <f>SUM(E96:E98)</f>
        <v>0</v>
      </c>
      <c r="F95" s="68">
        <f>SUM(F96:F98)</f>
        <v>0</v>
      </c>
      <c r="G95" s="68"/>
      <c r="H95" s="68">
        <f>SUM(H96:H98)</f>
        <v>3968495</v>
      </c>
      <c r="I95" s="68">
        <f>+I96+I97+I98</f>
        <v>0</v>
      </c>
      <c r="J95" s="68">
        <f>+J96+J97+J98</f>
        <v>0</v>
      </c>
      <c r="K95" s="68"/>
      <c r="L95" s="89">
        <f t="shared" ref="L95:N102" si="102">IF(H95&gt;0,H95/C95,0)</f>
        <v>0.48782974800245849</v>
      </c>
      <c r="M95" s="89">
        <f t="shared" si="102"/>
        <v>0</v>
      </c>
      <c r="N95" s="89">
        <f t="shared" si="102"/>
        <v>0</v>
      </c>
      <c r="O95" s="32"/>
      <c r="P95" s="68">
        <f t="shared" ref="P95:R102" si="103">+(D95-C95)*P$10</f>
        <v>0</v>
      </c>
      <c r="Q95" s="68">
        <f t="shared" si="103"/>
        <v>-8135000</v>
      </c>
      <c r="R95" s="68">
        <f t="shared" si="103"/>
        <v>0</v>
      </c>
      <c r="S95" s="68">
        <f t="shared" ref="S95" si="104">SUM(P95:R95)</f>
        <v>-8135000</v>
      </c>
      <c r="T95" s="214">
        <f t="shared" ref="T95:T102" si="105">IF(C95=0,0,+S95/C95)</f>
        <v>-1</v>
      </c>
      <c r="U95" s="124"/>
      <c r="V95" s="208">
        <f t="shared" si="73"/>
        <v>0</v>
      </c>
      <c r="W95" s="135"/>
      <c r="X95" s="135"/>
    </row>
    <row r="96" spans="1:26" x14ac:dyDescent="0.2">
      <c r="A96" s="14" t="s">
        <v>296</v>
      </c>
      <c r="B96" s="20" t="s">
        <v>297</v>
      </c>
      <c r="C96" s="73">
        <v>6710000</v>
      </c>
      <c r="D96" s="73">
        <v>6704000</v>
      </c>
      <c r="E96" s="495">
        <v>0</v>
      </c>
      <c r="F96" s="73"/>
      <c r="G96" s="123"/>
      <c r="H96" s="102">
        <v>3312298</v>
      </c>
      <c r="I96" s="102">
        <v>0</v>
      </c>
      <c r="J96" s="102"/>
      <c r="K96" s="123"/>
      <c r="L96" s="143">
        <f t="shared" si="102"/>
        <v>0.49363606557377049</v>
      </c>
      <c r="M96" s="143">
        <f t="shared" si="102"/>
        <v>0</v>
      </c>
      <c r="N96" s="143">
        <f t="shared" si="102"/>
        <v>0</v>
      </c>
      <c r="O96" s="126"/>
      <c r="P96" s="83">
        <f t="shared" si="103"/>
        <v>-6000</v>
      </c>
      <c r="Q96" s="83">
        <f t="shared" si="103"/>
        <v>-6704000</v>
      </c>
      <c r="R96" s="83">
        <f t="shared" si="103"/>
        <v>0</v>
      </c>
      <c r="S96" s="83">
        <f t="shared" ref="S96" si="106">SUM(P96:R96)</f>
        <v>-6710000</v>
      </c>
      <c r="T96" s="89">
        <f t="shared" si="105"/>
        <v>-1</v>
      </c>
      <c r="U96" s="126"/>
      <c r="V96" s="208">
        <f>+S96-E96+C96</f>
        <v>0</v>
      </c>
      <c r="W96" s="128"/>
      <c r="X96" s="128"/>
    </row>
    <row r="97" spans="1:24" x14ac:dyDescent="0.2">
      <c r="A97" s="14" t="s">
        <v>299</v>
      </c>
      <c r="B97" s="20" t="s">
        <v>300</v>
      </c>
      <c r="C97" s="73">
        <v>1425000</v>
      </c>
      <c r="D97" s="73">
        <v>1425000</v>
      </c>
      <c r="E97" s="149">
        <v>0</v>
      </c>
      <c r="F97" s="73"/>
      <c r="G97" s="123"/>
      <c r="H97" s="102">
        <v>653629</v>
      </c>
      <c r="I97" s="102">
        <v>0</v>
      </c>
      <c r="J97" s="102"/>
      <c r="K97" s="123"/>
      <c r="L97" s="143">
        <f t="shared" si="102"/>
        <v>0.45868701754385965</v>
      </c>
      <c r="M97" s="143">
        <f t="shared" si="102"/>
        <v>0</v>
      </c>
      <c r="N97" s="143">
        <f t="shared" si="102"/>
        <v>0</v>
      </c>
      <c r="O97" s="126"/>
      <c r="P97" s="83">
        <f t="shared" si="103"/>
        <v>0</v>
      </c>
      <c r="Q97" s="83">
        <f t="shared" si="103"/>
        <v>-1425000</v>
      </c>
      <c r="R97" s="83">
        <f t="shared" si="103"/>
        <v>0</v>
      </c>
      <c r="S97" s="83">
        <f t="shared" ref="S97:S102" si="107">SUM(P97:R97)</f>
        <v>-1425000</v>
      </c>
      <c r="T97" s="89">
        <f t="shared" si="105"/>
        <v>-1</v>
      </c>
      <c r="U97" s="126"/>
      <c r="V97" s="208">
        <f t="shared" ref="V97:V99" si="108">+S97-E97+C97</f>
        <v>0</v>
      </c>
      <c r="W97" s="128"/>
      <c r="X97" s="128"/>
    </row>
    <row r="98" spans="1:24" x14ac:dyDescent="0.2">
      <c r="A98" s="560" t="s">
        <v>475</v>
      </c>
      <c r="B98" s="513" t="s">
        <v>474</v>
      </c>
      <c r="C98" s="73">
        <v>0</v>
      </c>
      <c r="D98" s="73">
        <v>6000</v>
      </c>
      <c r="E98" s="149">
        <v>0</v>
      </c>
      <c r="F98" s="73"/>
      <c r="G98" s="123"/>
      <c r="H98" s="102">
        <f>116+2452</f>
        <v>2568</v>
      </c>
      <c r="I98" s="102">
        <v>0</v>
      </c>
      <c r="J98" s="102"/>
      <c r="K98" s="123"/>
      <c r="L98" s="143" t="e">
        <f t="shared" si="102"/>
        <v>#DIV/0!</v>
      </c>
      <c r="M98" s="143">
        <f t="shared" si="102"/>
        <v>0</v>
      </c>
      <c r="N98" s="143">
        <f t="shared" si="102"/>
        <v>0</v>
      </c>
      <c r="O98" s="126"/>
      <c r="P98" s="83">
        <f t="shared" si="103"/>
        <v>6000</v>
      </c>
      <c r="Q98" s="83">
        <f t="shared" si="103"/>
        <v>-6000</v>
      </c>
      <c r="R98" s="83">
        <f t="shared" si="103"/>
        <v>0</v>
      </c>
      <c r="S98" s="83">
        <f t="shared" si="107"/>
        <v>0</v>
      </c>
      <c r="T98" s="89">
        <f t="shared" si="105"/>
        <v>0</v>
      </c>
      <c r="U98" s="126"/>
      <c r="V98" s="208">
        <f t="shared" si="108"/>
        <v>0</v>
      </c>
      <c r="W98" s="128"/>
      <c r="X98" s="128"/>
    </row>
    <row r="99" spans="1:24" s="43" customFormat="1" x14ac:dyDescent="0.2">
      <c r="A99" s="4" t="s">
        <v>333</v>
      </c>
      <c r="B99" s="3" t="s">
        <v>334</v>
      </c>
      <c r="C99" s="68">
        <f>SUM(C100:C101)</f>
        <v>28615000</v>
      </c>
      <c r="D99" s="68">
        <f t="shared" ref="D99:F99" si="109">SUM(D100:D101)</f>
        <v>29024000</v>
      </c>
      <c r="E99" s="72">
        <f t="shared" si="109"/>
        <v>0</v>
      </c>
      <c r="F99" s="68">
        <f t="shared" si="109"/>
        <v>0</v>
      </c>
      <c r="G99" s="68"/>
      <c r="H99" s="68">
        <f t="shared" ref="H99" si="110">SUM(H100:H101)</f>
        <v>16476846</v>
      </c>
      <c r="I99" s="68">
        <f t="shared" ref="I99" si="111">SUM(I100:I101)</f>
        <v>0</v>
      </c>
      <c r="J99" s="68">
        <f t="shared" ref="J99" si="112">SUM(J100:J101)</f>
        <v>0</v>
      </c>
      <c r="K99" s="68"/>
      <c r="L99" s="89">
        <f t="shared" si="102"/>
        <v>0.57581149746636384</v>
      </c>
      <c r="M99" s="89">
        <f t="shared" si="102"/>
        <v>0</v>
      </c>
      <c r="N99" s="89">
        <f t="shared" si="102"/>
        <v>0</v>
      </c>
      <c r="O99" s="32"/>
      <c r="P99" s="68">
        <f t="shared" si="103"/>
        <v>409000</v>
      </c>
      <c r="Q99" s="68">
        <f t="shared" si="103"/>
        <v>-29024000</v>
      </c>
      <c r="R99" s="68">
        <f t="shared" si="103"/>
        <v>0</v>
      </c>
      <c r="S99" s="68">
        <f t="shared" si="107"/>
        <v>-28615000</v>
      </c>
      <c r="T99" s="214">
        <f t="shared" si="105"/>
        <v>-1</v>
      </c>
      <c r="U99" s="124"/>
      <c r="V99" s="208">
        <f t="shared" si="108"/>
        <v>0</v>
      </c>
      <c r="W99" s="135"/>
      <c r="X99" s="135"/>
    </row>
    <row r="100" spans="1:24" x14ac:dyDescent="0.2">
      <c r="A100" s="14" t="s">
        <v>359</v>
      </c>
      <c r="B100" s="20" t="s">
        <v>390</v>
      </c>
      <c r="C100" s="73">
        <v>27728761</v>
      </c>
      <c r="D100" s="73">
        <v>28137761</v>
      </c>
      <c r="E100" s="495">
        <v>0</v>
      </c>
      <c r="F100" s="73"/>
      <c r="G100" s="123"/>
      <c r="H100" s="102">
        <v>15590607</v>
      </c>
      <c r="I100" s="102">
        <v>0</v>
      </c>
      <c r="J100" s="102"/>
      <c r="K100" s="123"/>
      <c r="L100" s="143">
        <f t="shared" si="102"/>
        <v>0.56225400767095224</v>
      </c>
      <c r="M100" s="143">
        <f t="shared" si="102"/>
        <v>0</v>
      </c>
      <c r="N100" s="143">
        <f t="shared" si="102"/>
        <v>0</v>
      </c>
      <c r="O100" s="126"/>
      <c r="P100" s="83">
        <f t="shared" si="103"/>
        <v>409000</v>
      </c>
      <c r="Q100" s="83">
        <f t="shared" si="103"/>
        <v>-28137761</v>
      </c>
      <c r="R100" s="83">
        <f t="shared" si="103"/>
        <v>0</v>
      </c>
      <c r="S100" s="83">
        <f t="shared" si="107"/>
        <v>-27728761</v>
      </c>
      <c r="T100" s="89">
        <f t="shared" si="105"/>
        <v>-1</v>
      </c>
      <c r="U100" s="126"/>
      <c r="V100" s="208">
        <f>+S100-E100+C100</f>
        <v>0</v>
      </c>
      <c r="W100" s="128"/>
      <c r="X100" s="128"/>
    </row>
    <row r="101" spans="1:24" ht="15.75" customHeight="1" x14ac:dyDescent="0.2">
      <c r="A101" s="14" t="s">
        <v>347</v>
      </c>
      <c r="B101" s="20" t="s">
        <v>348</v>
      </c>
      <c r="C101" s="151">
        <v>886239</v>
      </c>
      <c r="D101" s="70">
        <v>886239</v>
      </c>
      <c r="E101" s="187">
        <v>0</v>
      </c>
      <c r="F101" s="70"/>
      <c r="G101" s="102"/>
      <c r="H101" s="102">
        <v>886239</v>
      </c>
      <c r="I101" s="102">
        <v>0</v>
      </c>
      <c r="J101" s="102"/>
      <c r="K101" s="102"/>
      <c r="L101" s="142">
        <f t="shared" si="102"/>
        <v>1</v>
      </c>
      <c r="M101" s="142">
        <f t="shared" si="102"/>
        <v>0</v>
      </c>
      <c r="N101" s="142">
        <f t="shared" si="102"/>
        <v>0</v>
      </c>
      <c r="O101" s="125"/>
      <c r="P101" s="83">
        <f t="shared" si="103"/>
        <v>0</v>
      </c>
      <c r="Q101" s="83">
        <f t="shared" si="103"/>
        <v>-886239</v>
      </c>
      <c r="R101" s="83">
        <f t="shared" si="103"/>
        <v>0</v>
      </c>
      <c r="S101" s="83">
        <f t="shared" si="107"/>
        <v>-886239</v>
      </c>
      <c r="T101" s="89">
        <f t="shared" si="105"/>
        <v>-1</v>
      </c>
      <c r="U101" s="125"/>
      <c r="V101" s="208">
        <f t="shared" ref="V101:V102" si="113">+S101-E101+C101</f>
        <v>0</v>
      </c>
      <c r="W101" s="128"/>
      <c r="X101" s="128"/>
    </row>
    <row r="102" spans="1:24" x14ac:dyDescent="0.2">
      <c r="A102" s="5"/>
      <c r="B102" s="5" t="s">
        <v>377</v>
      </c>
      <c r="C102" s="69">
        <f>+C95+C99+C93</f>
        <v>36750000</v>
      </c>
      <c r="D102" s="69">
        <f>+D95+D99+D93</f>
        <v>37159000</v>
      </c>
      <c r="E102" s="69">
        <f>+E95+E99+E93</f>
        <v>0</v>
      </c>
      <c r="F102" s="69">
        <f>+F95+F99+F93</f>
        <v>0</v>
      </c>
      <c r="G102" s="69"/>
      <c r="H102" s="69">
        <f>+H95+H99+H93</f>
        <v>20445341</v>
      </c>
      <c r="I102" s="69">
        <f>+I95+I99+I93</f>
        <v>0</v>
      </c>
      <c r="J102" s="69">
        <f>+J95+J99+J93</f>
        <v>0</v>
      </c>
      <c r="K102" s="69"/>
      <c r="L102" s="89">
        <f t="shared" si="102"/>
        <v>0.55633580952380957</v>
      </c>
      <c r="M102" s="89">
        <f t="shared" si="102"/>
        <v>0</v>
      </c>
      <c r="N102" s="89">
        <f t="shared" si="102"/>
        <v>0</v>
      </c>
      <c r="O102" s="32"/>
      <c r="P102" s="69">
        <f t="shared" si="103"/>
        <v>409000</v>
      </c>
      <c r="Q102" s="69">
        <f t="shared" si="103"/>
        <v>-37159000</v>
      </c>
      <c r="R102" s="69">
        <f t="shared" si="103"/>
        <v>0</v>
      </c>
      <c r="S102" s="69">
        <f t="shared" si="107"/>
        <v>-36750000</v>
      </c>
      <c r="T102" s="89">
        <f t="shared" si="105"/>
        <v>-1</v>
      </c>
      <c r="U102" s="124"/>
      <c r="V102" s="209">
        <f t="shared" si="113"/>
        <v>0</v>
      </c>
      <c r="W102" s="128"/>
      <c r="X102" s="128"/>
    </row>
    <row r="103" spans="1:24" x14ac:dyDescent="0.2">
      <c r="B103" s="25"/>
      <c r="C103" s="103"/>
      <c r="D103" s="104"/>
      <c r="E103" s="104"/>
      <c r="F103" s="104"/>
      <c r="G103" s="104"/>
      <c r="H103" s="104"/>
      <c r="I103" s="104"/>
      <c r="J103" s="104"/>
      <c r="K103" s="104"/>
      <c r="P103" s="104"/>
      <c r="Q103" s="104"/>
      <c r="R103" s="104"/>
      <c r="S103" s="104"/>
      <c r="T103" s="104"/>
      <c r="W103" s="128"/>
      <c r="X103" s="128"/>
    </row>
    <row r="104" spans="1:24" x14ac:dyDescent="0.2">
      <c r="B104" s="25"/>
      <c r="C104" s="103"/>
      <c r="D104" s="104"/>
      <c r="E104" s="104"/>
      <c r="F104" s="104"/>
      <c r="G104" s="104"/>
      <c r="H104" s="104"/>
      <c r="I104" s="104"/>
      <c r="J104" s="104"/>
      <c r="K104" s="104"/>
      <c r="L104" s="19"/>
      <c r="M104" s="19"/>
      <c r="N104" s="19"/>
      <c r="O104" s="19"/>
      <c r="P104" s="104"/>
      <c r="Q104" s="104"/>
      <c r="R104" s="104"/>
      <c r="S104" s="104"/>
      <c r="T104" s="104"/>
      <c r="U104" s="19"/>
      <c r="V104" s="19"/>
      <c r="W104" s="128"/>
      <c r="X104" s="128"/>
    </row>
    <row r="105" spans="1:24" x14ac:dyDescent="0.2">
      <c r="B105" s="25"/>
      <c r="C105" s="103"/>
      <c r="D105" s="103"/>
      <c r="E105" s="104"/>
      <c r="F105" s="104"/>
      <c r="G105" s="104"/>
      <c r="H105" s="104"/>
      <c r="I105" s="104"/>
      <c r="J105" s="104"/>
      <c r="K105" s="104"/>
      <c r="P105" s="104"/>
      <c r="Q105" s="104"/>
      <c r="R105" s="104"/>
      <c r="S105" s="104"/>
      <c r="T105" s="104"/>
      <c r="W105" s="128"/>
      <c r="X105" s="128"/>
    </row>
    <row r="106" spans="1:24" x14ac:dyDescent="0.2">
      <c r="B106" s="25"/>
      <c r="C106" s="103"/>
      <c r="D106" s="104"/>
      <c r="E106" s="104"/>
      <c r="F106" s="104"/>
      <c r="G106" s="104"/>
      <c r="H106" s="104"/>
      <c r="I106" s="104"/>
      <c r="J106" s="104"/>
      <c r="K106" s="104"/>
    </row>
    <row r="107" spans="1:24" x14ac:dyDescent="0.2">
      <c r="A107" s="615"/>
      <c r="B107" s="61"/>
      <c r="C107" s="103"/>
      <c r="D107" s="103"/>
      <c r="E107" s="104"/>
      <c r="F107" s="104"/>
      <c r="G107" s="104"/>
      <c r="H107" s="104"/>
      <c r="K107" s="104"/>
    </row>
    <row r="108" spans="1:24" x14ac:dyDescent="0.2">
      <c r="A108" s="615"/>
      <c r="B108" s="61"/>
      <c r="C108" s="103"/>
      <c r="D108" s="103"/>
      <c r="E108" s="104"/>
      <c r="F108" s="104"/>
      <c r="G108" s="104"/>
      <c r="H108" s="104"/>
      <c r="K108" s="104"/>
    </row>
    <row r="109" spans="1:24" x14ac:dyDescent="0.2">
      <c r="A109" s="615"/>
      <c r="B109" s="61"/>
      <c r="C109" s="103"/>
      <c r="D109" s="103"/>
      <c r="E109" s="104"/>
      <c r="F109" s="104"/>
      <c r="G109" s="104"/>
      <c r="H109" s="104"/>
      <c r="K109" s="104"/>
    </row>
    <row r="110" spans="1:24" x14ac:dyDescent="0.2">
      <c r="A110" s="26"/>
      <c r="B110" s="615"/>
      <c r="C110" s="103"/>
      <c r="D110" s="103"/>
      <c r="E110" s="104"/>
      <c r="F110" s="104"/>
      <c r="G110" s="104"/>
      <c r="H110" s="104"/>
      <c r="K110" s="104"/>
    </row>
    <row r="111" spans="1:24" x14ac:dyDescent="0.2">
      <c r="B111" s="615"/>
      <c r="C111" s="103"/>
      <c r="D111" s="103"/>
      <c r="E111" s="104"/>
      <c r="F111" s="104"/>
      <c r="G111" s="104"/>
      <c r="H111" s="104"/>
      <c r="K111" s="104"/>
    </row>
    <row r="112" spans="1:24" x14ac:dyDescent="0.2">
      <c r="B112" s="25"/>
      <c r="C112" s="103"/>
      <c r="D112" s="104"/>
      <c r="E112" s="104"/>
      <c r="F112" s="104"/>
      <c r="G112" s="104"/>
      <c r="H112" s="104"/>
      <c r="K112" s="104"/>
    </row>
    <row r="113" spans="1:11" x14ac:dyDescent="0.2">
      <c r="B113" s="25"/>
      <c r="C113" s="103"/>
      <c r="D113" s="104"/>
      <c r="E113" s="104"/>
      <c r="F113" s="104"/>
      <c r="G113" s="104"/>
      <c r="H113" s="104"/>
      <c r="K113" s="104"/>
    </row>
    <row r="114" spans="1:11" x14ac:dyDescent="0.2">
      <c r="B114" s="25"/>
      <c r="C114" s="103"/>
      <c r="D114" s="104"/>
      <c r="E114" s="104"/>
      <c r="F114" s="104"/>
      <c r="G114" s="104"/>
      <c r="H114" s="104"/>
      <c r="K114" s="104"/>
    </row>
    <row r="115" spans="1:11" x14ac:dyDescent="0.2">
      <c r="C115" s="103"/>
      <c r="D115" s="104"/>
      <c r="E115" s="104"/>
      <c r="F115" s="104"/>
      <c r="G115" s="104"/>
      <c r="H115" s="104"/>
      <c r="K115" s="104"/>
    </row>
    <row r="116" spans="1:11" x14ac:dyDescent="0.2">
      <c r="A116" s="26"/>
      <c r="B116" s="26"/>
      <c r="C116" s="103"/>
      <c r="D116" s="104"/>
      <c r="E116" s="104"/>
      <c r="F116" s="104"/>
      <c r="G116" s="104"/>
      <c r="H116" s="104"/>
      <c r="K116" s="104"/>
    </row>
    <row r="117" spans="1:11" x14ac:dyDescent="0.2">
      <c r="B117" s="25"/>
      <c r="C117" s="103"/>
      <c r="D117" s="104"/>
      <c r="E117" s="104"/>
      <c r="F117" s="104"/>
      <c r="G117" s="104"/>
      <c r="H117" s="104"/>
      <c r="K117" s="104"/>
    </row>
    <row r="118" spans="1:11" x14ac:dyDescent="0.2">
      <c r="B118" s="25"/>
      <c r="C118" s="103"/>
      <c r="D118" s="104"/>
      <c r="E118" s="104"/>
      <c r="F118" s="104"/>
      <c r="G118" s="104"/>
      <c r="H118" s="104"/>
      <c r="K118" s="104"/>
    </row>
    <row r="119" spans="1:11" x14ac:dyDescent="0.2">
      <c r="B119" s="25"/>
      <c r="C119" s="103"/>
      <c r="D119" s="104"/>
      <c r="E119" s="104"/>
      <c r="F119" s="104"/>
      <c r="G119" s="104"/>
      <c r="H119" s="104"/>
      <c r="K119" s="104"/>
    </row>
    <row r="120" spans="1:11" x14ac:dyDescent="0.2">
      <c r="B120" s="25"/>
      <c r="C120" s="103"/>
      <c r="D120" s="104"/>
      <c r="E120" s="104"/>
      <c r="F120" s="104"/>
      <c r="G120" s="104"/>
      <c r="H120" s="104"/>
      <c r="K120" s="104"/>
    </row>
    <row r="121" spans="1:11" x14ac:dyDescent="0.2">
      <c r="B121" s="25"/>
      <c r="C121" s="103"/>
      <c r="D121" s="104"/>
      <c r="E121" s="104"/>
      <c r="F121" s="104"/>
      <c r="G121" s="104"/>
      <c r="H121" s="104"/>
      <c r="K121" s="104"/>
    </row>
    <row r="122" spans="1:11" x14ac:dyDescent="0.2">
      <c r="B122" s="25"/>
      <c r="C122" s="103"/>
      <c r="D122" s="104"/>
      <c r="E122" s="104"/>
      <c r="F122" s="104"/>
      <c r="G122" s="104"/>
      <c r="H122" s="104"/>
      <c r="K122" s="104"/>
    </row>
    <row r="123" spans="1:11" x14ac:dyDescent="0.2">
      <c r="B123" s="25"/>
      <c r="C123" s="103"/>
      <c r="D123" s="104"/>
      <c r="E123" s="104"/>
      <c r="F123" s="104"/>
      <c r="G123" s="104"/>
      <c r="H123" s="104"/>
      <c r="K123" s="104"/>
    </row>
    <row r="124" spans="1:11" x14ac:dyDescent="0.2">
      <c r="B124" s="25"/>
      <c r="C124" s="103"/>
      <c r="D124" s="104"/>
      <c r="E124" s="104"/>
      <c r="F124" s="104"/>
      <c r="G124" s="104"/>
      <c r="H124" s="104"/>
      <c r="K124" s="104"/>
    </row>
    <row r="125" spans="1:11" x14ac:dyDescent="0.2">
      <c r="C125" s="103"/>
      <c r="D125" s="104"/>
      <c r="E125" s="104"/>
      <c r="F125" s="104"/>
      <c r="G125" s="104"/>
      <c r="H125" s="104"/>
      <c r="K125" s="104"/>
    </row>
    <row r="126" spans="1:11" x14ac:dyDescent="0.2">
      <c r="A126" s="26"/>
      <c r="B126" s="26"/>
      <c r="C126" s="103"/>
      <c r="D126" s="104"/>
      <c r="E126" s="104"/>
      <c r="F126" s="104"/>
      <c r="G126" s="104"/>
      <c r="H126" s="104"/>
      <c r="K126" s="104"/>
    </row>
    <row r="127" spans="1:11" x14ac:dyDescent="0.2">
      <c r="B127" s="25"/>
      <c r="C127" s="103"/>
      <c r="D127" s="104"/>
      <c r="E127" s="104"/>
      <c r="F127" s="104"/>
      <c r="G127" s="104"/>
      <c r="H127" s="104"/>
      <c r="K127" s="104"/>
    </row>
    <row r="128" spans="1:11" x14ac:dyDescent="0.2">
      <c r="B128" s="25"/>
      <c r="C128" s="103"/>
      <c r="D128" s="104"/>
      <c r="E128" s="104"/>
      <c r="F128" s="104"/>
      <c r="G128" s="104"/>
      <c r="H128" s="104"/>
      <c r="K128" s="104"/>
    </row>
    <row r="129" spans="2:11" x14ac:dyDescent="0.2">
      <c r="B129" s="25"/>
      <c r="C129" s="103"/>
      <c r="D129" s="104"/>
      <c r="E129" s="104"/>
      <c r="F129" s="104"/>
      <c r="G129" s="104"/>
      <c r="H129" s="104"/>
      <c r="K129" s="104"/>
    </row>
    <row r="130" spans="2:11" x14ac:dyDescent="0.2">
      <c r="B130" s="25"/>
      <c r="C130" s="103"/>
      <c r="D130" s="104"/>
      <c r="E130" s="104"/>
      <c r="F130" s="104"/>
      <c r="G130" s="104"/>
      <c r="H130" s="104"/>
      <c r="K130" s="104"/>
    </row>
    <row r="131" spans="2:11" x14ac:dyDescent="0.2">
      <c r="B131" s="25"/>
      <c r="C131" s="103"/>
      <c r="D131" s="104"/>
      <c r="E131" s="104"/>
      <c r="F131" s="104"/>
      <c r="G131" s="104"/>
      <c r="H131" s="104"/>
      <c r="K131" s="104"/>
    </row>
    <row r="132" spans="2:11" x14ac:dyDescent="0.2">
      <c r="B132" s="25"/>
      <c r="C132" s="103"/>
      <c r="D132" s="104"/>
      <c r="E132" s="104"/>
      <c r="F132" s="104"/>
      <c r="G132" s="104"/>
      <c r="H132" s="104"/>
      <c r="K132" s="104"/>
    </row>
    <row r="133" spans="2:11" x14ac:dyDescent="0.2">
      <c r="B133" s="25"/>
      <c r="C133" s="103"/>
      <c r="D133" s="104"/>
      <c r="E133" s="104"/>
      <c r="F133" s="104"/>
      <c r="G133" s="104"/>
      <c r="H133" s="104"/>
      <c r="K133" s="104"/>
    </row>
    <row r="134" spans="2:11" x14ac:dyDescent="0.2">
      <c r="B134" s="25"/>
    </row>
    <row r="135" spans="2:11" x14ac:dyDescent="0.2">
      <c r="B135" s="25"/>
    </row>
    <row r="136" spans="2:11" x14ac:dyDescent="0.2">
      <c r="B136" s="25"/>
    </row>
    <row r="137" spans="2:11" x14ac:dyDescent="0.2">
      <c r="B137" s="25"/>
    </row>
    <row r="138" spans="2:11" x14ac:dyDescent="0.2">
      <c r="B138" s="25"/>
    </row>
    <row r="139" spans="2:11" x14ac:dyDescent="0.2">
      <c r="B139" s="25"/>
    </row>
    <row r="140" spans="2:11" x14ac:dyDescent="0.2">
      <c r="B140" s="25"/>
    </row>
    <row r="141" spans="2:11" x14ac:dyDescent="0.2">
      <c r="B141" s="25"/>
    </row>
    <row r="142" spans="2:11" x14ac:dyDescent="0.2">
      <c r="B142" s="25"/>
    </row>
    <row r="143" spans="2:11" x14ac:dyDescent="0.2">
      <c r="B143" s="25"/>
    </row>
    <row r="144" spans="2:11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</sheetData>
  <mergeCells count="5">
    <mergeCell ref="C9:F9"/>
    <mergeCell ref="P9:T9"/>
    <mergeCell ref="H9:N9"/>
    <mergeCell ref="H10:J10"/>
    <mergeCell ref="L10:N10"/>
  </mergeCells>
  <phoneticPr fontId="2" type="noConversion"/>
  <printOptions horizontalCentered="1"/>
  <pageMargins left="0" right="0" top="0.39370078740157483" bottom="0" header="0.51181102362204722" footer="0.51181102362204722"/>
  <pageSetup paperSize="8" scale="73" fitToHeight="0" orientation="landscape" r:id="rId1"/>
  <headerFooter alignWithMargins="0">
    <oddHeader>&amp;R&amp;"Arial,Félkövér dőlt"&amp;12&amp;A  /&amp;10
&amp;"Arial,Dőlt"&amp;F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view="pageBreakPreview" zoomScale="85" zoomScaleNormal="100" zoomScaleSheetLayoutView="85" workbookViewId="0">
      <selection activeCell="E15" sqref="E15"/>
    </sheetView>
  </sheetViews>
  <sheetFormatPr defaultRowHeight="12.75" x14ac:dyDescent="0.2"/>
  <cols>
    <col min="1" max="1" width="6.42578125" style="13" bestFit="1" customWidth="1"/>
    <col min="2" max="2" width="57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2" width="15.5703125" style="13" customWidth="1"/>
    <col min="13" max="13" width="13.42578125" style="13" bestFit="1" customWidth="1"/>
    <col min="14" max="14" width="15.5703125" style="13" customWidth="1"/>
    <col min="15" max="15" width="0.85546875" style="13" customWidth="1"/>
    <col min="16" max="19" width="15.5703125" style="13" customWidth="1"/>
    <col min="20" max="20" width="7.140625" style="13" customWidth="1"/>
    <col min="21" max="21" width="2.85546875" style="13" customWidth="1"/>
    <col min="22" max="22" width="3.42578125" style="13" customWidth="1"/>
    <col min="23" max="23" width="14.5703125" bestFit="1" customWidth="1"/>
    <col min="24" max="24" width="15.42578125" bestFit="1" customWidth="1"/>
  </cols>
  <sheetData>
    <row r="1" spans="1:26" ht="26.25" x14ac:dyDescent="0.4">
      <c r="A1" s="250" t="s">
        <v>476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FÉLÉVES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66"/>
      <c r="B4" s="67"/>
      <c r="C4" s="94"/>
      <c r="D4" s="94"/>
      <c r="E4" s="94"/>
      <c r="F4" s="94"/>
      <c r="G4" s="94"/>
      <c r="H4" s="94"/>
      <c r="I4" s="94"/>
      <c r="J4" s="94"/>
      <c r="K4" s="94"/>
      <c r="L4" s="67"/>
      <c r="M4" s="67"/>
      <c r="N4" s="67"/>
      <c r="O4" s="67"/>
      <c r="P4" s="94"/>
      <c r="Q4" s="94"/>
      <c r="R4" s="94"/>
      <c r="S4" s="94"/>
      <c r="T4" s="94"/>
      <c r="U4" s="67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+C90</f>
        <v>171876100</v>
      </c>
      <c r="D5" s="273">
        <f t="shared" ref="D5:F5" si="0">+D90</f>
        <v>173326100</v>
      </c>
      <c r="E5" s="273">
        <f t="shared" si="0"/>
        <v>0</v>
      </c>
      <c r="F5" s="273">
        <f t="shared" si="0"/>
        <v>0</v>
      </c>
      <c r="G5" s="273"/>
      <c r="H5" s="273">
        <f t="shared" ref="H5:J5" si="1">+H90</f>
        <v>87833991</v>
      </c>
      <c r="I5" s="273">
        <f t="shared" si="1"/>
        <v>0</v>
      </c>
      <c r="J5" s="273">
        <f t="shared" si="1"/>
        <v>0</v>
      </c>
      <c r="K5" s="95"/>
      <c r="L5" s="32">
        <f t="shared" ref="L5:N6" si="2">IF(H5&gt;0,H5/C5,0)</f>
        <v>0.5110308588570488</v>
      </c>
      <c r="M5" s="32">
        <f t="shared" si="2"/>
        <v>0</v>
      </c>
      <c r="N5" s="32">
        <f t="shared" si="2"/>
        <v>0</v>
      </c>
      <c r="O5" s="32"/>
      <c r="P5" s="273">
        <f t="shared" ref="P5:S5" si="3">+P90</f>
        <v>1450000</v>
      </c>
      <c r="Q5" s="273">
        <f t="shared" si="3"/>
        <v>-173326100</v>
      </c>
      <c r="R5" s="273">
        <f t="shared" si="3"/>
        <v>0</v>
      </c>
      <c r="S5" s="273">
        <f t="shared" si="3"/>
        <v>-171876100</v>
      </c>
      <c r="T5" s="139">
        <f>IF(C5=0,0,+S5/C5)</f>
        <v>-1</v>
      </c>
      <c r="U5" s="124"/>
      <c r="V5" s="211">
        <f t="shared" ref="V5:V7" si="4">+S5-E5+C5</f>
        <v>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171876100</v>
      </c>
      <c r="D6" s="275">
        <f t="shared" ref="D6:F6" si="5">+D102</f>
        <v>173326100</v>
      </c>
      <c r="E6" s="275">
        <f t="shared" si="5"/>
        <v>0</v>
      </c>
      <c r="F6" s="275">
        <f t="shared" si="5"/>
        <v>0</v>
      </c>
      <c r="G6" s="275"/>
      <c r="H6" s="275">
        <f t="shared" ref="H6:J6" si="6">+H102</f>
        <v>91732232</v>
      </c>
      <c r="I6" s="275">
        <f t="shared" si="6"/>
        <v>0</v>
      </c>
      <c r="J6" s="275">
        <f t="shared" si="6"/>
        <v>0</v>
      </c>
      <c r="K6" s="69"/>
      <c r="L6" s="32">
        <f t="shared" si="2"/>
        <v>0.53371138861074929</v>
      </c>
      <c r="M6" s="32">
        <f t="shared" si="2"/>
        <v>0</v>
      </c>
      <c r="N6" s="32">
        <f t="shared" si="2"/>
        <v>0</v>
      </c>
      <c r="O6" s="32"/>
      <c r="P6" s="275">
        <f t="shared" ref="P6:S6" si="7">+P102</f>
        <v>1450000</v>
      </c>
      <c r="Q6" s="275">
        <f t="shared" si="7"/>
        <v>-173326100</v>
      </c>
      <c r="R6" s="275">
        <f t="shared" si="7"/>
        <v>0</v>
      </c>
      <c r="S6" s="275">
        <f t="shared" si="7"/>
        <v>-171876100</v>
      </c>
      <c r="T6" s="32">
        <f>IF(C6=0,0,+S6/C6)</f>
        <v>-1</v>
      </c>
      <c r="U6" s="124"/>
      <c r="V6" s="211">
        <f t="shared" si="4"/>
        <v>0</v>
      </c>
      <c r="W6" s="128"/>
      <c r="X6" s="128"/>
    </row>
    <row r="7" spans="1:26" ht="20.100000000000001" customHeight="1" x14ac:dyDescent="0.25">
      <c r="A7" s="274"/>
      <c r="B7" s="274" t="s">
        <v>413</v>
      </c>
      <c r="C7" s="275">
        <f>+C6-C5</f>
        <v>0</v>
      </c>
      <c r="D7" s="275">
        <f t="shared" ref="D7:H7" si="8">+D6-D5</f>
        <v>0</v>
      </c>
      <c r="E7" s="275">
        <f t="shared" si="8"/>
        <v>0</v>
      </c>
      <c r="F7" s="275">
        <f t="shared" si="8"/>
        <v>0</v>
      </c>
      <c r="G7" s="275"/>
      <c r="H7" s="275">
        <f t="shared" si="8"/>
        <v>3898241</v>
      </c>
      <c r="I7" s="275">
        <f>+I6-I5</f>
        <v>0</v>
      </c>
      <c r="J7" s="275">
        <f t="shared" ref="J7" si="9">+J6-J5</f>
        <v>0</v>
      </c>
      <c r="K7" s="69"/>
      <c r="L7" s="32"/>
      <c r="M7" s="32"/>
      <c r="N7" s="32"/>
      <c r="O7" s="32"/>
      <c r="P7" s="275">
        <f t="shared" ref="P7:S7" si="10">+P6-P5</f>
        <v>0</v>
      </c>
      <c r="Q7" s="275">
        <f t="shared" si="10"/>
        <v>0</v>
      </c>
      <c r="R7" s="275">
        <f t="shared" si="10"/>
        <v>0</v>
      </c>
      <c r="S7" s="275">
        <f t="shared" si="10"/>
        <v>0</v>
      </c>
      <c r="T7" s="32">
        <f>IF(C7=0,0,+S7/C7)</f>
        <v>0</v>
      </c>
      <c r="U7" s="124"/>
      <c r="V7" s="211">
        <f t="shared" si="4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716" t="s">
        <v>412</v>
      </c>
      <c r="D9" s="721"/>
      <c r="E9" s="721"/>
      <c r="F9" s="722"/>
      <c r="G9" s="165"/>
      <c r="H9" s="716" t="s">
        <v>411</v>
      </c>
      <c r="I9" s="721"/>
      <c r="J9" s="721"/>
      <c r="K9" s="721"/>
      <c r="L9" s="721"/>
      <c r="M9" s="721"/>
      <c r="N9" s="722"/>
      <c r="O9" s="165"/>
      <c r="P9" s="716" t="s">
        <v>408</v>
      </c>
      <c r="Q9" s="721"/>
      <c r="R9" s="721"/>
      <c r="S9" s="721"/>
      <c r="T9" s="722"/>
      <c r="U9" s="212"/>
      <c r="V9" s="208"/>
      <c r="W9" s="128"/>
      <c r="X9" s="128"/>
    </row>
    <row r="10" spans="1:26" x14ac:dyDescent="0.2">
      <c r="A10" s="66"/>
      <c r="B10" s="67"/>
      <c r="C10" s="255"/>
      <c r="D10" s="94"/>
      <c r="E10" s="94"/>
      <c r="F10" s="256"/>
      <c r="G10" s="140"/>
      <c r="H10" s="713" t="s">
        <v>425</v>
      </c>
      <c r="I10" s="723"/>
      <c r="J10" s="724"/>
      <c r="K10" s="140"/>
      <c r="L10" s="713" t="s">
        <v>424</v>
      </c>
      <c r="M10" s="723"/>
      <c r="N10" s="724"/>
      <c r="O10" s="141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78.75" x14ac:dyDescent="0.2">
      <c r="A11" s="27" t="s">
        <v>373</v>
      </c>
      <c r="B11" s="27" t="s">
        <v>371</v>
      </c>
      <c r="C11" s="551" t="s">
        <v>483</v>
      </c>
      <c r="D11" s="388" t="s">
        <v>484</v>
      </c>
      <c r="E11" s="388" t="s">
        <v>485</v>
      </c>
      <c r="F11" s="552" t="s">
        <v>486</v>
      </c>
      <c r="G11" s="388"/>
      <c r="H11" s="525" t="s">
        <v>487</v>
      </c>
      <c r="I11" s="389" t="s">
        <v>488</v>
      </c>
      <c r="J11" s="389" t="s">
        <v>489</v>
      </c>
      <c r="K11" s="388"/>
      <c r="L11" s="390" t="s">
        <v>490</v>
      </c>
      <c r="M11" s="390" t="s">
        <v>494</v>
      </c>
      <c r="N11" s="526" t="s">
        <v>495</v>
      </c>
      <c r="O11" s="388"/>
      <c r="P11" s="525" t="s">
        <v>491</v>
      </c>
      <c r="Q11" s="389" t="s">
        <v>493</v>
      </c>
      <c r="R11" s="389" t="s">
        <v>492</v>
      </c>
      <c r="S11" s="389" t="s">
        <v>409</v>
      </c>
      <c r="T11" s="526" t="s">
        <v>410</v>
      </c>
      <c r="U11" s="202"/>
      <c r="V11" s="138" t="s">
        <v>414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70"/>
      <c r="Q12" s="70"/>
      <c r="R12" s="70"/>
      <c r="S12" s="70"/>
      <c r="T12" s="70"/>
      <c r="U12" s="70"/>
      <c r="V12" s="278"/>
    </row>
    <row r="13" spans="1:26" x14ac:dyDescent="0.2">
      <c r="A13" s="313" t="s">
        <v>0</v>
      </c>
      <c r="B13" s="313" t="s">
        <v>3</v>
      </c>
      <c r="C13" s="314">
        <f>SUM(C15:C29)</f>
        <v>133266100</v>
      </c>
      <c r="D13" s="314">
        <f t="shared" ref="D13:J13" si="11">SUM(D15:D29)</f>
        <v>133266100</v>
      </c>
      <c r="E13" s="314">
        <f t="shared" si="11"/>
        <v>0</v>
      </c>
      <c r="F13" s="314">
        <f t="shared" si="11"/>
        <v>0</v>
      </c>
      <c r="G13" s="314"/>
      <c r="H13" s="314">
        <f t="shared" si="11"/>
        <v>64161938</v>
      </c>
      <c r="I13" s="314">
        <f t="shared" si="11"/>
        <v>0</v>
      </c>
      <c r="J13" s="314">
        <f t="shared" si="11"/>
        <v>0</v>
      </c>
      <c r="K13" s="314">
        <f t="shared" ref="K13" si="12">SUM(K15:K28)</f>
        <v>0</v>
      </c>
      <c r="L13" s="55">
        <f>IF(H13&gt;0,H13/C13,0)</f>
        <v>0.48145730984849111</v>
      </c>
      <c r="M13" s="55">
        <f>IF(I13&gt;0,I13/D13,0)</f>
        <v>0</v>
      </c>
      <c r="N13" s="55">
        <f>IF(J13&gt;0,J13/E13,0)</f>
        <v>0</v>
      </c>
      <c r="O13" s="314">
        <f>SUM(O15:O28)</f>
        <v>0</v>
      </c>
      <c r="P13" s="314">
        <f>+(D13-C13)*P$10</f>
        <v>0</v>
      </c>
      <c r="Q13" s="314">
        <f>+(E13-D13)*Q$10</f>
        <v>-133266100</v>
      </c>
      <c r="R13" s="314">
        <f>+(F13-E13)*R$10</f>
        <v>0</v>
      </c>
      <c r="S13" s="314">
        <f>SUM(P13:R13)</f>
        <v>-133266100</v>
      </c>
      <c r="T13" s="284">
        <f>IF(C13=0,0,+S13/C13)</f>
        <v>-1</v>
      </c>
      <c r="U13" s="126"/>
      <c r="V13" s="208">
        <f t="shared" ref="V13" si="13">+S13-E13+C13</f>
        <v>0</v>
      </c>
      <c r="W13">
        <f t="shared" ref="W13" si="14">+T13-F13+D13</f>
        <v>133266099</v>
      </c>
    </row>
    <row r="14" spans="1:26" x14ac:dyDescent="0.2">
      <c r="A14" s="15" t="s">
        <v>1</v>
      </c>
      <c r="B14" s="15"/>
      <c r="C14" s="71"/>
      <c r="D14" s="97"/>
      <c r="E14" s="97"/>
      <c r="F14" s="97"/>
      <c r="G14" s="98"/>
      <c r="H14" s="98"/>
      <c r="I14" s="98"/>
      <c r="J14" s="98"/>
      <c r="K14" s="98"/>
      <c r="L14" s="142"/>
      <c r="M14" s="142"/>
      <c r="N14" s="142"/>
      <c r="O14" s="125"/>
      <c r="P14" s="98"/>
      <c r="Q14" s="98"/>
      <c r="R14" s="98"/>
      <c r="S14" s="98"/>
      <c r="T14" s="161"/>
      <c r="U14" s="125"/>
      <c r="V14" s="208">
        <f t="shared" ref="V14" si="15">+S14-E14+C14</f>
        <v>0</v>
      </c>
      <c r="W14" s="128"/>
      <c r="X14" s="128"/>
    </row>
    <row r="15" spans="1:26" x14ac:dyDescent="0.2">
      <c r="A15" s="14" t="s">
        <v>2</v>
      </c>
      <c r="B15" s="56" t="s">
        <v>402</v>
      </c>
      <c r="C15" s="152">
        <f>120687000+2500000</f>
        <v>123187000</v>
      </c>
      <c r="D15" s="152">
        <v>123087000</v>
      </c>
      <c r="E15" s="152"/>
      <c r="F15" s="152"/>
      <c r="G15" s="152"/>
      <c r="H15" s="152">
        <v>60842837</v>
      </c>
      <c r="I15" s="152">
        <v>0</v>
      </c>
      <c r="J15" s="152"/>
      <c r="K15" s="152"/>
      <c r="L15" s="221">
        <f t="shared" ref="L15:L28" si="16">IF(H15&gt;0,H15/C15,0)</f>
        <v>0.49390631316616201</v>
      </c>
      <c r="M15" s="221">
        <f t="shared" ref="M15:M28" si="17">IF(I15&gt;0,I15/D15,0)</f>
        <v>0</v>
      </c>
      <c r="N15" s="221">
        <f t="shared" ref="N15:N29" si="18">IF(J15&gt;0,J15/E15,0)</f>
        <v>0</v>
      </c>
      <c r="O15" s="152"/>
      <c r="P15" s="83">
        <f>+(D15-C15)*P$10</f>
        <v>-100000</v>
      </c>
      <c r="Q15" s="83">
        <f>+(E15-D15)*Q$10</f>
        <v>-123087000</v>
      </c>
      <c r="R15" s="83">
        <f>+(F15-E15)*R$10</f>
        <v>0</v>
      </c>
      <c r="S15" s="83">
        <f>SUM(P15:R15)</f>
        <v>-123187000</v>
      </c>
      <c r="T15" s="304">
        <f>IF(C15=0,0,+S15/C15)</f>
        <v>-1</v>
      </c>
      <c r="U15" s="126"/>
      <c r="V15" s="208">
        <f t="shared" ref="V15" si="19">+S15-E15+C15</f>
        <v>0</v>
      </c>
      <c r="X15" s="2"/>
    </row>
    <row r="16" spans="1:26" ht="25.5" x14ac:dyDescent="0.2">
      <c r="A16" s="14"/>
      <c r="B16" s="56" t="s">
        <v>401</v>
      </c>
      <c r="C16" s="152">
        <v>0</v>
      </c>
      <c r="D16" s="152">
        <v>0</v>
      </c>
      <c r="E16" s="152"/>
      <c r="F16" s="152"/>
      <c r="G16" s="152"/>
      <c r="H16" s="152"/>
      <c r="I16" s="152"/>
      <c r="J16" s="152"/>
      <c r="K16" s="152"/>
      <c r="L16" s="221">
        <f t="shared" si="16"/>
        <v>0</v>
      </c>
      <c r="M16" s="221">
        <f t="shared" si="17"/>
        <v>0</v>
      </c>
      <c r="N16" s="221">
        <f t="shared" si="18"/>
        <v>0</v>
      </c>
      <c r="O16" s="152"/>
      <c r="P16" s="83">
        <f t="shared" ref="P16:P30" si="20">+(D16-C16)*P$10</f>
        <v>0</v>
      </c>
      <c r="Q16" s="83">
        <f t="shared" ref="Q16:Q30" si="21">+(E16-D16)*Q$10</f>
        <v>0</v>
      </c>
      <c r="R16" s="83">
        <f t="shared" ref="R16:R30" si="22">+(F16-E16)*R$10</f>
        <v>0</v>
      </c>
      <c r="S16" s="83">
        <f t="shared" ref="S16:S30" si="23">SUM(P16:R16)</f>
        <v>0</v>
      </c>
      <c r="T16" s="304">
        <f t="shared" ref="T16:T30" si="24">IF(C16=0,0,+S16/C16)</f>
        <v>0</v>
      </c>
      <c r="U16" s="126"/>
      <c r="V16" s="208">
        <f t="shared" ref="V16:V30" si="25">+S16-E16+C16</f>
        <v>0</v>
      </c>
      <c r="X16" s="2"/>
    </row>
    <row r="17" spans="1:24" x14ac:dyDescent="0.2">
      <c r="A17" s="14" t="s">
        <v>12</v>
      </c>
      <c r="B17" s="20" t="s">
        <v>4</v>
      </c>
      <c r="C17" s="70">
        <v>0</v>
      </c>
      <c r="D17" s="70">
        <v>0</v>
      </c>
      <c r="E17" s="70"/>
      <c r="F17" s="70"/>
      <c r="G17" s="70"/>
      <c r="H17" s="70">
        <v>0</v>
      </c>
      <c r="I17" s="70">
        <v>0</v>
      </c>
      <c r="J17" s="70"/>
      <c r="K17" s="70"/>
      <c r="L17" s="221">
        <f t="shared" si="16"/>
        <v>0</v>
      </c>
      <c r="M17" s="221">
        <f t="shared" si="17"/>
        <v>0</v>
      </c>
      <c r="N17" s="221">
        <f t="shared" si="18"/>
        <v>0</v>
      </c>
      <c r="O17" s="70"/>
      <c r="P17" s="83">
        <f t="shared" si="20"/>
        <v>0</v>
      </c>
      <c r="Q17" s="83">
        <f t="shared" si="21"/>
        <v>0</v>
      </c>
      <c r="R17" s="83">
        <f t="shared" si="22"/>
        <v>0</v>
      </c>
      <c r="S17" s="83">
        <f t="shared" si="23"/>
        <v>0</v>
      </c>
      <c r="T17" s="304">
        <f t="shared" si="24"/>
        <v>0</v>
      </c>
      <c r="U17" s="126"/>
      <c r="V17" s="208">
        <f t="shared" si="25"/>
        <v>0</v>
      </c>
    </row>
    <row r="18" spans="1:24" x14ac:dyDescent="0.2">
      <c r="A18" s="14" t="s">
        <v>13</v>
      </c>
      <c r="B18" s="20" t="s">
        <v>5</v>
      </c>
      <c r="C18" s="70"/>
      <c r="D18" s="70"/>
      <c r="E18" s="70"/>
      <c r="F18" s="70"/>
      <c r="G18" s="70"/>
      <c r="H18" s="70"/>
      <c r="I18" s="70"/>
      <c r="J18" s="70"/>
      <c r="K18" s="70"/>
      <c r="L18" s="221">
        <f t="shared" si="16"/>
        <v>0</v>
      </c>
      <c r="M18" s="221">
        <f t="shared" si="17"/>
        <v>0</v>
      </c>
      <c r="N18" s="221">
        <f t="shared" si="18"/>
        <v>0</v>
      </c>
      <c r="O18" s="70"/>
      <c r="P18" s="83">
        <f t="shared" si="20"/>
        <v>0</v>
      </c>
      <c r="Q18" s="83">
        <f t="shared" si="21"/>
        <v>0</v>
      </c>
      <c r="R18" s="83">
        <f t="shared" si="22"/>
        <v>0</v>
      </c>
      <c r="S18" s="83">
        <f t="shared" si="23"/>
        <v>0</v>
      </c>
      <c r="T18" s="304">
        <f t="shared" si="24"/>
        <v>0</v>
      </c>
      <c r="U18" s="126"/>
      <c r="V18" s="208">
        <f t="shared" si="25"/>
        <v>0</v>
      </c>
    </row>
    <row r="19" spans="1:24" x14ac:dyDescent="0.2">
      <c r="A19" s="14" t="s">
        <v>386</v>
      </c>
      <c r="B19" s="20" t="s">
        <v>6</v>
      </c>
      <c r="C19" s="70">
        <f>4557100+350000</f>
        <v>4907100</v>
      </c>
      <c r="D19" s="70">
        <v>4907100</v>
      </c>
      <c r="E19" s="70">
        <v>0</v>
      </c>
      <c r="F19" s="70"/>
      <c r="G19" s="70"/>
      <c r="H19" s="70">
        <v>698300</v>
      </c>
      <c r="I19" s="70">
        <v>0</v>
      </c>
      <c r="J19" s="70"/>
      <c r="K19" s="70"/>
      <c r="L19" s="221">
        <f t="shared" si="16"/>
        <v>0.14230400847751218</v>
      </c>
      <c r="M19" s="221">
        <f t="shared" si="17"/>
        <v>0</v>
      </c>
      <c r="N19" s="221">
        <f t="shared" si="18"/>
        <v>0</v>
      </c>
      <c r="O19" s="70"/>
      <c r="P19" s="83">
        <f t="shared" si="20"/>
        <v>0</v>
      </c>
      <c r="Q19" s="83">
        <f t="shared" si="21"/>
        <v>-4907100</v>
      </c>
      <c r="R19" s="83">
        <f t="shared" si="22"/>
        <v>0</v>
      </c>
      <c r="S19" s="83">
        <f t="shared" si="23"/>
        <v>-4907100</v>
      </c>
      <c r="T19" s="304">
        <f t="shared" si="24"/>
        <v>-1</v>
      </c>
      <c r="U19" s="126"/>
      <c r="V19" s="208">
        <f t="shared" si="25"/>
        <v>0</v>
      </c>
      <c r="W19" s="2"/>
    </row>
    <row r="20" spans="1:24" x14ac:dyDescent="0.2">
      <c r="A20" s="14" t="s">
        <v>14</v>
      </c>
      <c r="B20" s="20" t="s">
        <v>7</v>
      </c>
      <c r="C20" s="70">
        <v>2640000</v>
      </c>
      <c r="D20" s="70">
        <v>2640000</v>
      </c>
      <c r="E20" s="70">
        <v>0</v>
      </c>
      <c r="F20" s="70"/>
      <c r="G20" s="70"/>
      <c r="H20" s="70">
        <v>1290000</v>
      </c>
      <c r="I20" s="70">
        <v>0</v>
      </c>
      <c r="J20" s="70"/>
      <c r="K20" s="70"/>
      <c r="L20" s="221">
        <f t="shared" si="16"/>
        <v>0.48863636363636365</v>
      </c>
      <c r="M20" s="221">
        <f t="shared" si="17"/>
        <v>0</v>
      </c>
      <c r="N20" s="221">
        <f t="shared" si="18"/>
        <v>0</v>
      </c>
      <c r="O20" s="70"/>
      <c r="P20" s="83">
        <f t="shared" si="20"/>
        <v>0</v>
      </c>
      <c r="Q20" s="83">
        <f t="shared" si="21"/>
        <v>-2640000</v>
      </c>
      <c r="R20" s="83">
        <f t="shared" si="22"/>
        <v>0</v>
      </c>
      <c r="S20" s="83">
        <f t="shared" si="23"/>
        <v>-2640000</v>
      </c>
      <c r="T20" s="304">
        <f t="shared" si="24"/>
        <v>-1</v>
      </c>
      <c r="U20" s="126"/>
      <c r="V20" s="208">
        <f t="shared" si="25"/>
        <v>0</v>
      </c>
      <c r="W20" s="2"/>
    </row>
    <row r="21" spans="1:24" x14ac:dyDescent="0.2">
      <c r="A21" s="14" t="s">
        <v>15</v>
      </c>
      <c r="B21" s="20" t="s">
        <v>8</v>
      </c>
      <c r="C21" s="70">
        <v>0</v>
      </c>
      <c r="D21" s="70"/>
      <c r="E21" s="70"/>
      <c r="F21" s="70"/>
      <c r="G21" s="70"/>
      <c r="H21" s="70"/>
      <c r="I21" s="70"/>
      <c r="J21" s="70"/>
      <c r="K21" s="70"/>
      <c r="L21" s="221">
        <f t="shared" si="16"/>
        <v>0</v>
      </c>
      <c r="M21" s="221">
        <f t="shared" si="17"/>
        <v>0</v>
      </c>
      <c r="N21" s="221">
        <f t="shared" si="18"/>
        <v>0</v>
      </c>
      <c r="O21" s="70"/>
      <c r="P21" s="83">
        <f t="shared" si="20"/>
        <v>0</v>
      </c>
      <c r="Q21" s="83">
        <f t="shared" si="21"/>
        <v>0</v>
      </c>
      <c r="R21" s="83">
        <f t="shared" si="22"/>
        <v>0</v>
      </c>
      <c r="S21" s="83">
        <f t="shared" si="23"/>
        <v>0</v>
      </c>
      <c r="T21" s="304">
        <f t="shared" si="24"/>
        <v>0</v>
      </c>
      <c r="U21" s="126"/>
      <c r="V21" s="208">
        <f t="shared" si="25"/>
        <v>0</v>
      </c>
    </row>
    <row r="22" spans="1:24" x14ac:dyDescent="0.2">
      <c r="A22" s="14" t="s">
        <v>16</v>
      </c>
      <c r="B22" s="20" t="s">
        <v>9</v>
      </c>
      <c r="C22" s="70">
        <v>480000</v>
      </c>
      <c r="D22" s="70">
        <v>480000</v>
      </c>
      <c r="E22" s="70">
        <v>0</v>
      </c>
      <c r="F22" s="70"/>
      <c r="G22" s="70"/>
      <c r="H22" s="70">
        <v>84260</v>
      </c>
      <c r="I22" s="70">
        <v>0</v>
      </c>
      <c r="J22" s="70"/>
      <c r="K22" s="70"/>
      <c r="L22" s="221">
        <f t="shared" si="16"/>
        <v>0.17554166666666668</v>
      </c>
      <c r="M22" s="221">
        <f t="shared" si="17"/>
        <v>0</v>
      </c>
      <c r="N22" s="221">
        <f t="shared" si="18"/>
        <v>0</v>
      </c>
      <c r="O22" s="70"/>
      <c r="P22" s="83">
        <f t="shared" si="20"/>
        <v>0</v>
      </c>
      <c r="Q22" s="83">
        <f t="shared" si="21"/>
        <v>-480000</v>
      </c>
      <c r="R22" s="83">
        <f t="shared" si="22"/>
        <v>0</v>
      </c>
      <c r="S22" s="83">
        <f t="shared" si="23"/>
        <v>-480000</v>
      </c>
      <c r="T22" s="304">
        <f t="shared" si="24"/>
        <v>-1</v>
      </c>
      <c r="U22" s="126"/>
      <c r="V22" s="208">
        <f t="shared" si="25"/>
        <v>0</v>
      </c>
      <c r="X22" s="38"/>
    </row>
    <row r="23" spans="1:24" x14ac:dyDescent="0.2">
      <c r="A23" s="14" t="s">
        <v>17</v>
      </c>
      <c r="B23" s="20" t="s">
        <v>10</v>
      </c>
      <c r="C23" s="70"/>
      <c r="D23" s="70"/>
      <c r="E23" s="70"/>
      <c r="F23" s="70"/>
      <c r="G23" s="70"/>
      <c r="H23" s="70"/>
      <c r="I23" s="70"/>
      <c r="J23" s="70"/>
      <c r="K23" s="70"/>
      <c r="L23" s="221">
        <f t="shared" si="16"/>
        <v>0</v>
      </c>
      <c r="M23" s="221">
        <f t="shared" si="17"/>
        <v>0</v>
      </c>
      <c r="N23" s="221">
        <f t="shared" si="18"/>
        <v>0</v>
      </c>
      <c r="O23" s="70"/>
      <c r="P23" s="83">
        <f t="shared" si="20"/>
        <v>0</v>
      </c>
      <c r="Q23" s="83">
        <f t="shared" si="21"/>
        <v>0</v>
      </c>
      <c r="R23" s="83">
        <f t="shared" si="22"/>
        <v>0</v>
      </c>
      <c r="S23" s="83">
        <f t="shared" si="23"/>
        <v>0</v>
      </c>
      <c r="T23" s="304">
        <f t="shared" si="24"/>
        <v>0</v>
      </c>
      <c r="U23" s="126"/>
      <c r="V23" s="208">
        <f t="shared" si="25"/>
        <v>0</v>
      </c>
    </row>
    <row r="24" spans="1:24" x14ac:dyDescent="0.2">
      <c r="A24" s="14" t="s">
        <v>18</v>
      </c>
      <c r="B24" s="20" t="s">
        <v>11</v>
      </c>
      <c r="C24" s="70">
        <v>1880000</v>
      </c>
      <c r="D24" s="70">
        <v>1880000</v>
      </c>
      <c r="E24" s="70">
        <v>0</v>
      </c>
      <c r="F24" s="70"/>
      <c r="G24" s="70"/>
      <c r="H24" s="70">
        <v>977070</v>
      </c>
      <c r="I24" s="70">
        <v>0</v>
      </c>
      <c r="J24" s="70"/>
      <c r="K24" s="70"/>
      <c r="L24" s="221">
        <f t="shared" si="16"/>
        <v>0.51971808510638295</v>
      </c>
      <c r="M24" s="221">
        <f t="shared" si="17"/>
        <v>0</v>
      </c>
      <c r="N24" s="221">
        <f t="shared" si="18"/>
        <v>0</v>
      </c>
      <c r="O24" s="70"/>
      <c r="P24" s="83">
        <f t="shared" si="20"/>
        <v>0</v>
      </c>
      <c r="Q24" s="83">
        <f t="shared" si="21"/>
        <v>-1880000</v>
      </c>
      <c r="R24" s="83">
        <f t="shared" si="22"/>
        <v>0</v>
      </c>
      <c r="S24" s="83">
        <f t="shared" si="23"/>
        <v>-1880000</v>
      </c>
      <c r="T24" s="304">
        <f t="shared" si="24"/>
        <v>-1</v>
      </c>
      <c r="U24" s="126"/>
      <c r="V24" s="208">
        <f t="shared" si="25"/>
        <v>0</v>
      </c>
    </row>
    <row r="25" spans="1:24" x14ac:dyDescent="0.2">
      <c r="A25" s="14" t="s">
        <v>19</v>
      </c>
      <c r="B25" s="20"/>
      <c r="C25" s="70"/>
      <c r="D25" s="70"/>
      <c r="E25" s="70"/>
      <c r="F25" s="70"/>
      <c r="G25" s="70"/>
      <c r="H25" s="70"/>
      <c r="I25" s="70"/>
      <c r="J25" s="70"/>
      <c r="K25" s="70"/>
      <c r="L25" s="221">
        <f t="shared" si="16"/>
        <v>0</v>
      </c>
      <c r="M25" s="221">
        <f t="shared" si="17"/>
        <v>0</v>
      </c>
      <c r="N25" s="221">
        <f t="shared" si="18"/>
        <v>0</v>
      </c>
      <c r="O25" s="70"/>
      <c r="P25" s="83">
        <f t="shared" si="20"/>
        <v>0</v>
      </c>
      <c r="Q25" s="83">
        <f t="shared" si="21"/>
        <v>0</v>
      </c>
      <c r="R25" s="83">
        <f t="shared" si="22"/>
        <v>0</v>
      </c>
      <c r="S25" s="83">
        <f t="shared" si="23"/>
        <v>0</v>
      </c>
      <c r="T25" s="304">
        <f t="shared" si="24"/>
        <v>0</v>
      </c>
      <c r="U25" s="126"/>
      <c r="V25" s="208">
        <f t="shared" si="25"/>
        <v>0</v>
      </c>
      <c r="W25" s="2"/>
    </row>
    <row r="26" spans="1:24" x14ac:dyDescent="0.2">
      <c r="A26" s="14" t="s">
        <v>20</v>
      </c>
      <c r="B26" s="20" t="s">
        <v>21</v>
      </c>
      <c r="C26" s="70">
        <v>0</v>
      </c>
      <c r="D26" s="70"/>
      <c r="E26" s="70"/>
      <c r="F26" s="70"/>
      <c r="G26" s="70"/>
      <c r="H26" s="70"/>
      <c r="I26" s="70"/>
      <c r="J26" s="70"/>
      <c r="K26" s="70"/>
      <c r="L26" s="221">
        <f t="shared" si="16"/>
        <v>0</v>
      </c>
      <c r="M26" s="221">
        <f t="shared" si="17"/>
        <v>0</v>
      </c>
      <c r="N26" s="221">
        <f t="shared" si="18"/>
        <v>0</v>
      </c>
      <c r="O26" s="70"/>
      <c r="P26" s="83">
        <f t="shared" si="20"/>
        <v>0</v>
      </c>
      <c r="Q26" s="83">
        <f t="shared" si="21"/>
        <v>0</v>
      </c>
      <c r="R26" s="83">
        <f t="shared" si="22"/>
        <v>0</v>
      </c>
      <c r="S26" s="83">
        <f t="shared" si="23"/>
        <v>0</v>
      </c>
      <c r="T26" s="304">
        <f t="shared" si="24"/>
        <v>0</v>
      </c>
      <c r="U26" s="126"/>
      <c r="V26" s="208">
        <f t="shared" si="25"/>
        <v>0</v>
      </c>
    </row>
    <row r="27" spans="1:24" x14ac:dyDescent="0.2">
      <c r="A27" s="14" t="s">
        <v>22</v>
      </c>
      <c r="B27" s="20" t="s">
        <v>23</v>
      </c>
      <c r="C27" s="70">
        <v>172000</v>
      </c>
      <c r="D27" s="70">
        <v>272000</v>
      </c>
      <c r="E27" s="70">
        <v>0</v>
      </c>
      <c r="F27" s="70"/>
      <c r="G27" s="70"/>
      <c r="H27" s="70">
        <v>269471</v>
      </c>
      <c r="I27" s="70">
        <v>0</v>
      </c>
      <c r="J27" s="70"/>
      <c r="K27" s="70"/>
      <c r="L27" s="221">
        <f t="shared" si="16"/>
        <v>1.5666918604651163</v>
      </c>
      <c r="M27" s="221">
        <f t="shared" si="17"/>
        <v>0</v>
      </c>
      <c r="N27" s="221">
        <f t="shared" si="18"/>
        <v>0</v>
      </c>
      <c r="O27" s="70"/>
      <c r="P27" s="83">
        <f t="shared" si="20"/>
        <v>100000</v>
      </c>
      <c r="Q27" s="83">
        <f t="shared" si="21"/>
        <v>-272000</v>
      </c>
      <c r="R27" s="83">
        <f t="shared" si="22"/>
        <v>0</v>
      </c>
      <c r="S27" s="83">
        <f t="shared" si="23"/>
        <v>-172000</v>
      </c>
      <c r="T27" s="304">
        <f t="shared" si="24"/>
        <v>-1</v>
      </c>
      <c r="U27" s="126"/>
      <c r="V27" s="208">
        <f t="shared" si="25"/>
        <v>0</v>
      </c>
      <c r="W27" s="2"/>
    </row>
    <row r="28" spans="1:24" x14ac:dyDescent="0.2">
      <c r="A28" s="14" t="s">
        <v>24</v>
      </c>
      <c r="B28" s="20" t="s">
        <v>25</v>
      </c>
      <c r="C28" s="70">
        <v>0</v>
      </c>
      <c r="D28" s="70">
        <v>0</v>
      </c>
      <c r="E28" s="70">
        <v>0</v>
      </c>
      <c r="F28" s="70"/>
      <c r="G28" s="70"/>
      <c r="H28" s="70">
        <v>0</v>
      </c>
      <c r="I28" s="70">
        <v>0</v>
      </c>
      <c r="J28" s="70"/>
      <c r="K28" s="70"/>
      <c r="L28" s="221">
        <f t="shared" si="16"/>
        <v>0</v>
      </c>
      <c r="M28" s="221">
        <f t="shared" si="17"/>
        <v>0</v>
      </c>
      <c r="N28" s="221">
        <f t="shared" si="18"/>
        <v>0</v>
      </c>
      <c r="O28" s="70"/>
      <c r="P28" s="83">
        <f t="shared" si="20"/>
        <v>0</v>
      </c>
      <c r="Q28" s="83">
        <f t="shared" si="21"/>
        <v>0</v>
      </c>
      <c r="R28" s="83">
        <f t="shared" si="22"/>
        <v>0</v>
      </c>
      <c r="S28" s="83">
        <f t="shared" si="23"/>
        <v>0</v>
      </c>
      <c r="T28" s="304">
        <f t="shared" si="24"/>
        <v>0</v>
      </c>
      <c r="U28" s="126"/>
      <c r="V28" s="208">
        <f t="shared" si="25"/>
        <v>0</v>
      </c>
    </row>
    <row r="29" spans="1:24" x14ac:dyDescent="0.2">
      <c r="A29" s="14"/>
      <c r="B29" s="14"/>
      <c r="C29" s="70"/>
      <c r="D29" s="70"/>
      <c r="E29" s="70">
        <v>0</v>
      </c>
      <c r="F29" s="70"/>
      <c r="G29" s="70"/>
      <c r="H29" s="70"/>
      <c r="I29" s="70"/>
      <c r="J29" s="70"/>
      <c r="K29" s="70"/>
      <c r="L29" s="219"/>
      <c r="M29" s="220"/>
      <c r="N29" s="219">
        <f t="shared" si="18"/>
        <v>0</v>
      </c>
      <c r="O29" s="70"/>
      <c r="P29" s="83">
        <f t="shared" si="20"/>
        <v>0</v>
      </c>
      <c r="Q29" s="83">
        <f t="shared" si="21"/>
        <v>0</v>
      </c>
      <c r="R29" s="83">
        <f t="shared" si="22"/>
        <v>0</v>
      </c>
      <c r="S29" s="83">
        <f t="shared" si="23"/>
        <v>0</v>
      </c>
      <c r="T29" s="304">
        <f t="shared" si="24"/>
        <v>0</v>
      </c>
      <c r="U29" s="126"/>
      <c r="V29" s="208">
        <f t="shared" si="25"/>
        <v>0</v>
      </c>
    </row>
    <row r="30" spans="1:24" x14ac:dyDescent="0.2">
      <c r="A30" s="7" t="s">
        <v>26</v>
      </c>
      <c r="B30" s="5" t="s">
        <v>27</v>
      </c>
      <c r="C30" s="69">
        <f>+C31</f>
        <v>28627000</v>
      </c>
      <c r="D30" s="69">
        <f>SUM(D31)</f>
        <v>28627000</v>
      </c>
      <c r="E30" s="69">
        <f>SUM(E31)</f>
        <v>0</v>
      </c>
      <c r="F30" s="69">
        <f>SUM(F31)</f>
        <v>0</v>
      </c>
      <c r="G30" s="69"/>
      <c r="H30" s="69">
        <f>SUM(H31)</f>
        <v>15717456</v>
      </c>
      <c r="I30" s="69">
        <f>SUM(I31)</f>
        <v>0</v>
      </c>
      <c r="J30" s="69">
        <f>SUM(J31)</f>
        <v>0</v>
      </c>
      <c r="K30" s="69"/>
      <c r="L30" s="222"/>
      <c r="M30" s="223" t="e">
        <f>+I30/E30</f>
        <v>#DIV/0!</v>
      </c>
      <c r="N30" s="222"/>
      <c r="O30" s="69"/>
      <c r="P30" s="69">
        <f t="shared" si="20"/>
        <v>0</v>
      </c>
      <c r="Q30" s="69">
        <f t="shared" si="21"/>
        <v>-28627000</v>
      </c>
      <c r="R30" s="69">
        <f t="shared" si="22"/>
        <v>0</v>
      </c>
      <c r="S30" s="69">
        <f t="shared" si="23"/>
        <v>-28627000</v>
      </c>
      <c r="T30" s="284">
        <f t="shared" si="24"/>
        <v>-1</v>
      </c>
      <c r="U30" s="69"/>
      <c r="V30" s="279">
        <f t="shared" si="25"/>
        <v>0</v>
      </c>
    </row>
    <row r="31" spans="1:24" x14ac:dyDescent="0.2">
      <c r="A31" s="14"/>
      <c r="B31" s="20" t="s">
        <v>28</v>
      </c>
      <c r="C31" s="70">
        <f>28000000+(2500000+350000)*0.22</f>
        <v>28627000</v>
      </c>
      <c r="D31" s="70">
        <v>28627000</v>
      </c>
      <c r="E31" s="70">
        <v>0</v>
      </c>
      <c r="F31" s="70"/>
      <c r="G31" s="70"/>
      <c r="H31" s="70">
        <v>15717456</v>
      </c>
      <c r="I31" s="70">
        <v>0</v>
      </c>
      <c r="J31" s="70"/>
      <c r="K31" s="70"/>
      <c r="L31" s="221">
        <f>IF(H31&gt;0,H31/C31,0)</f>
        <v>0.54904307122646456</v>
      </c>
      <c r="M31" s="221">
        <f>IF(I31&gt;0,I31/D31,0)</f>
        <v>0</v>
      </c>
      <c r="N31" s="221">
        <f>IF(J31&gt;0,J31/E31,0)</f>
        <v>0</v>
      </c>
      <c r="O31" s="70"/>
      <c r="P31" s="83">
        <f t="shared" ref="P31" si="26">+(D31-C31)*P$10</f>
        <v>0</v>
      </c>
      <c r="Q31" s="83">
        <f t="shared" ref="Q31" si="27">+(E31-D31)*Q$10</f>
        <v>-28627000</v>
      </c>
      <c r="R31" s="83">
        <f t="shared" ref="R31" si="28">+(F31-E31)*R$10</f>
        <v>0</v>
      </c>
      <c r="S31" s="83">
        <f t="shared" ref="S31" si="29">SUM(P31:R31)</f>
        <v>-28627000</v>
      </c>
      <c r="T31" s="304">
        <f t="shared" ref="T31" si="30">IF(C31=0,0,+S31/C31)</f>
        <v>-1</v>
      </c>
      <c r="U31" s="126"/>
      <c r="V31" s="208">
        <f t="shared" ref="V31" si="31">+S31-E31+C31</f>
        <v>0</v>
      </c>
    </row>
    <row r="32" spans="1:24" x14ac:dyDescent="0.2">
      <c r="A32" s="14"/>
      <c r="B32" s="14"/>
      <c r="C32" s="70"/>
      <c r="D32" s="70"/>
      <c r="E32" s="70"/>
      <c r="F32" s="70"/>
      <c r="G32" s="70"/>
      <c r="H32" s="70"/>
      <c r="I32" s="70"/>
      <c r="J32" s="70"/>
      <c r="K32" s="70"/>
      <c r="L32" s="219"/>
      <c r="M32" s="220"/>
      <c r="N32" s="219"/>
      <c r="O32" s="70"/>
      <c r="P32" s="70"/>
      <c r="Q32" s="70"/>
      <c r="R32" s="70"/>
      <c r="S32" s="70"/>
      <c r="T32" s="285"/>
      <c r="U32" s="70"/>
      <c r="V32" s="278"/>
    </row>
    <row r="33" spans="1:24" x14ac:dyDescent="0.2">
      <c r="A33" s="7" t="s">
        <v>29</v>
      </c>
      <c r="B33" s="5" t="s">
        <v>30</v>
      </c>
      <c r="C33" s="69">
        <f>+C34+C42+C49+C67+C72</f>
        <v>8913000</v>
      </c>
      <c r="D33" s="69">
        <f>+D34+D42+D49+D67+D72</f>
        <v>10814000</v>
      </c>
      <c r="E33" s="69">
        <f>+E34+E42+E49+E67+E72</f>
        <v>0</v>
      </c>
      <c r="F33" s="69">
        <f>+F34+F42+F49+F67+F72</f>
        <v>0</v>
      </c>
      <c r="G33" s="69"/>
      <c r="H33" s="69">
        <f>+H34+H42+H49+H67+H72</f>
        <v>7922608</v>
      </c>
      <c r="I33" s="69">
        <f>+I34+I42+I49+I67+I72</f>
        <v>0</v>
      </c>
      <c r="J33" s="69">
        <f>+J34+J42+J49+J67+J72</f>
        <v>0</v>
      </c>
      <c r="K33" s="69"/>
      <c r="L33" s="222"/>
      <c r="M33" s="223" t="e">
        <f>+I33/E33</f>
        <v>#DIV/0!</v>
      </c>
      <c r="N33" s="222"/>
      <c r="O33" s="69"/>
      <c r="P33" s="69">
        <f t="shared" ref="P33" si="32">+(D33-C33)*P$10</f>
        <v>1901000</v>
      </c>
      <c r="Q33" s="69">
        <f t="shared" ref="Q33" si="33">+(E33-D33)*Q$10</f>
        <v>-10814000</v>
      </c>
      <c r="R33" s="69">
        <f t="shared" ref="R33" si="34">+(F33-E33)*R$10</f>
        <v>0</v>
      </c>
      <c r="S33" s="69">
        <f t="shared" ref="S33" si="35">SUM(P33:R33)</f>
        <v>-8913000</v>
      </c>
      <c r="T33" s="284">
        <f t="shared" ref="T33" si="36">IF(C33=0,0,+S33/C33)</f>
        <v>-1</v>
      </c>
      <c r="U33" s="69"/>
      <c r="V33" s="279">
        <f t="shared" ref="V33" si="37">+S33-E33+C33</f>
        <v>0</v>
      </c>
    </row>
    <row r="34" spans="1:24" x14ac:dyDescent="0.2">
      <c r="A34" s="39" t="s">
        <v>31</v>
      </c>
      <c r="B34" s="40" t="s">
        <v>32</v>
      </c>
      <c r="C34" s="101">
        <f>SUM(C35:C41)</f>
        <v>2680000</v>
      </c>
      <c r="D34" s="101">
        <f t="shared" ref="D34:F34" si="38">SUM(D35:D41)</f>
        <v>1979000</v>
      </c>
      <c r="E34" s="101">
        <f t="shared" si="38"/>
        <v>0</v>
      </c>
      <c r="F34" s="101">
        <f t="shared" si="38"/>
        <v>0</v>
      </c>
      <c r="G34" s="101"/>
      <c r="H34" s="101">
        <f t="shared" ref="H34" si="39">SUM(H35:H41)</f>
        <v>1532930</v>
      </c>
      <c r="I34" s="101">
        <f t="shared" ref="I34" si="40">SUM(I35:I41)</f>
        <v>0</v>
      </c>
      <c r="J34" s="101">
        <f t="shared" ref="J34" si="41">SUM(J35:J41)</f>
        <v>0</v>
      </c>
      <c r="K34" s="101"/>
      <c r="L34" s="224">
        <f t="shared" ref="L34:L65" si="42">IF(H34&gt;0,H34/C34,0)</f>
        <v>0.57198880597014923</v>
      </c>
      <c r="M34" s="225">
        <f t="shared" ref="M34:M65" si="43">IF(I34&gt;0,I34/D34,0)</f>
        <v>0</v>
      </c>
      <c r="N34" s="224">
        <f t="shared" ref="N34:N65" si="44">IF(J34&gt;0,J34/E34,0)</f>
        <v>0</v>
      </c>
      <c r="O34" s="101"/>
      <c r="P34" s="101">
        <f t="shared" ref="P34:P84" si="45">+(D34-C34)*P$10</f>
        <v>-701000</v>
      </c>
      <c r="Q34" s="101">
        <f t="shared" ref="Q34:Q84" si="46">+(E34-D34)*Q$10</f>
        <v>-1979000</v>
      </c>
      <c r="R34" s="101">
        <f t="shared" ref="R34:R84" si="47">+(F34-E34)*R$10</f>
        <v>0</v>
      </c>
      <c r="S34" s="101">
        <f t="shared" ref="S34:S84" si="48">SUM(P34:R34)</f>
        <v>-2680000</v>
      </c>
      <c r="T34" s="286">
        <f t="shared" ref="T34:T84" si="49">IF(C34=0,0,+S34/C34)</f>
        <v>-1</v>
      </c>
      <c r="U34" s="101"/>
      <c r="V34" s="280">
        <f t="shared" ref="V34:V84" si="50">+S34-E34+C34</f>
        <v>0</v>
      </c>
    </row>
    <row r="35" spans="1:24" x14ac:dyDescent="0.2">
      <c r="A35" s="14" t="s">
        <v>33</v>
      </c>
      <c r="B35" s="20" t="s">
        <v>35</v>
      </c>
      <c r="C35" s="70">
        <v>197000</v>
      </c>
      <c r="D35" s="70">
        <v>197000</v>
      </c>
      <c r="E35" s="70">
        <v>0</v>
      </c>
      <c r="F35" s="70"/>
      <c r="G35" s="70"/>
      <c r="H35" s="70">
        <v>45289</v>
      </c>
      <c r="I35" s="70">
        <v>0</v>
      </c>
      <c r="J35" s="70"/>
      <c r="K35" s="70"/>
      <c r="L35" s="219">
        <f t="shared" si="42"/>
        <v>0.22989340101522843</v>
      </c>
      <c r="M35" s="226">
        <f t="shared" si="43"/>
        <v>0</v>
      </c>
      <c r="N35" s="219">
        <f t="shared" si="44"/>
        <v>0</v>
      </c>
      <c r="O35" s="70"/>
      <c r="P35" s="70">
        <f t="shared" si="45"/>
        <v>0</v>
      </c>
      <c r="Q35" s="70">
        <f t="shared" si="46"/>
        <v>-197000</v>
      </c>
      <c r="R35" s="70">
        <f t="shared" si="47"/>
        <v>0</v>
      </c>
      <c r="S35" s="70">
        <f t="shared" si="48"/>
        <v>-197000</v>
      </c>
      <c r="T35" s="285">
        <f t="shared" si="49"/>
        <v>-1</v>
      </c>
      <c r="U35" s="70"/>
      <c r="V35" s="278">
        <f t="shared" si="50"/>
        <v>0</v>
      </c>
    </row>
    <row r="36" spans="1:24" x14ac:dyDescent="0.2">
      <c r="A36" s="14"/>
      <c r="B36" s="20" t="s">
        <v>89</v>
      </c>
      <c r="C36" s="70">
        <v>0</v>
      </c>
      <c r="D36" s="70">
        <v>0</v>
      </c>
      <c r="E36" s="70">
        <v>0</v>
      </c>
      <c r="F36" s="70"/>
      <c r="G36" s="70"/>
      <c r="H36" s="70">
        <v>0</v>
      </c>
      <c r="I36" s="70"/>
      <c r="J36" s="70"/>
      <c r="K36" s="70"/>
      <c r="L36" s="219">
        <f t="shared" si="42"/>
        <v>0</v>
      </c>
      <c r="M36" s="220">
        <f t="shared" si="43"/>
        <v>0</v>
      </c>
      <c r="N36" s="219">
        <f t="shared" si="44"/>
        <v>0</v>
      </c>
      <c r="O36" s="70"/>
      <c r="P36" s="70">
        <f t="shared" si="45"/>
        <v>0</v>
      </c>
      <c r="Q36" s="70">
        <f t="shared" si="46"/>
        <v>0</v>
      </c>
      <c r="R36" s="70">
        <f t="shared" si="47"/>
        <v>0</v>
      </c>
      <c r="S36" s="70">
        <f t="shared" si="48"/>
        <v>0</v>
      </c>
      <c r="T36" s="285">
        <f t="shared" si="49"/>
        <v>0</v>
      </c>
      <c r="U36" s="70"/>
      <c r="V36" s="278">
        <f t="shared" si="50"/>
        <v>0</v>
      </c>
    </row>
    <row r="37" spans="1:24" x14ac:dyDescent="0.2">
      <c r="A37" s="14" t="s">
        <v>34</v>
      </c>
      <c r="B37" s="20" t="s">
        <v>36</v>
      </c>
      <c r="C37" s="70">
        <v>2483000</v>
      </c>
      <c r="D37" s="152">
        <v>1782000</v>
      </c>
      <c r="E37" s="70">
        <v>0</v>
      </c>
      <c r="F37" s="70"/>
      <c r="G37" s="70"/>
      <c r="H37" s="70">
        <v>1487641</v>
      </c>
      <c r="I37" s="70">
        <v>0</v>
      </c>
      <c r="J37" s="70"/>
      <c r="K37" s="70"/>
      <c r="L37" s="219">
        <f t="shared" si="42"/>
        <v>0.59913048731373342</v>
      </c>
      <c r="M37" s="226">
        <f t="shared" si="43"/>
        <v>0</v>
      </c>
      <c r="N37" s="219">
        <f t="shared" si="44"/>
        <v>0</v>
      </c>
      <c r="O37" s="70"/>
      <c r="P37" s="70">
        <f t="shared" si="45"/>
        <v>-701000</v>
      </c>
      <c r="Q37" s="70">
        <f t="shared" si="46"/>
        <v>-1782000</v>
      </c>
      <c r="R37" s="70">
        <f t="shared" si="47"/>
        <v>0</v>
      </c>
      <c r="S37" s="70">
        <f t="shared" si="48"/>
        <v>-2483000</v>
      </c>
      <c r="T37" s="285">
        <f t="shared" si="49"/>
        <v>-1</v>
      </c>
      <c r="U37" s="70"/>
      <c r="V37" s="278">
        <f t="shared" si="50"/>
        <v>0</v>
      </c>
      <c r="X37" s="38"/>
    </row>
    <row r="38" spans="1:24" x14ac:dyDescent="0.2">
      <c r="A38" s="14"/>
      <c r="B38" s="20" t="s">
        <v>96</v>
      </c>
      <c r="C38" s="70"/>
      <c r="D38" s="152">
        <v>0</v>
      </c>
      <c r="E38" s="70">
        <v>0</v>
      </c>
      <c r="F38" s="70"/>
      <c r="G38" s="70"/>
      <c r="H38" s="70">
        <v>0</v>
      </c>
      <c r="I38" s="70"/>
      <c r="J38" s="70"/>
      <c r="K38" s="70"/>
      <c r="L38" s="219">
        <f t="shared" si="42"/>
        <v>0</v>
      </c>
      <c r="M38" s="220">
        <f t="shared" si="43"/>
        <v>0</v>
      </c>
      <c r="N38" s="219">
        <f t="shared" si="44"/>
        <v>0</v>
      </c>
      <c r="O38" s="70"/>
      <c r="P38" s="70">
        <f t="shared" si="45"/>
        <v>0</v>
      </c>
      <c r="Q38" s="70">
        <f t="shared" si="46"/>
        <v>0</v>
      </c>
      <c r="R38" s="70">
        <f t="shared" si="47"/>
        <v>0</v>
      </c>
      <c r="S38" s="70">
        <f t="shared" si="48"/>
        <v>0</v>
      </c>
      <c r="T38" s="285">
        <f t="shared" si="49"/>
        <v>0</v>
      </c>
      <c r="U38" s="70"/>
      <c r="V38" s="278">
        <f t="shared" si="50"/>
        <v>0</v>
      </c>
    </row>
    <row r="39" spans="1:24" x14ac:dyDescent="0.2">
      <c r="A39" s="14"/>
      <c r="B39" s="20" t="s">
        <v>95</v>
      </c>
      <c r="C39" s="70"/>
      <c r="D39" s="152"/>
      <c r="E39" s="70"/>
      <c r="F39" s="70"/>
      <c r="G39" s="70"/>
      <c r="H39" s="70"/>
      <c r="I39" s="70"/>
      <c r="J39" s="70"/>
      <c r="K39" s="70"/>
      <c r="L39" s="219">
        <f t="shared" si="42"/>
        <v>0</v>
      </c>
      <c r="M39" s="220">
        <f t="shared" si="43"/>
        <v>0</v>
      </c>
      <c r="N39" s="219">
        <f t="shared" si="44"/>
        <v>0</v>
      </c>
      <c r="O39" s="70"/>
      <c r="P39" s="70">
        <f t="shared" si="45"/>
        <v>0</v>
      </c>
      <c r="Q39" s="70">
        <f t="shared" si="46"/>
        <v>0</v>
      </c>
      <c r="R39" s="70">
        <f t="shared" si="47"/>
        <v>0</v>
      </c>
      <c r="S39" s="70">
        <f t="shared" si="48"/>
        <v>0</v>
      </c>
      <c r="T39" s="285">
        <f t="shared" si="49"/>
        <v>0</v>
      </c>
      <c r="U39" s="70"/>
      <c r="V39" s="278">
        <f t="shared" si="50"/>
        <v>0</v>
      </c>
    </row>
    <row r="40" spans="1:24" x14ac:dyDescent="0.2">
      <c r="A40" s="14"/>
      <c r="B40" s="20" t="s">
        <v>94</v>
      </c>
      <c r="C40" s="70"/>
      <c r="D40" s="152"/>
      <c r="E40" s="70"/>
      <c r="F40" s="70"/>
      <c r="G40" s="70"/>
      <c r="H40" s="70"/>
      <c r="I40" s="70"/>
      <c r="J40" s="70"/>
      <c r="K40" s="70"/>
      <c r="L40" s="219">
        <f t="shared" si="42"/>
        <v>0</v>
      </c>
      <c r="M40" s="220">
        <f t="shared" si="43"/>
        <v>0</v>
      </c>
      <c r="N40" s="219">
        <f t="shared" si="44"/>
        <v>0</v>
      </c>
      <c r="O40" s="70"/>
      <c r="P40" s="70">
        <f t="shared" si="45"/>
        <v>0</v>
      </c>
      <c r="Q40" s="70">
        <f t="shared" si="46"/>
        <v>0</v>
      </c>
      <c r="R40" s="70">
        <f t="shared" si="47"/>
        <v>0</v>
      </c>
      <c r="S40" s="70">
        <f t="shared" si="48"/>
        <v>0</v>
      </c>
      <c r="T40" s="285">
        <f t="shared" si="49"/>
        <v>0</v>
      </c>
      <c r="U40" s="70"/>
      <c r="V40" s="278">
        <f t="shared" si="50"/>
        <v>0</v>
      </c>
    </row>
    <row r="41" spans="1:24" x14ac:dyDescent="0.2">
      <c r="A41" s="14"/>
      <c r="B41" s="20" t="s">
        <v>93</v>
      </c>
      <c r="C41" s="70">
        <v>0</v>
      </c>
      <c r="D41" s="152">
        <v>0</v>
      </c>
      <c r="E41" s="70">
        <v>0</v>
      </c>
      <c r="F41" s="70"/>
      <c r="G41" s="70"/>
      <c r="H41" s="70">
        <v>0</v>
      </c>
      <c r="I41" s="70"/>
      <c r="J41" s="70"/>
      <c r="K41" s="70"/>
      <c r="L41" s="219">
        <f t="shared" si="42"/>
        <v>0</v>
      </c>
      <c r="M41" s="220">
        <f t="shared" si="43"/>
        <v>0</v>
      </c>
      <c r="N41" s="219">
        <f t="shared" si="44"/>
        <v>0</v>
      </c>
      <c r="O41" s="70"/>
      <c r="P41" s="70">
        <f t="shared" si="45"/>
        <v>0</v>
      </c>
      <c r="Q41" s="70">
        <f t="shared" si="46"/>
        <v>0</v>
      </c>
      <c r="R41" s="70">
        <f t="shared" si="47"/>
        <v>0</v>
      </c>
      <c r="S41" s="70">
        <f t="shared" si="48"/>
        <v>0</v>
      </c>
      <c r="T41" s="285">
        <f t="shared" si="49"/>
        <v>0</v>
      </c>
      <c r="U41" s="70"/>
      <c r="V41" s="278">
        <f t="shared" si="50"/>
        <v>0</v>
      </c>
    </row>
    <row r="42" spans="1:24" x14ac:dyDescent="0.2">
      <c r="A42" s="39" t="s">
        <v>37</v>
      </c>
      <c r="B42" s="40" t="s">
        <v>38</v>
      </c>
      <c r="C42" s="101">
        <f>+C43+C47</f>
        <v>118000</v>
      </c>
      <c r="D42" s="634">
        <f>+D43+D47</f>
        <v>101000</v>
      </c>
      <c r="E42" s="101">
        <f>+E43+E47</f>
        <v>0</v>
      </c>
      <c r="F42" s="101">
        <f>+F43+F47</f>
        <v>0</v>
      </c>
      <c r="G42" s="101"/>
      <c r="H42" s="101">
        <f>+H43+H47</f>
        <v>59173</v>
      </c>
      <c r="I42" s="101">
        <f>+I43+I47</f>
        <v>0</v>
      </c>
      <c r="J42" s="101">
        <f>+J43+J47</f>
        <v>0</v>
      </c>
      <c r="K42" s="101"/>
      <c r="L42" s="224">
        <f t="shared" si="42"/>
        <v>0.50146610169491523</v>
      </c>
      <c r="M42" s="225">
        <f t="shared" si="43"/>
        <v>0</v>
      </c>
      <c r="N42" s="224">
        <f t="shared" si="44"/>
        <v>0</v>
      </c>
      <c r="O42" s="101"/>
      <c r="P42" s="101">
        <f t="shared" si="45"/>
        <v>-17000</v>
      </c>
      <c r="Q42" s="101">
        <f t="shared" si="46"/>
        <v>-101000</v>
      </c>
      <c r="R42" s="101">
        <f t="shared" si="47"/>
        <v>0</v>
      </c>
      <c r="S42" s="101">
        <f t="shared" si="48"/>
        <v>-118000</v>
      </c>
      <c r="T42" s="286">
        <f t="shared" si="49"/>
        <v>-1</v>
      </c>
      <c r="U42" s="101"/>
      <c r="V42" s="280">
        <f t="shared" si="50"/>
        <v>0</v>
      </c>
    </row>
    <row r="43" spans="1:24" x14ac:dyDescent="0.2">
      <c r="A43" s="14" t="s">
        <v>39</v>
      </c>
      <c r="B43" s="20" t="s">
        <v>40</v>
      </c>
      <c r="C43" s="70">
        <v>118000</v>
      </c>
      <c r="D43" s="152">
        <v>0</v>
      </c>
      <c r="E43" s="70">
        <f>+D43</f>
        <v>0</v>
      </c>
      <c r="F43" s="70"/>
      <c r="G43" s="70"/>
      <c r="H43" s="70">
        <v>0</v>
      </c>
      <c r="I43" s="70"/>
      <c r="J43" s="70"/>
      <c r="K43" s="70"/>
      <c r="L43" s="219">
        <f t="shared" si="42"/>
        <v>0</v>
      </c>
      <c r="M43" s="226">
        <f t="shared" si="43"/>
        <v>0</v>
      </c>
      <c r="N43" s="219">
        <f t="shared" si="44"/>
        <v>0</v>
      </c>
      <c r="O43" s="70"/>
      <c r="P43" s="70">
        <f t="shared" si="45"/>
        <v>-118000</v>
      </c>
      <c r="Q43" s="70">
        <f t="shared" si="46"/>
        <v>0</v>
      </c>
      <c r="R43" s="70">
        <f t="shared" si="47"/>
        <v>0</v>
      </c>
      <c r="S43" s="70">
        <f t="shared" si="48"/>
        <v>-118000</v>
      </c>
      <c r="T43" s="285">
        <f t="shared" si="49"/>
        <v>-1</v>
      </c>
      <c r="U43" s="70"/>
      <c r="V43" s="278">
        <f t="shared" si="50"/>
        <v>0</v>
      </c>
    </row>
    <row r="44" spans="1:24" x14ac:dyDescent="0.2">
      <c r="A44" s="14"/>
      <c r="B44" s="20" t="s">
        <v>41</v>
      </c>
      <c r="C44" s="70">
        <v>0</v>
      </c>
      <c r="D44" s="152"/>
      <c r="E44" s="70"/>
      <c r="F44" s="70"/>
      <c r="G44" s="70"/>
      <c r="H44" s="70">
        <v>0</v>
      </c>
      <c r="I44" s="70"/>
      <c r="J44" s="70"/>
      <c r="K44" s="70"/>
      <c r="L44" s="219">
        <f t="shared" si="42"/>
        <v>0</v>
      </c>
      <c r="M44" s="220">
        <f t="shared" si="43"/>
        <v>0</v>
      </c>
      <c r="N44" s="219">
        <f t="shared" si="44"/>
        <v>0</v>
      </c>
      <c r="O44" s="70"/>
      <c r="P44" s="70">
        <f t="shared" si="45"/>
        <v>0</v>
      </c>
      <c r="Q44" s="70">
        <f t="shared" si="46"/>
        <v>0</v>
      </c>
      <c r="R44" s="70">
        <f t="shared" si="47"/>
        <v>0</v>
      </c>
      <c r="S44" s="70">
        <f t="shared" si="48"/>
        <v>0</v>
      </c>
      <c r="T44" s="285">
        <f t="shared" si="49"/>
        <v>0</v>
      </c>
      <c r="U44" s="70"/>
      <c r="V44" s="278">
        <f t="shared" si="50"/>
        <v>0</v>
      </c>
    </row>
    <row r="45" spans="1:24" x14ac:dyDescent="0.2">
      <c r="A45" s="14"/>
      <c r="B45" s="20" t="s">
        <v>42</v>
      </c>
      <c r="C45" s="70">
        <v>0</v>
      </c>
      <c r="D45" s="152"/>
      <c r="E45" s="70"/>
      <c r="F45" s="70"/>
      <c r="G45" s="70"/>
      <c r="H45" s="70"/>
      <c r="I45" s="70"/>
      <c r="J45" s="70"/>
      <c r="K45" s="70"/>
      <c r="L45" s="219">
        <f t="shared" si="42"/>
        <v>0</v>
      </c>
      <c r="M45" s="220">
        <f t="shared" si="43"/>
        <v>0</v>
      </c>
      <c r="N45" s="219">
        <f t="shared" si="44"/>
        <v>0</v>
      </c>
      <c r="O45" s="70"/>
      <c r="P45" s="70">
        <f t="shared" si="45"/>
        <v>0</v>
      </c>
      <c r="Q45" s="70">
        <f t="shared" si="46"/>
        <v>0</v>
      </c>
      <c r="R45" s="70">
        <f t="shared" si="47"/>
        <v>0</v>
      </c>
      <c r="S45" s="70">
        <f t="shared" si="48"/>
        <v>0</v>
      </c>
      <c r="T45" s="285">
        <f t="shared" si="49"/>
        <v>0</v>
      </c>
      <c r="U45" s="70"/>
      <c r="V45" s="278">
        <f t="shared" si="50"/>
        <v>0</v>
      </c>
    </row>
    <row r="46" spans="1:24" x14ac:dyDescent="0.2">
      <c r="A46" s="14"/>
      <c r="B46" s="20" t="s">
        <v>43</v>
      </c>
      <c r="C46" s="70">
        <v>0</v>
      </c>
      <c r="D46" s="152"/>
      <c r="E46" s="70"/>
      <c r="F46" s="70"/>
      <c r="G46" s="70"/>
      <c r="H46" s="70"/>
      <c r="I46" s="70"/>
      <c r="J46" s="70"/>
      <c r="K46" s="70"/>
      <c r="L46" s="219">
        <f t="shared" si="42"/>
        <v>0</v>
      </c>
      <c r="M46" s="220">
        <f t="shared" si="43"/>
        <v>0</v>
      </c>
      <c r="N46" s="219">
        <f t="shared" si="44"/>
        <v>0</v>
      </c>
      <c r="O46" s="70"/>
      <c r="P46" s="70">
        <f t="shared" si="45"/>
        <v>0</v>
      </c>
      <c r="Q46" s="70">
        <f t="shared" si="46"/>
        <v>0</v>
      </c>
      <c r="R46" s="70">
        <f t="shared" si="47"/>
        <v>0</v>
      </c>
      <c r="S46" s="70">
        <f t="shared" si="48"/>
        <v>0</v>
      </c>
      <c r="T46" s="285">
        <f t="shared" si="49"/>
        <v>0</v>
      </c>
      <c r="U46" s="70"/>
      <c r="V46" s="278">
        <f t="shared" si="50"/>
        <v>0</v>
      </c>
    </row>
    <row r="47" spans="1:24" x14ac:dyDescent="0.2">
      <c r="A47" s="14" t="s">
        <v>44</v>
      </c>
      <c r="B47" s="20" t="s">
        <v>45</v>
      </c>
      <c r="C47" s="70">
        <v>0</v>
      </c>
      <c r="D47" s="152">
        <v>101000</v>
      </c>
      <c r="E47" s="70">
        <v>0</v>
      </c>
      <c r="F47" s="70"/>
      <c r="G47" s="70"/>
      <c r="H47" s="70">
        <v>59173</v>
      </c>
      <c r="I47" s="70">
        <v>0</v>
      </c>
      <c r="J47" s="70"/>
      <c r="K47" s="70"/>
      <c r="L47" s="219" t="e">
        <f t="shared" si="42"/>
        <v>#DIV/0!</v>
      </c>
      <c r="M47" s="226">
        <f t="shared" si="43"/>
        <v>0</v>
      </c>
      <c r="N47" s="219">
        <f t="shared" si="44"/>
        <v>0</v>
      </c>
      <c r="O47" s="70"/>
      <c r="P47" s="70">
        <f t="shared" si="45"/>
        <v>101000</v>
      </c>
      <c r="Q47" s="70">
        <f t="shared" si="46"/>
        <v>-101000</v>
      </c>
      <c r="R47" s="70">
        <f t="shared" si="47"/>
        <v>0</v>
      </c>
      <c r="S47" s="70">
        <f t="shared" si="48"/>
        <v>0</v>
      </c>
      <c r="T47" s="285">
        <f t="shared" si="49"/>
        <v>0</v>
      </c>
      <c r="U47" s="70"/>
      <c r="V47" s="278">
        <f t="shared" si="50"/>
        <v>0</v>
      </c>
    </row>
    <row r="48" spans="1:24" x14ac:dyDescent="0.2">
      <c r="A48" s="14"/>
      <c r="B48" s="20" t="s">
        <v>46</v>
      </c>
      <c r="C48" s="70">
        <v>0</v>
      </c>
      <c r="D48" s="152">
        <v>0</v>
      </c>
      <c r="E48" s="70">
        <v>0</v>
      </c>
      <c r="F48" s="70"/>
      <c r="G48" s="70"/>
      <c r="H48" s="70"/>
      <c r="I48" s="70"/>
      <c r="J48" s="70"/>
      <c r="K48" s="70"/>
      <c r="L48" s="219">
        <f t="shared" si="42"/>
        <v>0</v>
      </c>
      <c r="M48" s="220">
        <f t="shared" si="43"/>
        <v>0</v>
      </c>
      <c r="N48" s="219">
        <f t="shared" si="44"/>
        <v>0</v>
      </c>
      <c r="O48" s="70"/>
      <c r="P48" s="70">
        <f t="shared" si="45"/>
        <v>0</v>
      </c>
      <c r="Q48" s="70">
        <f t="shared" si="46"/>
        <v>0</v>
      </c>
      <c r="R48" s="70">
        <f t="shared" si="47"/>
        <v>0</v>
      </c>
      <c r="S48" s="70">
        <f t="shared" si="48"/>
        <v>0</v>
      </c>
      <c r="T48" s="285">
        <f t="shared" si="49"/>
        <v>0</v>
      </c>
      <c r="U48" s="70"/>
      <c r="V48" s="278">
        <f t="shared" si="50"/>
        <v>0</v>
      </c>
    </row>
    <row r="49" spans="1:22" s="43" customFormat="1" x14ac:dyDescent="0.2">
      <c r="A49" s="39" t="s">
        <v>47</v>
      </c>
      <c r="B49" s="40" t="s">
        <v>48</v>
      </c>
      <c r="C49" s="101">
        <f>+C50+C54+C57+C59+C61+C63+C65</f>
        <v>4135000</v>
      </c>
      <c r="D49" s="634">
        <f>+D50+D54+D57+D59+D61+D63+D65</f>
        <v>6634000</v>
      </c>
      <c r="E49" s="101">
        <f>+E50+E54+E57+E59+E61+E63+E65</f>
        <v>0</v>
      </c>
      <c r="F49" s="101">
        <f>+F50+F54+F57+F59+F61+F63+F65</f>
        <v>0</v>
      </c>
      <c r="G49" s="101"/>
      <c r="H49" s="101">
        <f>+H50+H54+H57+H59+H61+H63+H65</f>
        <v>4777631</v>
      </c>
      <c r="I49" s="101">
        <f>+I50+I54+I57+I59+I61+I63+I65</f>
        <v>0</v>
      </c>
      <c r="J49" s="101">
        <f>+J50+J54+J57+J59+J61+J63+J65</f>
        <v>0</v>
      </c>
      <c r="K49" s="101"/>
      <c r="L49" s="224">
        <f t="shared" si="42"/>
        <v>1.1554125755743652</v>
      </c>
      <c r="M49" s="225">
        <f t="shared" si="43"/>
        <v>0</v>
      </c>
      <c r="N49" s="224">
        <f t="shared" si="44"/>
        <v>0</v>
      </c>
      <c r="O49" s="101"/>
      <c r="P49" s="101">
        <f t="shared" si="45"/>
        <v>2499000</v>
      </c>
      <c r="Q49" s="101">
        <f t="shared" si="46"/>
        <v>-6634000</v>
      </c>
      <c r="R49" s="101">
        <f t="shared" si="47"/>
        <v>0</v>
      </c>
      <c r="S49" s="101">
        <f t="shared" si="48"/>
        <v>-4135000</v>
      </c>
      <c r="T49" s="286">
        <f t="shared" si="49"/>
        <v>-1</v>
      </c>
      <c r="U49" s="101"/>
      <c r="V49" s="280">
        <f t="shared" si="50"/>
        <v>0</v>
      </c>
    </row>
    <row r="50" spans="1:22" x14ac:dyDescent="0.2">
      <c r="A50" s="14" t="s">
        <v>49</v>
      </c>
      <c r="B50" s="20" t="s">
        <v>50</v>
      </c>
      <c r="C50" s="235">
        <v>3150000</v>
      </c>
      <c r="D50" s="152">
        <v>5600000</v>
      </c>
      <c r="E50" s="70">
        <v>0</v>
      </c>
      <c r="F50" s="70"/>
      <c r="G50" s="70"/>
      <c r="H50" s="70">
        <v>3994311</v>
      </c>
      <c r="I50" s="70">
        <v>0</v>
      </c>
      <c r="J50" s="70"/>
      <c r="K50" s="70"/>
      <c r="L50" s="219">
        <f t="shared" si="42"/>
        <v>1.268035238095238</v>
      </c>
      <c r="M50" s="226">
        <f t="shared" si="43"/>
        <v>0</v>
      </c>
      <c r="N50" s="219">
        <f t="shared" si="44"/>
        <v>0</v>
      </c>
      <c r="O50" s="70"/>
      <c r="P50" s="70">
        <f t="shared" si="45"/>
        <v>2450000</v>
      </c>
      <c r="Q50" s="70">
        <f t="shared" si="46"/>
        <v>-5600000</v>
      </c>
      <c r="R50" s="70">
        <f t="shared" si="47"/>
        <v>0</v>
      </c>
      <c r="S50" s="70">
        <f t="shared" si="48"/>
        <v>-3150000</v>
      </c>
      <c r="T50" s="285">
        <f t="shared" si="49"/>
        <v>-1</v>
      </c>
      <c r="U50" s="70"/>
      <c r="V50" s="278">
        <f t="shared" si="50"/>
        <v>0</v>
      </c>
    </row>
    <row r="51" spans="1:22" x14ac:dyDescent="0.2">
      <c r="A51" s="14" t="s">
        <v>103</v>
      </c>
      <c r="B51" s="20" t="s">
        <v>97</v>
      </c>
      <c r="C51" s="70"/>
      <c r="D51" s="152"/>
      <c r="E51" s="70"/>
      <c r="F51" s="70"/>
      <c r="G51" s="70"/>
      <c r="H51" s="70"/>
      <c r="I51" s="70"/>
      <c r="J51" s="70"/>
      <c r="K51" s="70"/>
      <c r="L51" s="219">
        <f t="shared" si="42"/>
        <v>0</v>
      </c>
      <c r="M51" s="220">
        <f t="shared" si="43"/>
        <v>0</v>
      </c>
      <c r="N51" s="219">
        <f t="shared" si="44"/>
        <v>0</v>
      </c>
      <c r="O51" s="70"/>
      <c r="P51" s="70">
        <f t="shared" si="45"/>
        <v>0</v>
      </c>
      <c r="Q51" s="70">
        <f t="shared" si="46"/>
        <v>0</v>
      </c>
      <c r="R51" s="70">
        <f t="shared" si="47"/>
        <v>0</v>
      </c>
      <c r="S51" s="70">
        <f t="shared" si="48"/>
        <v>0</v>
      </c>
      <c r="T51" s="285">
        <f t="shared" si="49"/>
        <v>0</v>
      </c>
      <c r="U51" s="70"/>
      <c r="V51" s="278">
        <f t="shared" si="50"/>
        <v>0</v>
      </c>
    </row>
    <row r="52" spans="1:22" x14ac:dyDescent="0.2">
      <c r="A52" s="14"/>
      <c r="B52" s="20" t="s">
        <v>98</v>
      </c>
      <c r="C52" s="70"/>
      <c r="D52" s="152"/>
      <c r="E52" s="70"/>
      <c r="F52" s="70"/>
      <c r="G52" s="70"/>
      <c r="H52" s="70"/>
      <c r="I52" s="70"/>
      <c r="J52" s="70"/>
      <c r="K52" s="70"/>
      <c r="L52" s="219">
        <f t="shared" si="42"/>
        <v>0</v>
      </c>
      <c r="M52" s="220">
        <f t="shared" si="43"/>
        <v>0</v>
      </c>
      <c r="N52" s="219">
        <f t="shared" si="44"/>
        <v>0</v>
      </c>
      <c r="O52" s="70"/>
      <c r="P52" s="70">
        <f t="shared" si="45"/>
        <v>0</v>
      </c>
      <c r="Q52" s="70">
        <f t="shared" si="46"/>
        <v>0</v>
      </c>
      <c r="R52" s="70">
        <f t="shared" si="47"/>
        <v>0</v>
      </c>
      <c r="S52" s="70">
        <f t="shared" si="48"/>
        <v>0</v>
      </c>
      <c r="T52" s="285">
        <f t="shared" si="49"/>
        <v>0</v>
      </c>
      <c r="U52" s="70"/>
      <c r="V52" s="278">
        <f t="shared" si="50"/>
        <v>0</v>
      </c>
    </row>
    <row r="53" spans="1:22" x14ac:dyDescent="0.2">
      <c r="A53" s="14"/>
      <c r="B53" s="20" t="s">
        <v>99</v>
      </c>
      <c r="C53" s="70"/>
      <c r="D53" s="152"/>
      <c r="E53" s="70"/>
      <c r="F53" s="70"/>
      <c r="G53" s="70"/>
      <c r="H53" s="70"/>
      <c r="I53" s="70"/>
      <c r="J53" s="70"/>
      <c r="K53" s="70"/>
      <c r="L53" s="219">
        <f t="shared" si="42"/>
        <v>0</v>
      </c>
      <c r="M53" s="220">
        <f t="shared" si="43"/>
        <v>0</v>
      </c>
      <c r="N53" s="219">
        <f t="shared" si="44"/>
        <v>0</v>
      </c>
      <c r="O53" s="70"/>
      <c r="P53" s="70">
        <f t="shared" si="45"/>
        <v>0</v>
      </c>
      <c r="Q53" s="70">
        <f t="shared" si="46"/>
        <v>0</v>
      </c>
      <c r="R53" s="70">
        <f t="shared" si="47"/>
        <v>0</v>
      </c>
      <c r="S53" s="70">
        <f t="shared" si="48"/>
        <v>0</v>
      </c>
      <c r="T53" s="285">
        <f t="shared" si="49"/>
        <v>0</v>
      </c>
      <c r="U53" s="70"/>
      <c r="V53" s="278">
        <f t="shared" si="50"/>
        <v>0</v>
      </c>
    </row>
    <row r="54" spans="1:22" x14ac:dyDescent="0.2">
      <c r="A54" s="14" t="s">
        <v>51</v>
      </c>
      <c r="B54" s="20" t="s">
        <v>52</v>
      </c>
      <c r="C54" s="70"/>
      <c r="D54" s="152"/>
      <c r="E54" s="70"/>
      <c r="F54" s="70"/>
      <c r="G54" s="70"/>
      <c r="H54" s="70"/>
      <c r="I54" s="70"/>
      <c r="J54" s="70"/>
      <c r="K54" s="70"/>
      <c r="L54" s="219">
        <f t="shared" si="42"/>
        <v>0</v>
      </c>
      <c r="M54" s="220">
        <f t="shared" si="43"/>
        <v>0</v>
      </c>
      <c r="N54" s="219">
        <f t="shared" si="44"/>
        <v>0</v>
      </c>
      <c r="O54" s="70"/>
      <c r="P54" s="70">
        <f t="shared" si="45"/>
        <v>0</v>
      </c>
      <c r="Q54" s="70">
        <f t="shared" si="46"/>
        <v>0</v>
      </c>
      <c r="R54" s="70">
        <f t="shared" si="47"/>
        <v>0</v>
      </c>
      <c r="S54" s="70">
        <f t="shared" si="48"/>
        <v>0</v>
      </c>
      <c r="T54" s="285">
        <f t="shared" si="49"/>
        <v>0</v>
      </c>
      <c r="U54" s="70"/>
      <c r="V54" s="278">
        <f t="shared" si="50"/>
        <v>0</v>
      </c>
    </row>
    <row r="55" spans="1:22" x14ac:dyDescent="0.2">
      <c r="A55" s="14"/>
      <c r="B55" s="20" t="s">
        <v>90</v>
      </c>
      <c r="C55" s="70"/>
      <c r="D55" s="152"/>
      <c r="E55" s="70"/>
      <c r="F55" s="70"/>
      <c r="G55" s="70"/>
      <c r="H55" s="70"/>
      <c r="I55" s="70"/>
      <c r="J55" s="70"/>
      <c r="K55" s="70"/>
      <c r="L55" s="219">
        <f t="shared" si="42"/>
        <v>0</v>
      </c>
      <c r="M55" s="220">
        <f t="shared" si="43"/>
        <v>0</v>
      </c>
      <c r="N55" s="219">
        <f t="shared" si="44"/>
        <v>0</v>
      </c>
      <c r="O55" s="70"/>
      <c r="P55" s="70">
        <f t="shared" si="45"/>
        <v>0</v>
      </c>
      <c r="Q55" s="70">
        <f t="shared" si="46"/>
        <v>0</v>
      </c>
      <c r="R55" s="70">
        <f t="shared" si="47"/>
        <v>0</v>
      </c>
      <c r="S55" s="70">
        <f t="shared" si="48"/>
        <v>0</v>
      </c>
      <c r="T55" s="285">
        <f t="shared" si="49"/>
        <v>0</v>
      </c>
      <c r="U55" s="70"/>
      <c r="V55" s="278">
        <f t="shared" si="50"/>
        <v>0</v>
      </c>
    </row>
    <row r="56" spans="1:22" x14ac:dyDescent="0.2">
      <c r="A56" s="14"/>
      <c r="B56" s="20" t="s">
        <v>53</v>
      </c>
      <c r="C56" s="70"/>
      <c r="D56" s="152"/>
      <c r="E56" s="70"/>
      <c r="F56" s="70"/>
      <c r="G56" s="70"/>
      <c r="H56" s="70"/>
      <c r="I56" s="70"/>
      <c r="J56" s="70"/>
      <c r="K56" s="70"/>
      <c r="L56" s="219">
        <f t="shared" si="42"/>
        <v>0</v>
      </c>
      <c r="M56" s="220">
        <f t="shared" si="43"/>
        <v>0</v>
      </c>
      <c r="N56" s="219">
        <f t="shared" si="44"/>
        <v>0</v>
      </c>
      <c r="O56" s="70"/>
      <c r="P56" s="70">
        <f t="shared" si="45"/>
        <v>0</v>
      </c>
      <c r="Q56" s="70">
        <f t="shared" si="46"/>
        <v>0</v>
      </c>
      <c r="R56" s="70">
        <f t="shared" si="47"/>
        <v>0</v>
      </c>
      <c r="S56" s="70">
        <f t="shared" si="48"/>
        <v>0</v>
      </c>
      <c r="T56" s="285">
        <f t="shared" si="49"/>
        <v>0</v>
      </c>
      <c r="U56" s="70"/>
      <c r="V56" s="278">
        <f t="shared" si="50"/>
        <v>0</v>
      </c>
    </row>
    <row r="57" spans="1:22" x14ac:dyDescent="0.2">
      <c r="A57" s="14" t="s">
        <v>54</v>
      </c>
      <c r="B57" s="20" t="s">
        <v>55</v>
      </c>
      <c r="C57" s="70"/>
      <c r="D57" s="152"/>
      <c r="E57" s="70"/>
      <c r="F57" s="70"/>
      <c r="G57" s="70"/>
      <c r="H57" s="70"/>
      <c r="I57" s="70"/>
      <c r="J57" s="70"/>
      <c r="K57" s="70"/>
      <c r="L57" s="219">
        <f t="shared" si="42"/>
        <v>0</v>
      </c>
      <c r="M57" s="220">
        <f t="shared" si="43"/>
        <v>0</v>
      </c>
      <c r="N57" s="219">
        <f t="shared" si="44"/>
        <v>0</v>
      </c>
      <c r="O57" s="70"/>
      <c r="P57" s="70">
        <f t="shared" si="45"/>
        <v>0</v>
      </c>
      <c r="Q57" s="70">
        <f t="shared" si="46"/>
        <v>0</v>
      </c>
      <c r="R57" s="70">
        <f t="shared" si="47"/>
        <v>0</v>
      </c>
      <c r="S57" s="70">
        <f t="shared" si="48"/>
        <v>0</v>
      </c>
      <c r="T57" s="285">
        <f t="shared" si="49"/>
        <v>0</v>
      </c>
      <c r="U57" s="70"/>
      <c r="V57" s="278">
        <f t="shared" si="50"/>
        <v>0</v>
      </c>
    </row>
    <row r="58" spans="1:22" x14ac:dyDescent="0.2">
      <c r="A58" s="14"/>
      <c r="B58" s="20" t="s">
        <v>56</v>
      </c>
      <c r="C58" s="70"/>
      <c r="D58" s="152"/>
      <c r="E58" s="70"/>
      <c r="F58" s="70"/>
      <c r="G58" s="70"/>
      <c r="H58" s="70"/>
      <c r="I58" s="70"/>
      <c r="J58" s="70"/>
      <c r="K58" s="70"/>
      <c r="L58" s="219">
        <f t="shared" si="42"/>
        <v>0</v>
      </c>
      <c r="M58" s="220">
        <f t="shared" si="43"/>
        <v>0</v>
      </c>
      <c r="N58" s="219">
        <f t="shared" si="44"/>
        <v>0</v>
      </c>
      <c r="O58" s="70"/>
      <c r="P58" s="70">
        <f t="shared" si="45"/>
        <v>0</v>
      </c>
      <c r="Q58" s="70">
        <f t="shared" si="46"/>
        <v>0</v>
      </c>
      <c r="R58" s="70">
        <f t="shared" si="47"/>
        <v>0</v>
      </c>
      <c r="S58" s="70">
        <f t="shared" si="48"/>
        <v>0</v>
      </c>
      <c r="T58" s="285">
        <f t="shared" si="49"/>
        <v>0</v>
      </c>
      <c r="U58" s="70"/>
      <c r="V58" s="278">
        <f t="shared" si="50"/>
        <v>0</v>
      </c>
    </row>
    <row r="59" spans="1:22" x14ac:dyDescent="0.2">
      <c r="A59" s="14" t="s">
        <v>57</v>
      </c>
      <c r="B59" s="20" t="s">
        <v>91</v>
      </c>
      <c r="C59" s="70">
        <v>315000</v>
      </c>
      <c r="D59" s="152">
        <v>191000</v>
      </c>
      <c r="E59" s="70">
        <v>0</v>
      </c>
      <c r="F59" s="70"/>
      <c r="G59" s="70"/>
      <c r="H59" s="70">
        <v>24000</v>
      </c>
      <c r="I59" s="70">
        <v>0</v>
      </c>
      <c r="J59" s="70"/>
      <c r="K59" s="70"/>
      <c r="L59" s="219">
        <f t="shared" si="42"/>
        <v>7.6190476190476197E-2</v>
      </c>
      <c r="M59" s="226">
        <f t="shared" si="43"/>
        <v>0</v>
      </c>
      <c r="N59" s="219">
        <f t="shared" si="44"/>
        <v>0</v>
      </c>
      <c r="O59" s="70"/>
      <c r="P59" s="70">
        <f t="shared" si="45"/>
        <v>-124000</v>
      </c>
      <c r="Q59" s="70">
        <f t="shared" si="46"/>
        <v>-191000</v>
      </c>
      <c r="R59" s="70">
        <f t="shared" si="47"/>
        <v>0</v>
      </c>
      <c r="S59" s="70">
        <f t="shared" si="48"/>
        <v>-315000</v>
      </c>
      <c r="T59" s="285">
        <f t="shared" si="49"/>
        <v>-1</v>
      </c>
      <c r="U59" s="70"/>
      <c r="V59" s="278">
        <f t="shared" si="50"/>
        <v>0</v>
      </c>
    </row>
    <row r="60" spans="1:22" x14ac:dyDescent="0.2">
      <c r="A60" s="14"/>
      <c r="B60" s="20" t="s">
        <v>58</v>
      </c>
      <c r="C60" s="70"/>
      <c r="D60" s="152"/>
      <c r="E60" s="70"/>
      <c r="F60" s="70"/>
      <c r="G60" s="70"/>
      <c r="H60" s="70"/>
      <c r="I60" s="70"/>
      <c r="J60" s="70"/>
      <c r="K60" s="70"/>
      <c r="L60" s="219">
        <f t="shared" si="42"/>
        <v>0</v>
      </c>
      <c r="M60" s="220">
        <f t="shared" si="43"/>
        <v>0</v>
      </c>
      <c r="N60" s="219">
        <f t="shared" si="44"/>
        <v>0</v>
      </c>
      <c r="O60" s="70"/>
      <c r="P60" s="70">
        <f t="shared" si="45"/>
        <v>0</v>
      </c>
      <c r="Q60" s="70">
        <f t="shared" si="46"/>
        <v>0</v>
      </c>
      <c r="R60" s="70">
        <f t="shared" si="47"/>
        <v>0</v>
      </c>
      <c r="S60" s="70">
        <f t="shared" si="48"/>
        <v>0</v>
      </c>
      <c r="T60" s="285">
        <f t="shared" si="49"/>
        <v>0</v>
      </c>
      <c r="U60" s="70"/>
      <c r="V60" s="278">
        <f t="shared" si="50"/>
        <v>0</v>
      </c>
    </row>
    <row r="61" spans="1:22" x14ac:dyDescent="0.2">
      <c r="A61" s="14" t="s">
        <v>59</v>
      </c>
      <c r="B61" s="20" t="s">
        <v>60</v>
      </c>
      <c r="C61" s="70"/>
      <c r="D61" s="152"/>
      <c r="E61" s="70"/>
      <c r="F61" s="70"/>
      <c r="G61" s="70"/>
      <c r="H61" s="70"/>
      <c r="I61" s="70"/>
      <c r="J61" s="70"/>
      <c r="K61" s="70"/>
      <c r="L61" s="219">
        <f t="shared" si="42"/>
        <v>0</v>
      </c>
      <c r="M61" s="220">
        <f t="shared" si="43"/>
        <v>0</v>
      </c>
      <c r="N61" s="219">
        <f t="shared" si="44"/>
        <v>0</v>
      </c>
      <c r="O61" s="70"/>
      <c r="P61" s="70">
        <f t="shared" si="45"/>
        <v>0</v>
      </c>
      <c r="Q61" s="70">
        <f t="shared" si="46"/>
        <v>0</v>
      </c>
      <c r="R61" s="70">
        <f t="shared" si="47"/>
        <v>0</v>
      </c>
      <c r="S61" s="70">
        <f t="shared" si="48"/>
        <v>0</v>
      </c>
      <c r="T61" s="285">
        <f t="shared" si="49"/>
        <v>0</v>
      </c>
      <c r="U61" s="70"/>
      <c r="V61" s="278">
        <f t="shared" si="50"/>
        <v>0</v>
      </c>
    </row>
    <row r="62" spans="1:22" ht="25.5" x14ac:dyDescent="0.2">
      <c r="A62" s="20"/>
      <c r="B62" s="20" t="s">
        <v>61</v>
      </c>
      <c r="C62" s="70"/>
      <c r="D62" s="152"/>
      <c r="E62" s="70"/>
      <c r="F62" s="70"/>
      <c r="G62" s="70"/>
      <c r="H62" s="70"/>
      <c r="I62" s="70"/>
      <c r="J62" s="70"/>
      <c r="K62" s="70"/>
      <c r="L62" s="219">
        <f t="shared" si="42"/>
        <v>0</v>
      </c>
      <c r="M62" s="220">
        <f t="shared" si="43"/>
        <v>0</v>
      </c>
      <c r="N62" s="219">
        <f t="shared" si="44"/>
        <v>0</v>
      </c>
      <c r="O62" s="70"/>
      <c r="P62" s="70">
        <f t="shared" si="45"/>
        <v>0</v>
      </c>
      <c r="Q62" s="70">
        <f t="shared" si="46"/>
        <v>0</v>
      </c>
      <c r="R62" s="70">
        <f t="shared" si="47"/>
        <v>0</v>
      </c>
      <c r="S62" s="70">
        <f t="shared" si="48"/>
        <v>0</v>
      </c>
      <c r="T62" s="285">
        <f t="shared" si="49"/>
        <v>0</v>
      </c>
      <c r="U62" s="70"/>
      <c r="V62" s="278">
        <f t="shared" si="50"/>
        <v>0</v>
      </c>
    </row>
    <row r="63" spans="1:22" x14ac:dyDescent="0.2">
      <c r="A63" s="14" t="s">
        <v>62</v>
      </c>
      <c r="B63" s="20" t="s">
        <v>63</v>
      </c>
      <c r="C63" s="70">
        <v>394000</v>
      </c>
      <c r="D63" s="152">
        <v>542000</v>
      </c>
      <c r="E63" s="70">
        <v>0</v>
      </c>
      <c r="F63" s="70"/>
      <c r="G63" s="70"/>
      <c r="H63" s="70">
        <v>493300</v>
      </c>
      <c r="I63" s="70">
        <v>0</v>
      </c>
      <c r="J63" s="70"/>
      <c r="K63" s="70"/>
      <c r="L63" s="219">
        <f t="shared" si="42"/>
        <v>1.2520304568527918</v>
      </c>
      <c r="M63" s="226">
        <f t="shared" si="43"/>
        <v>0</v>
      </c>
      <c r="N63" s="219">
        <f t="shared" si="44"/>
        <v>0</v>
      </c>
      <c r="O63" s="70"/>
      <c r="P63" s="70">
        <f t="shared" si="45"/>
        <v>148000</v>
      </c>
      <c r="Q63" s="70">
        <f t="shared" si="46"/>
        <v>-542000</v>
      </c>
      <c r="R63" s="70">
        <f t="shared" si="47"/>
        <v>0</v>
      </c>
      <c r="S63" s="70">
        <f t="shared" si="48"/>
        <v>-394000</v>
      </c>
      <c r="T63" s="285">
        <f t="shared" si="49"/>
        <v>-1</v>
      </c>
      <c r="U63" s="70"/>
      <c r="V63" s="278">
        <f t="shared" si="50"/>
        <v>0</v>
      </c>
    </row>
    <row r="64" spans="1:22" ht="76.5" x14ac:dyDescent="0.2">
      <c r="A64" s="14"/>
      <c r="B64" s="20" t="s">
        <v>102</v>
      </c>
      <c r="C64" s="70"/>
      <c r="D64" s="152"/>
      <c r="E64" s="70"/>
      <c r="F64" s="70"/>
      <c r="G64" s="70"/>
      <c r="H64" s="70">
        <v>0</v>
      </c>
      <c r="I64" s="70"/>
      <c r="J64" s="70"/>
      <c r="K64" s="70"/>
      <c r="L64" s="219">
        <f t="shared" si="42"/>
        <v>0</v>
      </c>
      <c r="M64" s="220">
        <f t="shared" si="43"/>
        <v>0</v>
      </c>
      <c r="N64" s="219">
        <f t="shared" si="44"/>
        <v>0</v>
      </c>
      <c r="O64" s="70"/>
      <c r="P64" s="70">
        <f t="shared" si="45"/>
        <v>0</v>
      </c>
      <c r="Q64" s="70">
        <f t="shared" si="46"/>
        <v>0</v>
      </c>
      <c r="R64" s="70">
        <f t="shared" si="47"/>
        <v>0</v>
      </c>
      <c r="S64" s="70">
        <f t="shared" si="48"/>
        <v>0</v>
      </c>
      <c r="T64" s="285">
        <f t="shared" si="49"/>
        <v>0</v>
      </c>
      <c r="U64" s="70"/>
      <c r="V64" s="278">
        <f t="shared" si="50"/>
        <v>0</v>
      </c>
    </row>
    <row r="65" spans="1:24" x14ac:dyDescent="0.2">
      <c r="A65" s="14" t="s">
        <v>64</v>
      </c>
      <c r="B65" s="20" t="s">
        <v>65</v>
      </c>
      <c r="C65" s="70">
        <v>276000</v>
      </c>
      <c r="D65" s="152">
        <v>301000</v>
      </c>
      <c r="E65" s="70">
        <v>0</v>
      </c>
      <c r="F65" s="70"/>
      <c r="G65" s="70"/>
      <c r="H65" s="70">
        <v>266020</v>
      </c>
      <c r="I65" s="70">
        <v>0</v>
      </c>
      <c r="J65" s="70"/>
      <c r="K65" s="70"/>
      <c r="L65" s="219">
        <f t="shared" si="42"/>
        <v>0.96384057971014492</v>
      </c>
      <c r="M65" s="226">
        <f t="shared" si="43"/>
        <v>0</v>
      </c>
      <c r="N65" s="219">
        <f t="shared" si="44"/>
        <v>0</v>
      </c>
      <c r="O65" s="70"/>
      <c r="P65" s="70">
        <f t="shared" si="45"/>
        <v>25000</v>
      </c>
      <c r="Q65" s="70">
        <f t="shared" si="46"/>
        <v>-301000</v>
      </c>
      <c r="R65" s="70">
        <f t="shared" si="47"/>
        <v>0</v>
      </c>
      <c r="S65" s="70">
        <f t="shared" si="48"/>
        <v>-276000</v>
      </c>
      <c r="T65" s="285">
        <f t="shared" si="49"/>
        <v>-1</v>
      </c>
      <c r="U65" s="70"/>
      <c r="V65" s="278">
        <f t="shared" si="50"/>
        <v>0</v>
      </c>
    </row>
    <row r="66" spans="1:24" ht="38.25" x14ac:dyDescent="0.2">
      <c r="A66" s="14"/>
      <c r="B66" s="20" t="s">
        <v>66</v>
      </c>
      <c r="C66" s="70"/>
      <c r="D66" s="70"/>
      <c r="E66" s="70"/>
      <c r="F66" s="70"/>
      <c r="G66" s="70"/>
      <c r="H66" s="70"/>
      <c r="I66" s="70"/>
      <c r="J66" s="70"/>
      <c r="K66" s="70"/>
      <c r="L66" s="219">
        <f t="shared" ref="L66:N102" si="51">IF(H66&gt;0,H66/C66,0)</f>
        <v>0</v>
      </c>
      <c r="M66" s="220">
        <f t="shared" ref="M66:M102" si="52">IF(I66&gt;0,I66/D66,0)</f>
        <v>0</v>
      </c>
      <c r="N66" s="219">
        <f t="shared" ref="N66:N102" si="53">IF(J66&gt;0,J66/E66,0)</f>
        <v>0</v>
      </c>
      <c r="O66" s="70"/>
      <c r="P66" s="70">
        <f t="shared" si="45"/>
        <v>0</v>
      </c>
      <c r="Q66" s="70">
        <f t="shared" si="46"/>
        <v>0</v>
      </c>
      <c r="R66" s="70">
        <f t="shared" si="47"/>
        <v>0</v>
      </c>
      <c r="S66" s="70">
        <f t="shared" si="48"/>
        <v>0</v>
      </c>
      <c r="T66" s="285">
        <f t="shared" si="49"/>
        <v>0</v>
      </c>
      <c r="U66" s="70"/>
      <c r="V66" s="278">
        <f t="shared" si="50"/>
        <v>0</v>
      </c>
    </row>
    <row r="67" spans="1:24" s="43" customFormat="1" x14ac:dyDescent="0.2">
      <c r="A67" s="39" t="s">
        <v>67</v>
      </c>
      <c r="B67" s="40" t="s">
        <v>68</v>
      </c>
      <c r="C67" s="101">
        <f>+C68+C70</f>
        <v>150000</v>
      </c>
      <c r="D67" s="101">
        <f t="shared" ref="D67:F67" si="54">+D68+D70</f>
        <v>133000</v>
      </c>
      <c r="E67" s="101">
        <f t="shared" si="54"/>
        <v>0</v>
      </c>
      <c r="F67" s="101">
        <f t="shared" si="54"/>
        <v>0</v>
      </c>
      <c r="G67" s="101"/>
      <c r="H67" s="101">
        <f>+H68+H70</f>
        <v>50270</v>
      </c>
      <c r="I67" s="101">
        <f>+I68+I70</f>
        <v>0</v>
      </c>
      <c r="J67" s="101"/>
      <c r="K67" s="101"/>
      <c r="L67" s="224">
        <f t="shared" si="51"/>
        <v>0.33513333333333334</v>
      </c>
      <c r="M67" s="225">
        <f t="shared" si="52"/>
        <v>0</v>
      </c>
      <c r="N67" s="224">
        <f t="shared" si="53"/>
        <v>0</v>
      </c>
      <c r="O67" s="101"/>
      <c r="P67" s="101">
        <f t="shared" si="45"/>
        <v>-17000</v>
      </c>
      <c r="Q67" s="101">
        <f t="shared" si="46"/>
        <v>-133000</v>
      </c>
      <c r="R67" s="101">
        <f t="shared" si="47"/>
        <v>0</v>
      </c>
      <c r="S67" s="101">
        <f t="shared" si="48"/>
        <v>-150000</v>
      </c>
      <c r="T67" s="286">
        <f t="shared" si="49"/>
        <v>-1</v>
      </c>
      <c r="U67" s="101"/>
      <c r="V67" s="280">
        <f t="shared" si="50"/>
        <v>0</v>
      </c>
      <c r="X67" s="60"/>
    </row>
    <row r="68" spans="1:24" x14ac:dyDescent="0.2">
      <c r="A68" s="14" t="s">
        <v>69</v>
      </c>
      <c r="B68" s="20" t="s">
        <v>70</v>
      </c>
      <c r="C68" s="70">
        <v>150000</v>
      </c>
      <c r="D68" s="70">
        <v>133000</v>
      </c>
      <c r="E68" s="70">
        <v>0</v>
      </c>
      <c r="F68" s="70"/>
      <c r="G68" s="70"/>
      <c r="H68" s="70">
        <v>50270</v>
      </c>
      <c r="I68" s="70">
        <v>0</v>
      </c>
      <c r="J68" s="70"/>
      <c r="K68" s="70"/>
      <c r="L68" s="219">
        <f t="shared" si="51"/>
        <v>0.33513333333333334</v>
      </c>
      <c r="M68" s="220">
        <f t="shared" si="52"/>
        <v>0</v>
      </c>
      <c r="N68" s="219">
        <f t="shared" si="53"/>
        <v>0</v>
      </c>
      <c r="O68" s="70"/>
      <c r="P68" s="70">
        <f t="shared" si="45"/>
        <v>-17000</v>
      </c>
      <c r="Q68" s="70">
        <f t="shared" si="46"/>
        <v>-133000</v>
      </c>
      <c r="R68" s="70">
        <f t="shared" si="47"/>
        <v>0</v>
      </c>
      <c r="S68" s="70">
        <f t="shared" si="48"/>
        <v>-150000</v>
      </c>
      <c r="T68" s="285">
        <f t="shared" si="49"/>
        <v>-1</v>
      </c>
      <c r="U68" s="70"/>
      <c r="V68" s="278">
        <f t="shared" si="50"/>
        <v>0</v>
      </c>
    </row>
    <row r="69" spans="1:24" ht="38.25" x14ac:dyDescent="0.2">
      <c r="A69" s="14"/>
      <c r="B69" s="20" t="s">
        <v>71</v>
      </c>
      <c r="C69" s="70"/>
      <c r="D69" s="70">
        <v>0</v>
      </c>
      <c r="E69" s="70"/>
      <c r="F69" s="70"/>
      <c r="G69" s="70"/>
      <c r="H69" s="70"/>
      <c r="I69" s="70"/>
      <c r="J69" s="70"/>
      <c r="K69" s="70"/>
      <c r="L69" s="219">
        <f t="shared" si="51"/>
        <v>0</v>
      </c>
      <c r="M69" s="220">
        <f t="shared" si="52"/>
        <v>0</v>
      </c>
      <c r="N69" s="219">
        <f t="shared" si="53"/>
        <v>0</v>
      </c>
      <c r="O69" s="70"/>
      <c r="P69" s="70">
        <f t="shared" si="45"/>
        <v>0</v>
      </c>
      <c r="Q69" s="70">
        <f t="shared" si="46"/>
        <v>0</v>
      </c>
      <c r="R69" s="70">
        <f t="shared" si="47"/>
        <v>0</v>
      </c>
      <c r="S69" s="70">
        <f t="shared" si="48"/>
        <v>0</v>
      </c>
      <c r="T69" s="285">
        <f t="shared" si="49"/>
        <v>0</v>
      </c>
      <c r="U69" s="70"/>
      <c r="V69" s="278">
        <f t="shared" si="50"/>
        <v>0</v>
      </c>
      <c r="X69" s="38"/>
    </row>
    <row r="70" spans="1:24" x14ac:dyDescent="0.2">
      <c r="A70" s="14" t="s">
        <v>72</v>
      </c>
      <c r="B70" s="20" t="s">
        <v>100</v>
      </c>
      <c r="C70" s="70"/>
      <c r="D70" s="70"/>
      <c r="E70" s="70"/>
      <c r="F70" s="70"/>
      <c r="G70" s="70"/>
      <c r="H70" s="70"/>
      <c r="I70" s="70"/>
      <c r="J70" s="70"/>
      <c r="K70" s="70"/>
      <c r="L70" s="219">
        <f t="shared" si="51"/>
        <v>0</v>
      </c>
      <c r="M70" s="220">
        <f t="shared" si="52"/>
        <v>0</v>
      </c>
      <c r="N70" s="219">
        <f t="shared" si="53"/>
        <v>0</v>
      </c>
      <c r="O70" s="70"/>
      <c r="P70" s="70">
        <f t="shared" si="45"/>
        <v>0</v>
      </c>
      <c r="Q70" s="70">
        <f t="shared" si="46"/>
        <v>0</v>
      </c>
      <c r="R70" s="70">
        <f t="shared" si="47"/>
        <v>0</v>
      </c>
      <c r="S70" s="70">
        <f t="shared" si="48"/>
        <v>0</v>
      </c>
      <c r="T70" s="285">
        <f t="shared" si="49"/>
        <v>0</v>
      </c>
      <c r="U70" s="70"/>
      <c r="V70" s="278">
        <f t="shared" si="50"/>
        <v>0</v>
      </c>
      <c r="X70" s="38"/>
    </row>
    <row r="71" spans="1:24" ht="38.25" x14ac:dyDescent="0.2">
      <c r="A71" s="14"/>
      <c r="B71" s="20" t="s">
        <v>73</v>
      </c>
      <c r="C71" s="70"/>
      <c r="D71" s="70"/>
      <c r="E71" s="70"/>
      <c r="F71" s="70"/>
      <c r="G71" s="70"/>
      <c r="H71" s="70"/>
      <c r="I71" s="70"/>
      <c r="J71" s="70"/>
      <c r="K71" s="70"/>
      <c r="L71" s="219">
        <f t="shared" si="51"/>
        <v>0</v>
      </c>
      <c r="M71" s="220">
        <f t="shared" si="52"/>
        <v>0</v>
      </c>
      <c r="N71" s="219">
        <f t="shared" si="53"/>
        <v>0</v>
      </c>
      <c r="O71" s="70"/>
      <c r="P71" s="70">
        <f t="shared" si="45"/>
        <v>0</v>
      </c>
      <c r="Q71" s="70">
        <f t="shared" si="46"/>
        <v>0</v>
      </c>
      <c r="R71" s="70">
        <f t="shared" si="47"/>
        <v>0</v>
      </c>
      <c r="S71" s="70">
        <f t="shared" si="48"/>
        <v>0</v>
      </c>
      <c r="T71" s="285">
        <f t="shared" si="49"/>
        <v>0</v>
      </c>
      <c r="U71" s="70"/>
      <c r="V71" s="278">
        <f t="shared" si="50"/>
        <v>0</v>
      </c>
      <c r="X71" s="38"/>
    </row>
    <row r="72" spans="1:24" x14ac:dyDescent="0.2">
      <c r="A72" s="39" t="s">
        <v>74</v>
      </c>
      <c r="B72" s="40" t="s">
        <v>75</v>
      </c>
      <c r="C72" s="101">
        <f>+C73+C75+C77+C79+C81</f>
        <v>1830000</v>
      </c>
      <c r="D72" s="101">
        <f>+D73+D75+D77+D79+D81</f>
        <v>1967000</v>
      </c>
      <c r="E72" s="101">
        <f>+E73+E75+E77+E79+E81</f>
        <v>0</v>
      </c>
      <c r="F72" s="101">
        <f>+F73+F75+F77+F79+F81</f>
        <v>0</v>
      </c>
      <c r="G72" s="101"/>
      <c r="H72" s="101">
        <f>+H73+H75+H77+H79+H81</f>
        <v>1502604</v>
      </c>
      <c r="I72" s="101">
        <f>+I73+I75+I77+I79+I81</f>
        <v>0</v>
      </c>
      <c r="J72" s="101">
        <f>+J73+J75+J77+J79+J81</f>
        <v>0</v>
      </c>
      <c r="K72" s="101"/>
      <c r="L72" s="224">
        <f t="shared" si="51"/>
        <v>0.82109508196721315</v>
      </c>
      <c r="M72" s="225">
        <f t="shared" si="52"/>
        <v>0</v>
      </c>
      <c r="N72" s="224">
        <f t="shared" si="53"/>
        <v>0</v>
      </c>
      <c r="O72" s="101"/>
      <c r="P72" s="101">
        <f t="shared" si="45"/>
        <v>137000</v>
      </c>
      <c r="Q72" s="101">
        <f t="shared" si="46"/>
        <v>-1967000</v>
      </c>
      <c r="R72" s="101">
        <f t="shared" si="47"/>
        <v>0</v>
      </c>
      <c r="S72" s="101">
        <f t="shared" si="48"/>
        <v>-1830000</v>
      </c>
      <c r="T72" s="286">
        <f t="shared" si="49"/>
        <v>-1</v>
      </c>
      <c r="U72" s="101"/>
      <c r="V72" s="280">
        <f t="shared" si="50"/>
        <v>0</v>
      </c>
      <c r="X72" s="38"/>
    </row>
    <row r="73" spans="1:24" x14ac:dyDescent="0.2">
      <c r="A73" s="14" t="s">
        <v>76</v>
      </c>
      <c r="B73" s="20" t="s">
        <v>77</v>
      </c>
      <c r="C73" s="70">
        <v>1830000</v>
      </c>
      <c r="D73" s="70">
        <v>1960000</v>
      </c>
      <c r="E73" s="70">
        <v>0</v>
      </c>
      <c r="F73" s="70"/>
      <c r="G73" s="70"/>
      <c r="H73" s="70">
        <v>1501028</v>
      </c>
      <c r="I73" s="70">
        <v>0</v>
      </c>
      <c r="J73" s="70"/>
      <c r="K73" s="70"/>
      <c r="L73" s="219">
        <f t="shared" si="51"/>
        <v>0.82023387978142082</v>
      </c>
      <c r="M73" s="226">
        <f t="shared" si="52"/>
        <v>0</v>
      </c>
      <c r="N73" s="219">
        <f t="shared" si="53"/>
        <v>0</v>
      </c>
      <c r="O73" s="70"/>
      <c r="P73" s="70">
        <f t="shared" si="45"/>
        <v>130000</v>
      </c>
      <c r="Q73" s="70">
        <f t="shared" si="46"/>
        <v>-1960000</v>
      </c>
      <c r="R73" s="70">
        <f t="shared" si="47"/>
        <v>0</v>
      </c>
      <c r="S73" s="70">
        <f t="shared" si="48"/>
        <v>-1830000</v>
      </c>
      <c r="T73" s="285">
        <f t="shared" si="49"/>
        <v>-1</v>
      </c>
      <c r="U73" s="70"/>
      <c r="V73" s="278">
        <f t="shared" si="50"/>
        <v>0</v>
      </c>
      <c r="X73" s="38"/>
    </row>
    <row r="74" spans="1:24" x14ac:dyDescent="0.2">
      <c r="A74" s="14"/>
      <c r="B74" s="20" t="s">
        <v>78</v>
      </c>
      <c r="C74" s="70"/>
      <c r="D74" s="70">
        <v>0</v>
      </c>
      <c r="E74" s="70">
        <v>0</v>
      </c>
      <c r="F74" s="70"/>
      <c r="G74" s="70"/>
      <c r="H74" s="70">
        <v>0</v>
      </c>
      <c r="I74" s="70"/>
      <c r="J74" s="70"/>
      <c r="K74" s="70"/>
      <c r="L74" s="219">
        <f t="shared" si="51"/>
        <v>0</v>
      </c>
      <c r="M74" s="220">
        <f t="shared" si="52"/>
        <v>0</v>
      </c>
      <c r="N74" s="219">
        <f t="shared" si="53"/>
        <v>0</v>
      </c>
      <c r="O74" s="70"/>
      <c r="P74" s="70">
        <f t="shared" si="45"/>
        <v>0</v>
      </c>
      <c r="Q74" s="70">
        <f t="shared" si="46"/>
        <v>0</v>
      </c>
      <c r="R74" s="70">
        <f t="shared" si="47"/>
        <v>0</v>
      </c>
      <c r="S74" s="70">
        <f t="shared" si="48"/>
        <v>0</v>
      </c>
      <c r="T74" s="285">
        <f t="shared" si="49"/>
        <v>0</v>
      </c>
      <c r="U74" s="70"/>
      <c r="V74" s="278">
        <f t="shared" si="50"/>
        <v>0</v>
      </c>
      <c r="X74" s="38"/>
    </row>
    <row r="75" spans="1:24" x14ac:dyDescent="0.2">
      <c r="A75" s="14" t="s">
        <v>79</v>
      </c>
      <c r="B75" s="20" t="s">
        <v>80</v>
      </c>
      <c r="C75" s="70"/>
      <c r="D75" s="70"/>
      <c r="E75" s="70"/>
      <c r="F75" s="70"/>
      <c r="G75" s="70"/>
      <c r="H75" s="70"/>
      <c r="I75" s="70"/>
      <c r="J75" s="70"/>
      <c r="K75" s="70"/>
      <c r="L75" s="219">
        <f t="shared" si="51"/>
        <v>0</v>
      </c>
      <c r="M75" s="220">
        <f t="shared" si="52"/>
        <v>0</v>
      </c>
      <c r="N75" s="219">
        <f t="shared" si="53"/>
        <v>0</v>
      </c>
      <c r="O75" s="70"/>
      <c r="P75" s="70">
        <f t="shared" si="45"/>
        <v>0</v>
      </c>
      <c r="Q75" s="70">
        <f t="shared" si="46"/>
        <v>0</v>
      </c>
      <c r="R75" s="70">
        <f t="shared" si="47"/>
        <v>0</v>
      </c>
      <c r="S75" s="70">
        <f t="shared" si="48"/>
        <v>0</v>
      </c>
      <c r="T75" s="285">
        <f t="shared" si="49"/>
        <v>0</v>
      </c>
      <c r="U75" s="70"/>
      <c r="V75" s="278">
        <f t="shared" si="50"/>
        <v>0</v>
      </c>
      <c r="X75" s="38"/>
    </row>
    <row r="76" spans="1:24" ht="25.5" x14ac:dyDescent="0.2">
      <c r="A76" s="14"/>
      <c r="B76" s="20" t="s">
        <v>101</v>
      </c>
      <c r="C76" s="70"/>
      <c r="D76" s="70"/>
      <c r="E76" s="70"/>
      <c r="F76" s="70"/>
      <c r="G76" s="70"/>
      <c r="H76" s="70"/>
      <c r="I76" s="70"/>
      <c r="J76" s="70"/>
      <c r="K76" s="70"/>
      <c r="L76" s="219">
        <f t="shared" si="51"/>
        <v>0</v>
      </c>
      <c r="M76" s="220">
        <f t="shared" si="52"/>
        <v>0</v>
      </c>
      <c r="N76" s="219">
        <f t="shared" si="53"/>
        <v>0</v>
      </c>
      <c r="O76" s="70"/>
      <c r="P76" s="70">
        <f t="shared" si="45"/>
        <v>0</v>
      </c>
      <c r="Q76" s="70">
        <f t="shared" si="46"/>
        <v>0</v>
      </c>
      <c r="R76" s="70">
        <f t="shared" si="47"/>
        <v>0</v>
      </c>
      <c r="S76" s="70">
        <f t="shared" si="48"/>
        <v>0</v>
      </c>
      <c r="T76" s="285">
        <f t="shared" si="49"/>
        <v>0</v>
      </c>
      <c r="U76" s="70"/>
      <c r="V76" s="278">
        <f t="shared" si="50"/>
        <v>0</v>
      </c>
      <c r="X76" s="38"/>
    </row>
    <row r="77" spans="1:24" x14ac:dyDescent="0.2">
      <c r="A77" s="14" t="s">
        <v>81</v>
      </c>
      <c r="B77" s="20" t="s">
        <v>82</v>
      </c>
      <c r="C77" s="70"/>
      <c r="D77" s="70"/>
      <c r="E77" s="70"/>
      <c r="F77" s="70"/>
      <c r="G77" s="70"/>
      <c r="H77" s="70"/>
      <c r="I77" s="70"/>
      <c r="J77" s="70"/>
      <c r="K77" s="70"/>
      <c r="L77" s="219">
        <f t="shared" si="51"/>
        <v>0</v>
      </c>
      <c r="M77" s="220">
        <f t="shared" si="52"/>
        <v>0</v>
      </c>
      <c r="N77" s="219">
        <f t="shared" si="53"/>
        <v>0</v>
      </c>
      <c r="O77" s="70"/>
      <c r="P77" s="70">
        <f t="shared" si="45"/>
        <v>0</v>
      </c>
      <c r="Q77" s="70">
        <f t="shared" si="46"/>
        <v>0</v>
      </c>
      <c r="R77" s="70">
        <f t="shared" si="47"/>
        <v>0</v>
      </c>
      <c r="S77" s="70">
        <f t="shared" si="48"/>
        <v>0</v>
      </c>
      <c r="T77" s="285">
        <f t="shared" si="49"/>
        <v>0</v>
      </c>
      <c r="U77" s="70"/>
      <c r="V77" s="278">
        <f t="shared" si="50"/>
        <v>0</v>
      </c>
      <c r="X77" s="38"/>
    </row>
    <row r="78" spans="1:24" ht="25.5" x14ac:dyDescent="0.2">
      <c r="A78" s="14"/>
      <c r="B78" s="20" t="s">
        <v>83</v>
      </c>
      <c r="C78" s="70"/>
      <c r="D78" s="70"/>
      <c r="E78" s="70"/>
      <c r="F78" s="70"/>
      <c r="G78" s="70"/>
      <c r="H78" s="70"/>
      <c r="I78" s="70"/>
      <c r="J78" s="70"/>
      <c r="K78" s="70"/>
      <c r="L78" s="219">
        <f t="shared" si="51"/>
        <v>0</v>
      </c>
      <c r="M78" s="220">
        <f t="shared" si="52"/>
        <v>0</v>
      </c>
      <c r="N78" s="219">
        <f t="shared" si="53"/>
        <v>0</v>
      </c>
      <c r="O78" s="70"/>
      <c r="P78" s="70">
        <f t="shared" si="45"/>
        <v>0</v>
      </c>
      <c r="Q78" s="70">
        <f t="shared" si="46"/>
        <v>0</v>
      </c>
      <c r="R78" s="70">
        <f t="shared" si="47"/>
        <v>0</v>
      </c>
      <c r="S78" s="70">
        <f t="shared" si="48"/>
        <v>0</v>
      </c>
      <c r="T78" s="285">
        <f t="shared" si="49"/>
        <v>0</v>
      </c>
      <c r="U78" s="70"/>
      <c r="V78" s="278">
        <f t="shared" si="50"/>
        <v>0</v>
      </c>
      <c r="X78" s="38"/>
    </row>
    <row r="79" spans="1:24" x14ac:dyDescent="0.2">
      <c r="A79" s="14" t="s">
        <v>84</v>
      </c>
      <c r="B79" s="20" t="s">
        <v>85</v>
      </c>
      <c r="C79" s="70"/>
      <c r="D79" s="70"/>
      <c r="E79" s="70"/>
      <c r="F79" s="70"/>
      <c r="G79" s="70"/>
      <c r="H79" s="70"/>
      <c r="I79" s="70"/>
      <c r="J79" s="70"/>
      <c r="K79" s="70"/>
      <c r="L79" s="219">
        <f t="shared" si="51"/>
        <v>0</v>
      </c>
      <c r="M79" s="220">
        <f t="shared" si="52"/>
        <v>0</v>
      </c>
      <c r="N79" s="219">
        <f t="shared" si="53"/>
        <v>0</v>
      </c>
      <c r="O79" s="70"/>
      <c r="P79" s="70">
        <f t="shared" si="45"/>
        <v>0</v>
      </c>
      <c r="Q79" s="70">
        <f t="shared" si="46"/>
        <v>0</v>
      </c>
      <c r="R79" s="70">
        <f t="shared" si="47"/>
        <v>0</v>
      </c>
      <c r="S79" s="70">
        <f t="shared" si="48"/>
        <v>0</v>
      </c>
      <c r="T79" s="285">
        <f t="shared" si="49"/>
        <v>0</v>
      </c>
      <c r="U79" s="70"/>
      <c r="V79" s="278">
        <f t="shared" si="50"/>
        <v>0</v>
      </c>
      <c r="X79" s="38"/>
    </row>
    <row r="80" spans="1:24" x14ac:dyDescent="0.2">
      <c r="A80" s="14"/>
      <c r="B80" s="20" t="s">
        <v>86</v>
      </c>
      <c r="C80" s="70"/>
      <c r="D80" s="70"/>
      <c r="E80" s="70"/>
      <c r="F80" s="70"/>
      <c r="G80" s="70"/>
      <c r="H80" s="70"/>
      <c r="I80" s="70"/>
      <c r="J80" s="70"/>
      <c r="K80" s="70"/>
      <c r="L80" s="219">
        <f t="shared" si="51"/>
        <v>0</v>
      </c>
      <c r="M80" s="220">
        <f t="shared" si="52"/>
        <v>0</v>
      </c>
      <c r="N80" s="219">
        <f t="shared" si="53"/>
        <v>0</v>
      </c>
      <c r="O80" s="70"/>
      <c r="P80" s="70">
        <f t="shared" si="45"/>
        <v>0</v>
      </c>
      <c r="Q80" s="70">
        <f t="shared" si="46"/>
        <v>0</v>
      </c>
      <c r="R80" s="70">
        <f t="shared" si="47"/>
        <v>0</v>
      </c>
      <c r="S80" s="70">
        <f t="shared" si="48"/>
        <v>0</v>
      </c>
      <c r="T80" s="285">
        <f t="shared" si="49"/>
        <v>0</v>
      </c>
      <c r="U80" s="70"/>
      <c r="V80" s="278">
        <f t="shared" si="50"/>
        <v>0</v>
      </c>
      <c r="X80" s="38"/>
    </row>
    <row r="81" spans="1:24" x14ac:dyDescent="0.2">
      <c r="A81" s="14" t="s">
        <v>87</v>
      </c>
      <c r="B81" s="20" t="s">
        <v>88</v>
      </c>
      <c r="C81" s="70"/>
      <c r="D81" s="70">
        <v>7000</v>
      </c>
      <c r="E81" s="70">
        <v>0</v>
      </c>
      <c r="F81" s="70"/>
      <c r="G81" s="70"/>
      <c r="H81" s="70">
        <v>1576</v>
      </c>
      <c r="I81" s="70">
        <v>0</v>
      </c>
      <c r="J81" s="70"/>
      <c r="K81" s="70"/>
      <c r="L81" s="219" t="e">
        <f t="shared" si="51"/>
        <v>#DIV/0!</v>
      </c>
      <c r="M81" s="221">
        <f t="shared" si="52"/>
        <v>0</v>
      </c>
      <c r="N81" s="219">
        <f t="shared" si="53"/>
        <v>0</v>
      </c>
      <c r="O81" s="70"/>
      <c r="P81" s="70">
        <f t="shared" si="45"/>
        <v>7000</v>
      </c>
      <c r="Q81" s="70">
        <f t="shared" si="46"/>
        <v>-7000</v>
      </c>
      <c r="R81" s="70">
        <f t="shared" si="47"/>
        <v>0</v>
      </c>
      <c r="S81" s="70">
        <f t="shared" si="48"/>
        <v>0</v>
      </c>
      <c r="T81" s="285">
        <f t="shared" si="49"/>
        <v>0</v>
      </c>
      <c r="U81" s="70"/>
      <c r="V81" s="278">
        <f t="shared" si="50"/>
        <v>0</v>
      </c>
      <c r="X81" s="38"/>
    </row>
    <row r="82" spans="1:24" ht="51" x14ac:dyDescent="0.2">
      <c r="A82" s="14"/>
      <c r="B82" s="20" t="s">
        <v>92</v>
      </c>
      <c r="C82" s="70">
        <v>0</v>
      </c>
      <c r="D82" s="70">
        <v>0</v>
      </c>
      <c r="E82" s="70">
        <v>0</v>
      </c>
      <c r="F82" s="70"/>
      <c r="G82" s="70"/>
      <c r="H82" s="70">
        <v>0</v>
      </c>
      <c r="I82" s="70"/>
      <c r="J82" s="70"/>
      <c r="K82" s="70"/>
      <c r="L82" s="219">
        <f t="shared" si="51"/>
        <v>0</v>
      </c>
      <c r="M82" s="221">
        <f t="shared" si="52"/>
        <v>0</v>
      </c>
      <c r="N82" s="219">
        <f t="shared" si="53"/>
        <v>0</v>
      </c>
      <c r="O82" s="70"/>
      <c r="P82" s="70">
        <f t="shared" si="45"/>
        <v>0</v>
      </c>
      <c r="Q82" s="70">
        <f t="shared" si="46"/>
        <v>0</v>
      </c>
      <c r="R82" s="70">
        <f t="shared" si="47"/>
        <v>0</v>
      </c>
      <c r="S82" s="70">
        <f t="shared" si="48"/>
        <v>0</v>
      </c>
      <c r="T82" s="285">
        <f t="shared" si="49"/>
        <v>0</v>
      </c>
      <c r="U82" s="70"/>
      <c r="V82" s="278">
        <f t="shared" si="50"/>
        <v>0</v>
      </c>
      <c r="X82" s="38"/>
    </row>
    <row r="83" spans="1:24" x14ac:dyDescent="0.2">
      <c r="A83" s="14"/>
      <c r="B83" s="14"/>
      <c r="C83" s="70"/>
      <c r="D83" s="70"/>
      <c r="E83" s="70"/>
      <c r="F83" s="70"/>
      <c r="G83" s="70"/>
      <c r="H83" s="70"/>
      <c r="I83" s="70"/>
      <c r="J83" s="70"/>
      <c r="K83" s="70"/>
      <c r="L83" s="219"/>
      <c r="M83" s="220"/>
      <c r="N83" s="219"/>
      <c r="O83" s="70"/>
      <c r="P83" s="70"/>
      <c r="Q83" s="70"/>
      <c r="R83" s="70"/>
      <c r="S83" s="70"/>
      <c r="T83" s="285"/>
      <c r="U83" s="70"/>
      <c r="V83" s="278"/>
    </row>
    <row r="84" spans="1:24" x14ac:dyDescent="0.2">
      <c r="A84" s="57" t="s">
        <v>158</v>
      </c>
      <c r="B84" s="53" t="s">
        <v>159</v>
      </c>
      <c r="C84" s="69">
        <f>+C85</f>
        <v>1070000</v>
      </c>
      <c r="D84" s="69">
        <f>SUM(D85)</f>
        <v>619000</v>
      </c>
      <c r="E84" s="69">
        <f>SUM(E85)</f>
        <v>0</v>
      </c>
      <c r="F84" s="69">
        <f>SUM(F85)</f>
        <v>0</v>
      </c>
      <c r="G84" s="69"/>
      <c r="H84" s="69">
        <f>SUM(H85)</f>
        <v>31989</v>
      </c>
      <c r="I84" s="69">
        <f>SUM(I85)</f>
        <v>0</v>
      </c>
      <c r="J84" s="69">
        <f>SUM(J85)</f>
        <v>0</v>
      </c>
      <c r="K84" s="236"/>
      <c r="L84" s="227">
        <f t="shared" si="51"/>
        <v>2.9896261682242992E-2</v>
      </c>
      <c r="M84" s="228">
        <f t="shared" si="52"/>
        <v>0</v>
      </c>
      <c r="N84" s="227">
        <f t="shared" si="53"/>
        <v>0</v>
      </c>
      <c r="O84" s="236"/>
      <c r="P84" s="236">
        <f t="shared" si="45"/>
        <v>-451000</v>
      </c>
      <c r="Q84" s="236">
        <f t="shared" si="46"/>
        <v>-619000</v>
      </c>
      <c r="R84" s="236">
        <f t="shared" si="47"/>
        <v>0</v>
      </c>
      <c r="S84" s="236">
        <f t="shared" si="48"/>
        <v>-1070000</v>
      </c>
      <c r="T84" s="287">
        <f t="shared" si="49"/>
        <v>-1</v>
      </c>
      <c r="U84" s="236"/>
      <c r="V84" s="281">
        <f t="shared" si="50"/>
        <v>0</v>
      </c>
      <c r="X84" s="38"/>
    </row>
    <row r="85" spans="1:24" x14ac:dyDescent="0.2">
      <c r="A85" s="14" t="s">
        <v>167</v>
      </c>
      <c r="B85" s="20" t="s">
        <v>387</v>
      </c>
      <c r="C85" s="70">
        <v>1070000</v>
      </c>
      <c r="D85" s="70">
        <v>619000</v>
      </c>
      <c r="E85" s="70">
        <v>0</v>
      </c>
      <c r="F85" s="70"/>
      <c r="G85" s="70"/>
      <c r="H85" s="152">
        <v>31989</v>
      </c>
      <c r="I85" s="70">
        <v>0</v>
      </c>
      <c r="J85" s="70"/>
      <c r="K85" s="70"/>
      <c r="L85" s="221">
        <f t="shared" ref="L85" si="55">IF(H85&gt;0,H85/C85,0)</f>
        <v>2.9896261682242992E-2</v>
      </c>
      <c r="M85" s="221">
        <f t="shared" ref="M85" si="56">IF(I85&gt;0,I85/D85,0)</f>
        <v>0</v>
      </c>
      <c r="N85" s="221">
        <f t="shared" ref="N85" si="57">IF(J85&gt;0,J85/E85,0)</f>
        <v>0</v>
      </c>
      <c r="O85" s="70"/>
      <c r="P85" s="83">
        <f t="shared" ref="P85" si="58">+(D85-C85)*P$10</f>
        <v>-451000</v>
      </c>
      <c r="Q85" s="83">
        <f t="shared" ref="Q85" si="59">+(E85-D85)*Q$10</f>
        <v>-619000</v>
      </c>
      <c r="R85" s="83">
        <f t="shared" ref="R85" si="60">+(F85-E85)*R$10</f>
        <v>0</v>
      </c>
      <c r="S85" s="83">
        <f t="shared" ref="S85" si="61">SUM(P85:R85)</f>
        <v>-1070000</v>
      </c>
      <c r="T85" s="304">
        <f t="shared" ref="T85" si="62">IF(C85=0,0,+S85/C85)</f>
        <v>-1</v>
      </c>
      <c r="U85" s="126"/>
      <c r="V85" s="208">
        <f t="shared" ref="V85" si="63">+S85-E85+C85</f>
        <v>0</v>
      </c>
    </row>
    <row r="86" spans="1:24" x14ac:dyDescent="0.2">
      <c r="A86" s="14"/>
      <c r="B86" s="14"/>
      <c r="C86" s="70"/>
      <c r="D86" s="70"/>
      <c r="E86" s="70"/>
      <c r="F86" s="70"/>
      <c r="G86" s="70"/>
      <c r="H86" s="70"/>
      <c r="I86" s="70"/>
      <c r="J86" s="70"/>
      <c r="K86" s="70"/>
      <c r="L86" s="219"/>
      <c r="M86" s="220"/>
      <c r="N86" s="219"/>
      <c r="O86" s="70"/>
      <c r="P86" s="70"/>
      <c r="Q86" s="70"/>
      <c r="R86" s="70"/>
      <c r="S86" s="70"/>
      <c r="T86" s="285"/>
      <c r="U86" s="70"/>
      <c r="V86" s="278"/>
    </row>
    <row r="87" spans="1:24" x14ac:dyDescent="0.2">
      <c r="A87" s="7" t="s">
        <v>173</v>
      </c>
      <c r="B87" s="5" t="s">
        <v>174</v>
      </c>
      <c r="C87" s="69">
        <f>+C88</f>
        <v>0</v>
      </c>
      <c r="D87" s="69">
        <f>SUM(D88)</f>
        <v>0</v>
      </c>
      <c r="E87" s="69">
        <f>SUM(E88)</f>
        <v>0</v>
      </c>
      <c r="F87" s="69">
        <f>SUM(F88)</f>
        <v>0</v>
      </c>
      <c r="G87" s="69"/>
      <c r="H87" s="69">
        <f>SUM(H88)</f>
        <v>0</v>
      </c>
      <c r="I87" s="69">
        <f>SUM(I88)</f>
        <v>0</v>
      </c>
      <c r="J87" s="69">
        <f>SUM(J88)</f>
        <v>0</v>
      </c>
      <c r="K87" s="69"/>
      <c r="L87" s="227">
        <f t="shared" si="51"/>
        <v>0</v>
      </c>
      <c r="M87" s="223" t="e">
        <f>+I87/E87</f>
        <v>#DIV/0!</v>
      </c>
      <c r="N87" s="222"/>
      <c r="O87" s="69"/>
      <c r="P87" s="69">
        <f t="shared" ref="P87:P88" si="64">+(D87-C87)*P$10</f>
        <v>0</v>
      </c>
      <c r="Q87" s="69">
        <f t="shared" ref="Q87:Q88" si="65">+(E87-D87)*Q$10</f>
        <v>0</v>
      </c>
      <c r="R87" s="69">
        <f t="shared" ref="R87:R88" si="66">+(F87-E87)*R$10</f>
        <v>0</v>
      </c>
      <c r="S87" s="69">
        <f t="shared" ref="S87:S88" si="67">SUM(P87:R87)</f>
        <v>0</v>
      </c>
      <c r="T87" s="284">
        <f t="shared" ref="T87:T88" si="68">IF(C87=0,0,+S87/C87)</f>
        <v>0</v>
      </c>
      <c r="U87" s="69"/>
      <c r="V87" s="279">
        <f t="shared" ref="V87:V88" si="69">+S87-E87+C87</f>
        <v>0</v>
      </c>
    </row>
    <row r="88" spans="1:24" x14ac:dyDescent="0.2">
      <c r="A88" s="14"/>
      <c r="B88" s="20"/>
      <c r="C88" s="70"/>
      <c r="D88" s="70"/>
      <c r="E88" s="70"/>
      <c r="F88" s="70"/>
      <c r="G88" s="70"/>
      <c r="H88" s="70"/>
      <c r="I88" s="70"/>
      <c r="J88" s="70"/>
      <c r="K88" s="70"/>
      <c r="L88" s="221">
        <f>IF(H88&gt;0,H88/C88,0)</f>
        <v>0</v>
      </c>
      <c r="M88" s="221">
        <f>IF(I88&gt;0,I88/D88,0)</f>
        <v>0</v>
      </c>
      <c r="N88" s="221">
        <f>IF(J88&gt;0,J88/E88,0)</f>
        <v>0</v>
      </c>
      <c r="O88" s="70"/>
      <c r="P88" s="83">
        <f t="shared" si="64"/>
        <v>0</v>
      </c>
      <c r="Q88" s="83">
        <f t="shared" si="65"/>
        <v>0</v>
      </c>
      <c r="R88" s="83">
        <f t="shared" si="66"/>
        <v>0</v>
      </c>
      <c r="S88" s="83">
        <f t="shared" si="67"/>
        <v>0</v>
      </c>
      <c r="T88" s="304">
        <f t="shared" si="68"/>
        <v>0</v>
      </c>
      <c r="U88" s="126"/>
      <c r="V88" s="208">
        <f t="shared" si="69"/>
        <v>0</v>
      </c>
    </row>
    <row r="89" spans="1:24" hidden="1" x14ac:dyDescent="0.2">
      <c r="A89" s="14"/>
      <c r="B89" s="14"/>
      <c r="C89" s="70"/>
      <c r="D89" s="70"/>
      <c r="E89" s="70"/>
      <c r="F89" s="70"/>
      <c r="G89" s="70"/>
      <c r="H89" s="70"/>
      <c r="I89" s="70"/>
      <c r="J89" s="70"/>
      <c r="K89" s="70"/>
      <c r="L89" s="219"/>
      <c r="M89" s="220"/>
      <c r="N89" s="219"/>
      <c r="O89" s="70"/>
      <c r="P89" s="70"/>
      <c r="Q89" s="70"/>
      <c r="R89" s="70"/>
      <c r="S89" s="70"/>
      <c r="T89" s="285"/>
      <c r="U89" s="70"/>
      <c r="V89" s="278"/>
    </row>
    <row r="90" spans="1:24" x14ac:dyDescent="0.2">
      <c r="A90" s="7"/>
      <c r="B90" s="5" t="s">
        <v>378</v>
      </c>
      <c r="C90" s="237">
        <f>C13+C30+C33+C84+C87</f>
        <v>171876100</v>
      </c>
      <c r="D90" s="237">
        <f t="shared" ref="D90:J90" si="70">D13+D30+D33+D84+D87</f>
        <v>173326100</v>
      </c>
      <c r="E90" s="237">
        <f t="shared" si="70"/>
        <v>0</v>
      </c>
      <c r="F90" s="237">
        <f t="shared" si="70"/>
        <v>0</v>
      </c>
      <c r="G90" s="237"/>
      <c r="H90" s="237">
        <f t="shared" si="70"/>
        <v>87833991</v>
      </c>
      <c r="I90" s="237">
        <f t="shared" si="70"/>
        <v>0</v>
      </c>
      <c r="J90" s="237">
        <f t="shared" si="70"/>
        <v>0</v>
      </c>
      <c r="K90" s="237"/>
      <c r="L90" s="229">
        <f t="shared" si="51"/>
        <v>0.5110308588570488</v>
      </c>
      <c r="M90" s="223">
        <f t="shared" si="52"/>
        <v>0</v>
      </c>
      <c r="N90" s="229">
        <f t="shared" si="53"/>
        <v>0</v>
      </c>
      <c r="O90" s="237"/>
      <c r="P90" s="237">
        <f>P13+P30+P33+P84</f>
        <v>1450000</v>
      </c>
      <c r="Q90" s="237">
        <f>Q13+Q30+Q33+Q84</f>
        <v>-173326100</v>
      </c>
      <c r="R90" s="237">
        <f>R13+R30+R33+R84</f>
        <v>0</v>
      </c>
      <c r="S90" s="237">
        <f>S13+S30+S33+S84</f>
        <v>-171876100</v>
      </c>
      <c r="T90" s="288">
        <f>T13+T30+T33+T84</f>
        <v>-4</v>
      </c>
      <c r="U90" s="237"/>
      <c r="V90" s="282"/>
      <c r="X90" s="38"/>
    </row>
    <row r="91" spans="1:24" ht="10.35" customHeight="1" x14ac:dyDescent="0.2">
      <c r="A91" s="25"/>
      <c r="B91" s="25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22"/>
      <c r="V91" s="208">
        <f t="shared" ref="V91" si="71">+S91-E91+C91</f>
        <v>0</v>
      </c>
      <c r="W91" s="128"/>
      <c r="X91" s="128"/>
    </row>
    <row r="92" spans="1:24" ht="10.35" customHeight="1" x14ac:dyDescent="0.2">
      <c r="A92" s="496"/>
      <c r="B92" s="496"/>
      <c r="C92" s="497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9"/>
      <c r="V92" s="500"/>
      <c r="W92" s="128"/>
      <c r="X92" s="128"/>
    </row>
    <row r="93" spans="1:24" s="43" customFormat="1" x14ac:dyDescent="0.2">
      <c r="A93" s="4" t="s">
        <v>241</v>
      </c>
      <c r="B93" s="3" t="s">
        <v>242</v>
      </c>
      <c r="C93" s="240">
        <f>SUM(C94:C94)</f>
        <v>0</v>
      </c>
      <c r="D93" s="240">
        <f>SUM(D94:D94)</f>
        <v>0</v>
      </c>
      <c r="E93" s="240">
        <f>SUM(E94:E94)</f>
        <v>0</v>
      </c>
      <c r="F93" s="240">
        <f>SUM(F94:F94)</f>
        <v>0</v>
      </c>
      <c r="G93" s="240"/>
      <c r="H93" s="240">
        <f>SUM(H94:H94)</f>
        <v>0</v>
      </c>
      <c r="I93" s="240">
        <f>SUM(I94:I94)</f>
        <v>0</v>
      </c>
      <c r="J93" s="240">
        <f>SUM(J94:J94)</f>
        <v>0</v>
      </c>
      <c r="K93" s="240"/>
      <c r="L93" s="233">
        <f t="shared" ref="L93:L94" si="72">IF(H93&gt;0,H93/C93,0)</f>
        <v>0</v>
      </c>
      <c r="M93" s="223">
        <f t="shared" ref="M93:M94" si="73">IF(I93&gt;0,I93/D93,0)</f>
        <v>0</v>
      </c>
      <c r="N93" s="233">
        <f t="shared" ref="N93:N94" si="74">IF(J93&gt;0,J93/E93,0)</f>
        <v>0</v>
      </c>
      <c r="O93" s="240"/>
      <c r="P93" s="240">
        <f t="shared" ref="P93:P94" si="75">+(D93-C93)*P$10</f>
        <v>0</v>
      </c>
      <c r="Q93" s="240">
        <f t="shared" ref="Q93:Q94" si="76">+(E93-D93)*Q$10</f>
        <v>0</v>
      </c>
      <c r="R93" s="240">
        <f t="shared" ref="R93:R94" si="77">+(F93-E93)*R$10</f>
        <v>0</v>
      </c>
      <c r="S93" s="240">
        <f t="shared" ref="S93:S94" si="78">SUM(P93:R93)</f>
        <v>0</v>
      </c>
      <c r="T93" s="289">
        <f t="shared" ref="T93:T94" si="79">IF(C93=0,0,+S93/C93)</f>
        <v>0</v>
      </c>
      <c r="U93" s="240"/>
      <c r="V93" s="283">
        <f t="shared" ref="V93:V94" si="80">+S93-E93+C93</f>
        <v>0</v>
      </c>
    </row>
    <row r="94" spans="1:24" x14ac:dyDescent="0.2">
      <c r="A94" s="14"/>
      <c r="B94" s="20"/>
      <c r="C94" s="241"/>
      <c r="D94" s="242"/>
      <c r="E94" s="242"/>
      <c r="F94" s="242"/>
      <c r="G94" s="242"/>
      <c r="H94" s="242"/>
      <c r="I94" s="242"/>
      <c r="J94" s="242"/>
      <c r="K94" s="242"/>
      <c r="L94" s="234">
        <f t="shared" si="72"/>
        <v>0</v>
      </c>
      <c r="M94" s="231">
        <f t="shared" si="73"/>
        <v>0</v>
      </c>
      <c r="N94" s="234">
        <f t="shared" si="74"/>
        <v>0</v>
      </c>
      <c r="O94" s="242"/>
      <c r="P94" s="83">
        <f t="shared" si="75"/>
        <v>0</v>
      </c>
      <c r="Q94" s="83">
        <f t="shared" si="76"/>
        <v>0</v>
      </c>
      <c r="R94" s="83">
        <f t="shared" si="77"/>
        <v>0</v>
      </c>
      <c r="S94" s="83">
        <f t="shared" si="78"/>
        <v>0</v>
      </c>
      <c r="T94" s="284">
        <f t="shared" si="79"/>
        <v>0</v>
      </c>
      <c r="U94" s="126"/>
      <c r="V94" s="208">
        <f t="shared" si="80"/>
        <v>0</v>
      </c>
    </row>
    <row r="95" spans="1:24" s="43" customFormat="1" x14ac:dyDescent="0.2">
      <c r="A95" s="4" t="s">
        <v>284</v>
      </c>
      <c r="B95" s="3" t="s">
        <v>285</v>
      </c>
      <c r="C95" s="240">
        <f>SUM(C96:C97)</f>
        <v>0</v>
      </c>
      <c r="D95" s="240">
        <f>SUM(D96:D98)</f>
        <v>6000</v>
      </c>
      <c r="E95" s="240">
        <f t="shared" ref="E95:F95" si="81">SUM(E96:E98)</f>
        <v>0</v>
      </c>
      <c r="F95" s="240">
        <f t="shared" si="81"/>
        <v>0</v>
      </c>
      <c r="G95" s="240"/>
      <c r="H95" s="240">
        <f>SUM(H96:H98)</f>
        <v>2952</v>
      </c>
      <c r="I95" s="240">
        <f>SUM(I96:I98)</f>
        <v>0</v>
      </c>
      <c r="J95" s="240">
        <f t="shared" ref="J95" si="82">SUM(J96:J97)</f>
        <v>0</v>
      </c>
      <c r="K95" s="240"/>
      <c r="L95" s="233" t="e">
        <f t="shared" si="51"/>
        <v>#DIV/0!</v>
      </c>
      <c r="M95" s="223">
        <f t="shared" si="52"/>
        <v>0</v>
      </c>
      <c r="N95" s="233">
        <f t="shared" si="53"/>
        <v>0</v>
      </c>
      <c r="O95" s="240"/>
      <c r="P95" s="240">
        <f t="shared" ref="P95" si="83">+(D95-C95)*P$10</f>
        <v>6000</v>
      </c>
      <c r="Q95" s="240">
        <f t="shared" ref="Q95" si="84">+(E95-D95)*Q$10</f>
        <v>-6000</v>
      </c>
      <c r="R95" s="240">
        <f t="shared" ref="R95" si="85">+(F95-E95)*R$10</f>
        <v>0</v>
      </c>
      <c r="S95" s="240">
        <f t="shared" ref="S95" si="86">SUM(P95:R95)</f>
        <v>0</v>
      </c>
      <c r="T95" s="289">
        <f t="shared" ref="T95" si="87">IF(C95=0,0,+S95/C95)</f>
        <v>0</v>
      </c>
      <c r="U95" s="240"/>
      <c r="V95" s="283">
        <f t="shared" ref="V95" si="88">+S95-E95+C95</f>
        <v>0</v>
      </c>
      <c r="W95" s="61" t="s">
        <v>403</v>
      </c>
    </row>
    <row r="96" spans="1:24" x14ac:dyDescent="0.2">
      <c r="A96" s="14" t="s">
        <v>296</v>
      </c>
      <c r="B96" s="20" t="s">
        <v>297</v>
      </c>
      <c r="C96" s="241"/>
      <c r="D96" s="241"/>
      <c r="E96" s="241"/>
      <c r="F96" s="241"/>
      <c r="G96" s="241"/>
      <c r="H96" s="241"/>
      <c r="I96" s="241"/>
      <c r="J96" s="241"/>
      <c r="K96" s="241"/>
      <c r="L96" s="230">
        <f t="shared" si="51"/>
        <v>0</v>
      </c>
      <c r="M96" s="231">
        <f t="shared" si="52"/>
        <v>0</v>
      </c>
      <c r="N96" s="230">
        <f t="shared" si="53"/>
        <v>0</v>
      </c>
      <c r="O96" s="241"/>
      <c r="P96" s="83">
        <f t="shared" ref="P96:R99" si="89">+(D96-C96)*P$10</f>
        <v>0</v>
      </c>
      <c r="Q96" s="83">
        <f t="shared" ref="Q96:Q99" si="90">+(E96-D96)*Q$10</f>
        <v>0</v>
      </c>
      <c r="R96" s="83">
        <f t="shared" ref="R96:R99" si="91">+(F96-E96)*R$10</f>
        <v>0</v>
      </c>
      <c r="S96" s="83">
        <f t="shared" ref="S96:S99" si="92">SUM(P96:R96)</f>
        <v>0</v>
      </c>
      <c r="T96" s="284">
        <f t="shared" ref="T96:T102" si="93">IF(C96=0,0,+S96/C96)</f>
        <v>0</v>
      </c>
      <c r="U96" s="126"/>
      <c r="V96" s="208">
        <f t="shared" ref="V96:V99" si="94">+S96-E96+C96</f>
        <v>0</v>
      </c>
    </row>
    <row r="97" spans="1:24" x14ac:dyDescent="0.2">
      <c r="A97" s="14" t="s">
        <v>299</v>
      </c>
      <c r="B97" s="20" t="s">
        <v>300</v>
      </c>
      <c r="C97" s="241"/>
      <c r="D97" s="241"/>
      <c r="E97" s="241"/>
      <c r="F97" s="241"/>
      <c r="G97" s="241"/>
      <c r="H97" s="241"/>
      <c r="I97" s="241"/>
      <c r="J97" s="241"/>
      <c r="K97" s="241"/>
      <c r="L97" s="230">
        <f t="shared" si="51"/>
        <v>0</v>
      </c>
      <c r="M97" s="232">
        <f t="shared" si="52"/>
        <v>0</v>
      </c>
      <c r="N97" s="230">
        <f t="shared" si="53"/>
        <v>0</v>
      </c>
      <c r="O97" s="241"/>
      <c r="P97" s="83">
        <f t="shared" si="89"/>
        <v>0</v>
      </c>
      <c r="Q97" s="83">
        <f t="shared" si="90"/>
        <v>0</v>
      </c>
      <c r="R97" s="83">
        <f t="shared" si="91"/>
        <v>0</v>
      </c>
      <c r="S97" s="83">
        <f t="shared" si="92"/>
        <v>0</v>
      </c>
      <c r="T97" s="284">
        <f t="shared" si="93"/>
        <v>0</v>
      </c>
      <c r="U97" s="126"/>
      <c r="V97" s="208">
        <f t="shared" si="94"/>
        <v>0</v>
      </c>
    </row>
    <row r="98" spans="1:24" x14ac:dyDescent="0.2">
      <c r="A98" s="560" t="s">
        <v>475</v>
      </c>
      <c r="B98" s="513" t="s">
        <v>474</v>
      </c>
      <c r="C98" s="73">
        <v>0</v>
      </c>
      <c r="D98" s="73">
        <v>6000</v>
      </c>
      <c r="E98" s="149">
        <v>0</v>
      </c>
      <c r="F98" s="73"/>
      <c r="G98" s="123"/>
      <c r="H98" s="102">
        <f>74+2878</f>
        <v>2952</v>
      </c>
      <c r="I98" s="102">
        <v>0</v>
      </c>
      <c r="J98" s="102"/>
      <c r="K98" s="123"/>
      <c r="L98" s="143" t="e">
        <f t="shared" si="51"/>
        <v>#DIV/0!</v>
      </c>
      <c r="M98" s="143">
        <f t="shared" si="51"/>
        <v>0</v>
      </c>
      <c r="N98" s="143">
        <f t="shared" si="51"/>
        <v>0</v>
      </c>
      <c r="O98" s="126"/>
      <c r="P98" s="83">
        <f t="shared" si="89"/>
        <v>6000</v>
      </c>
      <c r="Q98" s="83">
        <f t="shared" si="89"/>
        <v>-6000</v>
      </c>
      <c r="R98" s="83">
        <f t="shared" si="89"/>
        <v>0</v>
      </c>
      <c r="S98" s="83">
        <f t="shared" ref="S98" si="95">SUM(P98:R98)</f>
        <v>0</v>
      </c>
      <c r="T98" s="89">
        <f t="shared" si="93"/>
        <v>0</v>
      </c>
      <c r="U98" s="126"/>
      <c r="V98" s="208">
        <f t="shared" si="94"/>
        <v>0</v>
      </c>
      <c r="W98" s="128"/>
      <c r="X98" s="128"/>
    </row>
    <row r="99" spans="1:24" s="43" customFormat="1" x14ac:dyDescent="0.2">
      <c r="A99" s="4" t="s">
        <v>333</v>
      </c>
      <c r="B99" s="3" t="s">
        <v>334</v>
      </c>
      <c r="C99" s="240">
        <f>SUM(C100:C101)</f>
        <v>171876100</v>
      </c>
      <c r="D99" s="240">
        <f t="shared" ref="D99:F99" si="96">SUM(D100:D101)</f>
        <v>173320100</v>
      </c>
      <c r="E99" s="240">
        <f t="shared" si="96"/>
        <v>0</v>
      </c>
      <c r="F99" s="240">
        <f t="shared" si="96"/>
        <v>0</v>
      </c>
      <c r="G99" s="240"/>
      <c r="H99" s="240">
        <f t="shared" ref="H99" si="97">SUM(H100:H101)</f>
        <v>91729280</v>
      </c>
      <c r="I99" s="240">
        <f t="shared" ref="I99" si="98">SUM(I100:I101)</f>
        <v>0</v>
      </c>
      <c r="J99" s="240">
        <f t="shared" ref="J99" si="99">SUM(J100:J101)</f>
        <v>0</v>
      </c>
      <c r="K99" s="240"/>
      <c r="L99" s="233">
        <f t="shared" si="51"/>
        <v>0.53369421344794299</v>
      </c>
      <c r="M99" s="223">
        <f t="shared" si="52"/>
        <v>0</v>
      </c>
      <c r="N99" s="233">
        <f t="shared" si="53"/>
        <v>0</v>
      </c>
      <c r="O99" s="240"/>
      <c r="P99" s="240">
        <f t="shared" si="89"/>
        <v>1444000</v>
      </c>
      <c r="Q99" s="240">
        <f t="shared" si="90"/>
        <v>-173320100</v>
      </c>
      <c r="R99" s="240">
        <f t="shared" si="91"/>
        <v>0</v>
      </c>
      <c r="S99" s="240">
        <f t="shared" si="92"/>
        <v>-171876100</v>
      </c>
      <c r="T99" s="289">
        <f t="shared" si="93"/>
        <v>-1</v>
      </c>
      <c r="U99" s="240"/>
      <c r="V99" s="283">
        <f t="shared" si="94"/>
        <v>0</v>
      </c>
    </row>
    <row r="100" spans="1:24" x14ac:dyDescent="0.2">
      <c r="A100" s="14" t="s">
        <v>359</v>
      </c>
      <c r="B100" s="20" t="s">
        <v>388</v>
      </c>
      <c r="C100" s="149">
        <v>171295092</v>
      </c>
      <c r="D100" s="242">
        <v>172739092</v>
      </c>
      <c r="E100" s="242">
        <v>0</v>
      </c>
      <c r="F100" s="242"/>
      <c r="G100" s="242"/>
      <c r="H100" s="242">
        <v>91148272</v>
      </c>
      <c r="I100" s="242">
        <v>0</v>
      </c>
      <c r="J100" s="242"/>
      <c r="K100" s="242"/>
      <c r="L100" s="234">
        <f t="shared" si="51"/>
        <v>0.53211257214538288</v>
      </c>
      <c r="M100" s="231">
        <f t="shared" si="52"/>
        <v>0</v>
      </c>
      <c r="N100" s="234">
        <f t="shared" si="53"/>
        <v>0</v>
      </c>
      <c r="O100" s="242"/>
      <c r="P100" s="83">
        <f t="shared" ref="P100:P102" si="100">+(D100-C100)*P$10</f>
        <v>1444000</v>
      </c>
      <c r="Q100" s="83">
        <f t="shared" ref="Q100:Q102" si="101">+(E100-D100)*Q$10</f>
        <v>-172739092</v>
      </c>
      <c r="R100" s="83">
        <f t="shared" ref="R100:R102" si="102">+(F100-E100)*R$10</f>
        <v>0</v>
      </c>
      <c r="S100" s="83">
        <f t="shared" ref="S100:S102" si="103">SUM(P100:R100)</f>
        <v>-171295092</v>
      </c>
      <c r="T100" s="284">
        <f t="shared" si="93"/>
        <v>-1</v>
      </c>
      <c r="U100" s="126"/>
      <c r="V100" s="208">
        <f t="shared" ref="V100:V102" si="104">+S100-E100+C100</f>
        <v>0</v>
      </c>
    </row>
    <row r="101" spans="1:24" x14ac:dyDescent="0.2">
      <c r="A101" s="14" t="s">
        <v>347</v>
      </c>
      <c r="B101" s="20" t="s">
        <v>348</v>
      </c>
      <c r="C101" s="626">
        <v>581008</v>
      </c>
      <c r="D101" s="242">
        <v>581008</v>
      </c>
      <c r="E101" s="242">
        <v>0</v>
      </c>
      <c r="F101" s="242"/>
      <c r="G101" s="242"/>
      <c r="H101" s="241">
        <v>581008</v>
      </c>
      <c r="I101" s="241">
        <v>0</v>
      </c>
      <c r="J101" s="241"/>
      <c r="K101" s="242"/>
      <c r="L101" s="230">
        <f t="shared" si="51"/>
        <v>1</v>
      </c>
      <c r="M101" s="232">
        <f t="shared" si="52"/>
        <v>0</v>
      </c>
      <c r="N101" s="230">
        <f t="shared" si="53"/>
        <v>0</v>
      </c>
      <c r="O101" s="242"/>
      <c r="P101" s="83">
        <f t="shared" si="100"/>
        <v>0</v>
      </c>
      <c r="Q101" s="83">
        <f t="shared" si="101"/>
        <v>-581008</v>
      </c>
      <c r="R101" s="83">
        <f t="shared" si="102"/>
        <v>0</v>
      </c>
      <c r="S101" s="83">
        <f t="shared" si="103"/>
        <v>-581008</v>
      </c>
      <c r="T101" s="284">
        <f t="shared" si="93"/>
        <v>-1</v>
      </c>
      <c r="U101" s="126"/>
      <c r="V101" s="208">
        <f t="shared" si="104"/>
        <v>0</v>
      </c>
    </row>
    <row r="102" spans="1:24" x14ac:dyDescent="0.2">
      <c r="A102" s="5"/>
      <c r="B102" s="5" t="s">
        <v>377</v>
      </c>
      <c r="C102" s="237">
        <f>+C95+C99+C93</f>
        <v>171876100</v>
      </c>
      <c r="D102" s="237">
        <f>+D95+D99+D93</f>
        <v>173326100</v>
      </c>
      <c r="E102" s="237">
        <f>+E95+E99+E93</f>
        <v>0</v>
      </c>
      <c r="F102" s="237">
        <f>+F95+F99+F93</f>
        <v>0</v>
      </c>
      <c r="G102" s="237"/>
      <c r="H102" s="237">
        <f>+H95+H99+H93</f>
        <v>91732232</v>
      </c>
      <c r="I102" s="237">
        <f>+I95+I99+I93</f>
        <v>0</v>
      </c>
      <c r="J102" s="237">
        <f>+J95+J99+J93</f>
        <v>0</v>
      </c>
      <c r="K102" s="237"/>
      <c r="L102" s="229">
        <f t="shared" si="51"/>
        <v>0.53371138861074929</v>
      </c>
      <c r="M102" s="223">
        <f t="shared" si="52"/>
        <v>0</v>
      </c>
      <c r="N102" s="229">
        <f t="shared" si="53"/>
        <v>0</v>
      </c>
      <c r="O102" s="237"/>
      <c r="P102" s="237">
        <f t="shared" si="100"/>
        <v>1450000</v>
      </c>
      <c r="Q102" s="237">
        <f t="shared" si="101"/>
        <v>-173326100</v>
      </c>
      <c r="R102" s="237">
        <f t="shared" si="102"/>
        <v>0</v>
      </c>
      <c r="S102" s="237">
        <f t="shared" si="103"/>
        <v>-171876100</v>
      </c>
      <c r="T102" s="288">
        <f t="shared" si="93"/>
        <v>-1</v>
      </c>
      <c r="U102" s="237"/>
      <c r="V102" s="282">
        <f t="shared" si="104"/>
        <v>0</v>
      </c>
    </row>
    <row r="103" spans="1:24" x14ac:dyDescent="0.2">
      <c r="B103" s="25"/>
      <c r="C103" s="103"/>
      <c r="D103" s="104"/>
      <c r="E103" s="104"/>
      <c r="F103" s="104"/>
      <c r="G103" s="104"/>
      <c r="H103" s="104"/>
      <c r="I103" s="104"/>
      <c r="J103" s="104"/>
      <c r="K103" s="104"/>
      <c r="O103" s="104"/>
      <c r="P103" s="104"/>
      <c r="Q103" s="104"/>
      <c r="R103" s="104"/>
      <c r="S103" s="104"/>
      <c r="T103" s="104"/>
      <c r="U103" s="104"/>
      <c r="V103" s="129"/>
    </row>
    <row r="104" spans="1:24" x14ac:dyDescent="0.2">
      <c r="B104" s="25"/>
      <c r="C104" s="103">
        <f>+C90-C101</f>
        <v>171295092</v>
      </c>
      <c r="D104" s="104"/>
      <c r="E104" s="104"/>
      <c r="F104" s="104"/>
      <c r="G104" s="104"/>
      <c r="H104" s="104"/>
      <c r="I104" s="104"/>
      <c r="J104" s="104"/>
      <c r="K104" s="104"/>
      <c r="O104" s="104"/>
      <c r="P104" s="104"/>
      <c r="Q104" s="104"/>
      <c r="R104" s="104"/>
      <c r="S104" s="104"/>
      <c r="T104" s="104"/>
      <c r="U104" s="104"/>
      <c r="V104" s="129"/>
    </row>
    <row r="105" spans="1:24" x14ac:dyDescent="0.2">
      <c r="B105" s="25"/>
      <c r="C105" s="17"/>
      <c r="V105" s="129"/>
    </row>
    <row r="106" spans="1:24" x14ac:dyDescent="0.2">
      <c r="B106" s="25"/>
      <c r="C106" s="17"/>
      <c r="D106" s="19"/>
      <c r="E106" s="19"/>
      <c r="F106" s="19"/>
      <c r="G106" s="19"/>
      <c r="K106" s="19"/>
      <c r="O106" s="19"/>
      <c r="V106" s="129"/>
    </row>
    <row r="107" spans="1:24" x14ac:dyDescent="0.2">
      <c r="A107" s="61" t="s">
        <v>359</v>
      </c>
      <c r="B107" s="61" t="s">
        <v>536</v>
      </c>
      <c r="C107" s="149">
        <v>167733010</v>
      </c>
      <c r="V107" s="129"/>
    </row>
    <row r="108" spans="1:24" x14ac:dyDescent="0.2">
      <c r="B108" s="25"/>
      <c r="C108" s="17"/>
      <c r="V108" s="129"/>
    </row>
    <row r="109" spans="1:24" x14ac:dyDescent="0.2">
      <c r="B109" s="25"/>
      <c r="C109" s="17"/>
    </row>
    <row r="110" spans="1:24" x14ac:dyDescent="0.2">
      <c r="B110" s="25"/>
      <c r="C110" s="17">
        <f>+C104-C107</f>
        <v>3562082</v>
      </c>
    </row>
    <row r="111" spans="1:24" x14ac:dyDescent="0.2">
      <c r="B111" s="25"/>
      <c r="C111" s="17"/>
    </row>
    <row r="112" spans="1:24" x14ac:dyDescent="0.2">
      <c r="B112" s="25"/>
      <c r="C112" s="17"/>
    </row>
    <row r="113" spans="1:3" x14ac:dyDescent="0.2">
      <c r="B113" s="25"/>
      <c r="C113" s="17"/>
    </row>
    <row r="114" spans="1:3" x14ac:dyDescent="0.2">
      <c r="B114" s="25"/>
      <c r="C114" s="17"/>
    </row>
    <row r="115" spans="1:3" x14ac:dyDescent="0.2">
      <c r="B115" s="25"/>
      <c r="C115" s="17"/>
    </row>
    <row r="116" spans="1:3" x14ac:dyDescent="0.2">
      <c r="B116" s="25"/>
      <c r="C116" s="17"/>
    </row>
    <row r="117" spans="1:3" x14ac:dyDescent="0.2">
      <c r="C117" s="17"/>
    </row>
    <row r="118" spans="1:3" x14ac:dyDescent="0.2">
      <c r="A118" s="30"/>
      <c r="B118" s="26"/>
      <c r="C118" s="17"/>
    </row>
    <row r="119" spans="1:3" x14ac:dyDescent="0.2">
      <c r="B119" s="25"/>
      <c r="C119" s="17"/>
    </row>
    <row r="120" spans="1:3" x14ac:dyDescent="0.2">
      <c r="B120" s="25"/>
      <c r="C120" s="17"/>
    </row>
    <row r="121" spans="1:3" x14ac:dyDescent="0.2">
      <c r="B121" s="25"/>
      <c r="C121" s="17"/>
    </row>
    <row r="122" spans="1:3" x14ac:dyDescent="0.2">
      <c r="B122" s="25"/>
      <c r="C122" s="17"/>
    </row>
    <row r="123" spans="1:3" x14ac:dyDescent="0.2">
      <c r="B123" s="25"/>
      <c r="C123" s="17"/>
    </row>
    <row r="124" spans="1:3" x14ac:dyDescent="0.2">
      <c r="B124" s="25"/>
      <c r="C124" s="17"/>
    </row>
    <row r="125" spans="1:3" x14ac:dyDescent="0.2">
      <c r="B125" s="25"/>
      <c r="C125" s="17"/>
    </row>
    <row r="126" spans="1:3" x14ac:dyDescent="0.2">
      <c r="B126" s="25"/>
      <c r="C126" s="17"/>
    </row>
    <row r="127" spans="1:3" x14ac:dyDescent="0.2">
      <c r="B127" s="25"/>
      <c r="C127" s="17"/>
    </row>
    <row r="128" spans="1:3" x14ac:dyDescent="0.2">
      <c r="C128" s="17"/>
    </row>
    <row r="129" spans="1:3" x14ac:dyDescent="0.2">
      <c r="A129" s="30"/>
      <c r="B129" s="26"/>
      <c r="C129" s="17"/>
    </row>
    <row r="130" spans="1:3" x14ac:dyDescent="0.2">
      <c r="B130" s="25"/>
      <c r="C130" s="17"/>
    </row>
    <row r="131" spans="1:3" x14ac:dyDescent="0.2">
      <c r="B131" s="25"/>
      <c r="C131" s="17"/>
    </row>
    <row r="132" spans="1:3" x14ac:dyDescent="0.2">
      <c r="B132" s="25"/>
      <c r="C132" s="17"/>
    </row>
    <row r="133" spans="1:3" x14ac:dyDescent="0.2">
      <c r="B133" s="25"/>
      <c r="C133" s="17"/>
    </row>
    <row r="134" spans="1:3" x14ac:dyDescent="0.2">
      <c r="B134" s="25"/>
      <c r="C134" s="17"/>
    </row>
    <row r="135" spans="1:3" x14ac:dyDescent="0.2">
      <c r="B135" s="25"/>
      <c r="C135" s="17"/>
    </row>
    <row r="136" spans="1:3" x14ac:dyDescent="0.2">
      <c r="B136" s="25"/>
      <c r="C136" s="17"/>
    </row>
    <row r="137" spans="1:3" x14ac:dyDescent="0.2">
      <c r="C137" s="17"/>
    </row>
    <row r="138" spans="1:3" x14ac:dyDescent="0.2">
      <c r="A138" s="30"/>
      <c r="B138" s="26"/>
      <c r="C138" s="17"/>
    </row>
    <row r="139" spans="1:3" x14ac:dyDescent="0.2">
      <c r="B139" s="25"/>
      <c r="C139" s="17"/>
    </row>
    <row r="140" spans="1:3" x14ac:dyDescent="0.2">
      <c r="B140" s="25"/>
      <c r="C140" s="17"/>
    </row>
    <row r="141" spans="1:3" x14ac:dyDescent="0.2">
      <c r="B141" s="25"/>
      <c r="C141" s="17"/>
    </row>
    <row r="142" spans="1:3" x14ac:dyDescent="0.2">
      <c r="B142" s="25"/>
      <c r="C142" s="17"/>
    </row>
    <row r="143" spans="1:3" x14ac:dyDescent="0.2">
      <c r="C143" s="17"/>
    </row>
    <row r="144" spans="1:3" x14ac:dyDescent="0.2">
      <c r="A144" s="30"/>
      <c r="B144" s="26"/>
      <c r="C144" s="17"/>
    </row>
    <row r="145" spans="1:3" x14ac:dyDescent="0.2">
      <c r="B145" s="25"/>
      <c r="C145" s="17"/>
    </row>
    <row r="146" spans="1:3" x14ac:dyDescent="0.2">
      <c r="B146" s="25"/>
      <c r="C146" s="17"/>
    </row>
    <row r="147" spans="1:3" x14ac:dyDescent="0.2">
      <c r="B147" s="25"/>
      <c r="C147" s="17"/>
    </row>
    <row r="148" spans="1:3" x14ac:dyDescent="0.2">
      <c r="B148" s="25"/>
      <c r="C148" s="17"/>
    </row>
    <row r="149" spans="1:3" x14ac:dyDescent="0.2">
      <c r="B149" s="25"/>
      <c r="C149" s="17"/>
    </row>
    <row r="150" spans="1:3" x14ac:dyDescent="0.2">
      <c r="B150" s="25"/>
      <c r="C150" s="17"/>
    </row>
    <row r="151" spans="1:3" x14ac:dyDescent="0.2">
      <c r="B151" s="25"/>
      <c r="C151" s="17"/>
    </row>
    <row r="152" spans="1:3" x14ac:dyDescent="0.2">
      <c r="B152" s="25"/>
      <c r="C152" s="17"/>
    </row>
    <row r="153" spans="1:3" x14ac:dyDescent="0.2">
      <c r="C153" s="17"/>
    </row>
    <row r="154" spans="1:3" x14ac:dyDescent="0.2">
      <c r="A154" s="30"/>
      <c r="B154" s="26"/>
      <c r="C154" s="17"/>
    </row>
    <row r="155" spans="1:3" x14ac:dyDescent="0.2">
      <c r="B155" s="25"/>
      <c r="C155" s="17"/>
    </row>
    <row r="156" spans="1:3" x14ac:dyDescent="0.2">
      <c r="B156" s="25"/>
      <c r="C156" s="17"/>
    </row>
    <row r="157" spans="1:3" x14ac:dyDescent="0.2">
      <c r="B157" s="25"/>
      <c r="C157" s="17"/>
    </row>
    <row r="158" spans="1:3" x14ac:dyDescent="0.2">
      <c r="B158" s="25"/>
      <c r="C158" s="17"/>
    </row>
    <row r="159" spans="1:3" x14ac:dyDescent="0.2">
      <c r="B159" s="25"/>
      <c r="C159" s="17"/>
    </row>
    <row r="160" spans="1:3" x14ac:dyDescent="0.2">
      <c r="B160" s="25"/>
      <c r="C160" s="17"/>
    </row>
    <row r="161" spans="2:3" x14ac:dyDescent="0.2">
      <c r="B161" s="25"/>
      <c r="C161" s="17"/>
    </row>
    <row r="162" spans="2:3" x14ac:dyDescent="0.2">
      <c r="B162" s="25"/>
      <c r="C162" s="17"/>
    </row>
    <row r="163" spans="2:3" x14ac:dyDescent="0.2">
      <c r="B163" s="25"/>
      <c r="C163" s="17"/>
    </row>
    <row r="164" spans="2:3" x14ac:dyDescent="0.2">
      <c r="B164" s="25"/>
      <c r="C164" s="17"/>
    </row>
    <row r="165" spans="2:3" x14ac:dyDescent="0.2">
      <c r="B165" s="25"/>
      <c r="C165" s="17"/>
    </row>
    <row r="166" spans="2:3" x14ac:dyDescent="0.2">
      <c r="B166" s="25"/>
      <c r="C166" s="17"/>
    </row>
    <row r="167" spans="2:3" x14ac:dyDescent="0.2">
      <c r="B167" s="25"/>
      <c r="C167" s="17"/>
    </row>
    <row r="168" spans="2:3" x14ac:dyDescent="0.2">
      <c r="B168" s="25"/>
      <c r="C168" s="17"/>
    </row>
    <row r="169" spans="2:3" x14ac:dyDescent="0.2">
      <c r="B169" s="25"/>
      <c r="C169" s="17"/>
    </row>
    <row r="170" spans="2:3" x14ac:dyDescent="0.2">
      <c r="B170" s="25"/>
      <c r="C170" s="17"/>
    </row>
    <row r="171" spans="2:3" x14ac:dyDescent="0.2">
      <c r="B171" s="25"/>
      <c r="C171" s="17"/>
    </row>
    <row r="172" spans="2:3" x14ac:dyDescent="0.2">
      <c r="B172" s="25"/>
      <c r="C172" s="17"/>
    </row>
    <row r="173" spans="2:3" x14ac:dyDescent="0.2">
      <c r="B173" s="25"/>
      <c r="C173" s="17"/>
    </row>
    <row r="174" spans="2:3" x14ac:dyDescent="0.2">
      <c r="B174" s="25"/>
      <c r="C174" s="17"/>
    </row>
    <row r="175" spans="2:3" x14ac:dyDescent="0.2">
      <c r="B175" s="25"/>
      <c r="C175" s="17"/>
    </row>
    <row r="176" spans="2:3" x14ac:dyDescent="0.2">
      <c r="C176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1" fitToHeight="0" orientation="landscape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"/>
  <sheetViews>
    <sheetView view="pageBreakPreview" zoomScaleNormal="65" zoomScaleSheetLayoutView="100" workbookViewId="0">
      <selection activeCell="A2" sqref="A2"/>
    </sheetView>
  </sheetViews>
  <sheetFormatPr defaultRowHeight="12.75" customHeight="1" x14ac:dyDescent="0.2"/>
  <cols>
    <col min="1" max="1" width="7.42578125" style="13" customWidth="1"/>
    <col min="2" max="2" width="55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1.5703125" customWidth="1"/>
    <col min="22" max="22" width="4.5703125" customWidth="1"/>
  </cols>
  <sheetData>
    <row r="1" spans="1:26" ht="26.25" x14ac:dyDescent="0.4">
      <c r="A1" s="250" t="s">
        <v>432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FÉLÉVES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290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54963000</v>
      </c>
      <c r="D5" s="273">
        <f t="shared" ref="D5:E5" si="0">+D89</f>
        <v>54963000</v>
      </c>
      <c r="E5" s="273">
        <f t="shared" si="0"/>
        <v>0</v>
      </c>
      <c r="F5" s="273">
        <f>+F89</f>
        <v>0</v>
      </c>
      <c r="G5" s="273"/>
      <c r="H5" s="273">
        <f>+H89</f>
        <v>25355939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0.4613274202645416</v>
      </c>
      <c r="M5" s="32">
        <f t="shared" si="2"/>
        <v>0</v>
      </c>
      <c r="N5" s="32">
        <f t="shared" si="2"/>
        <v>0</v>
      </c>
      <c r="O5" s="32"/>
      <c r="P5" s="273">
        <f>+P89</f>
        <v>0</v>
      </c>
      <c r="Q5" s="273">
        <f>+Q89</f>
        <v>-54963000</v>
      </c>
      <c r="R5" s="273">
        <f>+R89</f>
        <v>0</v>
      </c>
      <c r="S5" s="273">
        <f>+S89</f>
        <v>-54963000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54963000</v>
      </c>
      <c r="D6" s="275">
        <f t="shared" ref="D6:F6" si="4">+D102</f>
        <v>54963000</v>
      </c>
      <c r="E6" s="275">
        <f t="shared" si="4"/>
        <v>0</v>
      </c>
      <c r="F6" s="275">
        <f t="shared" si="4"/>
        <v>0</v>
      </c>
      <c r="G6" s="275"/>
      <c r="H6" s="275">
        <f t="shared" ref="H6:J6" si="5">+H102</f>
        <v>29847957</v>
      </c>
      <c r="I6" s="275">
        <f t="shared" si="5"/>
        <v>0</v>
      </c>
      <c r="J6" s="275">
        <f t="shared" si="5"/>
        <v>0</v>
      </c>
      <c r="K6" s="69"/>
      <c r="L6" s="32">
        <f t="shared" si="2"/>
        <v>0.54305545548823753</v>
      </c>
      <c r="M6" s="32">
        <f t="shared" si="2"/>
        <v>0</v>
      </c>
      <c r="N6" s="32">
        <f t="shared" si="2"/>
        <v>0</v>
      </c>
      <c r="O6" s="32"/>
      <c r="P6" s="275">
        <f t="shared" ref="P6:S6" si="6">+P102</f>
        <v>0</v>
      </c>
      <c r="Q6" s="275">
        <f t="shared" si="6"/>
        <v>-54963000</v>
      </c>
      <c r="R6" s="275">
        <f t="shared" si="6"/>
        <v>0</v>
      </c>
      <c r="S6" s="275">
        <f t="shared" si="6"/>
        <v>-54963000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6" ht="20.100000000000001" customHeight="1" x14ac:dyDescent="0.25">
      <c r="A7" s="274"/>
      <c r="B7" s="274" t="s">
        <v>413</v>
      </c>
      <c r="C7" s="275">
        <f>+C6-C5</f>
        <v>0</v>
      </c>
      <c r="D7" s="275">
        <f t="shared" ref="D7:H7" si="7">+D6-D5</f>
        <v>0</v>
      </c>
      <c r="E7" s="275">
        <f t="shared" si="7"/>
        <v>0</v>
      </c>
      <c r="F7" s="275">
        <f t="shared" si="7"/>
        <v>0</v>
      </c>
      <c r="G7" s="275"/>
      <c r="H7" s="275">
        <f t="shared" si="7"/>
        <v>4492018</v>
      </c>
      <c r="I7" s="275">
        <f>+I6-I5</f>
        <v>0</v>
      </c>
      <c r="J7" s="275">
        <f t="shared" ref="J7" si="8">+J6-J5</f>
        <v>0</v>
      </c>
      <c r="K7" s="69"/>
      <c r="L7" s="32"/>
      <c r="M7" s="32"/>
      <c r="N7" s="32"/>
      <c r="O7" s="32"/>
      <c r="P7" s="275">
        <f t="shared" ref="P7:S7" si="9">+P6-P5</f>
        <v>0</v>
      </c>
      <c r="Q7" s="275">
        <f t="shared" si="9"/>
        <v>0</v>
      </c>
      <c r="R7" s="275">
        <f t="shared" si="9"/>
        <v>0</v>
      </c>
      <c r="S7" s="275">
        <f t="shared" si="9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716" t="s">
        <v>412</v>
      </c>
      <c r="D9" s="721"/>
      <c r="E9" s="721"/>
      <c r="F9" s="722"/>
      <c r="G9" s="165"/>
      <c r="H9" s="716" t="s">
        <v>411</v>
      </c>
      <c r="I9" s="721"/>
      <c r="J9" s="721"/>
      <c r="K9" s="721"/>
      <c r="L9" s="721"/>
      <c r="M9" s="721"/>
      <c r="N9" s="722"/>
      <c r="O9" s="165"/>
      <c r="P9" s="716" t="s">
        <v>408</v>
      </c>
      <c r="Q9" s="721"/>
      <c r="R9" s="721"/>
      <c r="S9" s="721"/>
      <c r="T9" s="722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713" t="s">
        <v>425</v>
      </c>
      <c r="I10" s="723"/>
      <c r="J10" s="724"/>
      <c r="K10" s="140"/>
      <c r="L10" s="713" t="s">
        <v>424</v>
      </c>
      <c r="M10" s="723"/>
      <c r="N10" s="724"/>
      <c r="O10" s="141"/>
      <c r="P10" s="134">
        <f>+'3. Önk. Kiadások'!P8</f>
        <v>1</v>
      </c>
      <c r="Q10" s="134">
        <f>+'3. Önk. Kiadások'!Q8</f>
        <v>1</v>
      </c>
      <c r="R10" s="134">
        <f>+'3. Önk. Kiadások'!R8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373</v>
      </c>
      <c r="B11" s="27" t="s">
        <v>371</v>
      </c>
      <c r="C11" s="551" t="s">
        <v>483</v>
      </c>
      <c r="D11" s="388" t="s">
        <v>484</v>
      </c>
      <c r="E11" s="388" t="s">
        <v>485</v>
      </c>
      <c r="F11" s="552" t="s">
        <v>486</v>
      </c>
      <c r="G11" s="388"/>
      <c r="H11" s="525" t="s">
        <v>487</v>
      </c>
      <c r="I11" s="389" t="s">
        <v>488</v>
      </c>
      <c r="J11" s="389" t="s">
        <v>489</v>
      </c>
      <c r="K11" s="388"/>
      <c r="L11" s="390" t="s">
        <v>490</v>
      </c>
      <c r="M11" s="390" t="s">
        <v>494</v>
      </c>
      <c r="N11" s="526" t="s">
        <v>495</v>
      </c>
      <c r="O11" s="388"/>
      <c r="P11" s="525" t="s">
        <v>491</v>
      </c>
      <c r="Q11" s="389" t="s">
        <v>493</v>
      </c>
      <c r="R11" s="389" t="s">
        <v>492</v>
      </c>
      <c r="S11" s="389" t="s">
        <v>409</v>
      </c>
      <c r="T11" s="526" t="s">
        <v>410</v>
      </c>
      <c r="U11" s="202"/>
      <c r="V11" s="138" t="s">
        <v>414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70"/>
      <c r="Q12" s="70"/>
      <c r="R12" s="70"/>
      <c r="S12" s="70"/>
      <c r="T12" s="70"/>
      <c r="U12" s="70"/>
      <c r="V12" s="278"/>
    </row>
    <row r="13" spans="1:26" ht="12.75" customHeight="1" x14ac:dyDescent="0.2">
      <c r="A13" s="7" t="s">
        <v>0</v>
      </c>
      <c r="B13" s="5" t="s">
        <v>3</v>
      </c>
      <c r="C13" s="294">
        <f>SUM(C14:C28)</f>
        <v>36545000</v>
      </c>
      <c r="D13" s="294">
        <f t="shared" ref="D13:K13" si="10">SUM(D14:D28)</f>
        <v>36593000</v>
      </c>
      <c r="E13" s="294">
        <f t="shared" si="10"/>
        <v>0</v>
      </c>
      <c r="F13" s="294">
        <f t="shared" si="10"/>
        <v>0</v>
      </c>
      <c r="G13" s="294"/>
      <c r="H13" s="294">
        <f t="shared" si="10"/>
        <v>17008819</v>
      </c>
      <c r="I13" s="294">
        <f t="shared" si="10"/>
        <v>0</v>
      </c>
      <c r="J13" s="294">
        <f t="shared" si="10"/>
        <v>0</v>
      </c>
      <c r="K13" s="294">
        <f t="shared" si="10"/>
        <v>0</v>
      </c>
      <c r="L13" s="89">
        <f t="shared" ref="L13:N76" si="11">IF(H13&gt;0,H13/C13,0)</f>
        <v>0.46542123409495145</v>
      </c>
      <c r="M13" s="89">
        <f t="shared" si="11"/>
        <v>0</v>
      </c>
      <c r="N13" s="89">
        <f t="shared" si="11"/>
        <v>0</v>
      </c>
      <c r="O13" s="294"/>
      <c r="P13" s="294">
        <f t="shared" ref="P13:P27" si="12">+(D13-C13)*P$10</f>
        <v>48000</v>
      </c>
      <c r="Q13" s="294">
        <f t="shared" ref="Q13:Q27" si="13">+(E13-D13)*Q$10</f>
        <v>-36593000</v>
      </c>
      <c r="R13" s="294">
        <f t="shared" ref="R13:R27" si="14">+(F13-E13)*R$10</f>
        <v>0</v>
      </c>
      <c r="S13" s="294">
        <f t="shared" ref="S13:S27" si="15">SUM(P13:R13)</f>
        <v>-36545000</v>
      </c>
      <c r="T13" s="305">
        <f t="shared" ref="T13:T14" si="16">IF(C13=0,0,+S13/C13)</f>
        <v>-1</v>
      </c>
      <c r="U13" s="126"/>
      <c r="V13" s="208">
        <f t="shared" ref="V13:V14" si="17">+S13-E13+C13</f>
        <v>0</v>
      </c>
    </row>
    <row r="14" spans="1:26" ht="12.75" customHeight="1" x14ac:dyDescent="0.2">
      <c r="A14" s="14" t="s">
        <v>1</v>
      </c>
      <c r="B14" s="20"/>
      <c r="C14" s="295"/>
      <c r="D14" s="295"/>
      <c r="E14" s="295"/>
      <c r="F14" s="295"/>
      <c r="G14" s="295"/>
      <c r="H14" s="296"/>
      <c r="I14" s="296"/>
      <c r="J14" s="296"/>
      <c r="K14" s="295"/>
      <c r="L14" s="142">
        <f t="shared" si="11"/>
        <v>0</v>
      </c>
      <c r="M14" s="142">
        <f t="shared" si="11"/>
        <v>0</v>
      </c>
      <c r="N14" s="142">
        <f t="shared" si="11"/>
        <v>0</v>
      </c>
      <c r="O14" s="295"/>
      <c r="P14" s="83">
        <f t="shared" si="12"/>
        <v>0</v>
      </c>
      <c r="Q14" s="83">
        <f t="shared" si="13"/>
        <v>0</v>
      </c>
      <c r="R14" s="83">
        <f t="shared" si="14"/>
        <v>0</v>
      </c>
      <c r="S14" s="83">
        <f t="shared" si="15"/>
        <v>0</v>
      </c>
      <c r="T14" s="304">
        <f t="shared" si="16"/>
        <v>0</v>
      </c>
      <c r="U14" s="126"/>
      <c r="V14" s="208">
        <f t="shared" si="17"/>
        <v>0</v>
      </c>
    </row>
    <row r="15" spans="1:26" ht="12.75" customHeight="1" x14ac:dyDescent="0.2">
      <c r="A15" s="14" t="s">
        <v>2</v>
      </c>
      <c r="B15" s="513" t="s">
        <v>362</v>
      </c>
      <c r="C15" s="295">
        <v>34599000</v>
      </c>
      <c r="D15" s="295">
        <v>34373000</v>
      </c>
      <c r="E15" s="295">
        <v>0</v>
      </c>
      <c r="F15" s="295"/>
      <c r="G15" s="295"/>
      <c r="H15" s="296">
        <v>15987570</v>
      </c>
      <c r="I15" s="296">
        <v>0</v>
      </c>
      <c r="J15" s="296"/>
      <c r="K15" s="295"/>
      <c r="L15" s="143">
        <f t="shared" si="11"/>
        <v>0.46208185207664959</v>
      </c>
      <c r="M15" s="143">
        <f t="shared" si="11"/>
        <v>0</v>
      </c>
      <c r="N15" s="143">
        <f t="shared" si="11"/>
        <v>0</v>
      </c>
      <c r="O15" s="295"/>
      <c r="P15" s="83">
        <f t="shared" si="12"/>
        <v>-226000</v>
      </c>
      <c r="Q15" s="83">
        <f t="shared" si="13"/>
        <v>-34373000</v>
      </c>
      <c r="R15" s="83">
        <f t="shared" si="14"/>
        <v>0</v>
      </c>
      <c r="S15" s="83">
        <f t="shared" si="15"/>
        <v>-34599000</v>
      </c>
      <c r="T15" s="304">
        <f t="shared" ref="T15:T27" si="18">IF(C15=0,0,+S15/C15)</f>
        <v>-1</v>
      </c>
      <c r="U15" s="126"/>
      <c r="V15" s="208">
        <f t="shared" ref="V15:V27" si="19">+S15-E15+C15</f>
        <v>0</v>
      </c>
    </row>
    <row r="16" spans="1:26" ht="12.75" customHeight="1" x14ac:dyDescent="0.2">
      <c r="A16" s="14" t="s">
        <v>12</v>
      </c>
      <c r="B16" s="20" t="s">
        <v>381</v>
      </c>
      <c r="C16" s="295">
        <v>0</v>
      </c>
      <c r="D16" s="295">
        <v>0</v>
      </c>
      <c r="E16" s="295">
        <v>0</v>
      </c>
      <c r="F16" s="295"/>
      <c r="G16" s="295"/>
      <c r="H16" s="296"/>
      <c r="I16" s="296"/>
      <c r="J16" s="296"/>
      <c r="K16" s="295"/>
      <c r="L16" s="142">
        <f t="shared" si="11"/>
        <v>0</v>
      </c>
      <c r="M16" s="142">
        <f t="shared" si="11"/>
        <v>0</v>
      </c>
      <c r="N16" s="142">
        <f t="shared" si="11"/>
        <v>0</v>
      </c>
      <c r="O16" s="295"/>
      <c r="P16" s="83">
        <f t="shared" si="12"/>
        <v>0</v>
      </c>
      <c r="Q16" s="83">
        <f t="shared" si="13"/>
        <v>0</v>
      </c>
      <c r="R16" s="83">
        <f t="shared" si="14"/>
        <v>0</v>
      </c>
      <c r="S16" s="83">
        <f t="shared" si="15"/>
        <v>0</v>
      </c>
      <c r="T16" s="304">
        <f t="shared" si="18"/>
        <v>0</v>
      </c>
      <c r="U16" s="126"/>
      <c r="V16" s="208">
        <f t="shared" si="19"/>
        <v>0</v>
      </c>
    </row>
    <row r="17" spans="1:22" ht="12.75" customHeight="1" x14ac:dyDescent="0.2">
      <c r="A17" s="14" t="s">
        <v>13</v>
      </c>
      <c r="B17" s="20" t="s">
        <v>380</v>
      </c>
      <c r="C17" s="295">
        <v>0</v>
      </c>
      <c r="D17" s="295">
        <v>0</v>
      </c>
      <c r="E17" s="295">
        <v>0</v>
      </c>
      <c r="F17" s="295"/>
      <c r="G17" s="295"/>
      <c r="H17" s="296"/>
      <c r="I17" s="296"/>
      <c r="J17" s="296"/>
      <c r="K17" s="295"/>
      <c r="L17" s="142">
        <f t="shared" si="11"/>
        <v>0</v>
      </c>
      <c r="M17" s="142">
        <f t="shared" si="11"/>
        <v>0</v>
      </c>
      <c r="N17" s="142">
        <f t="shared" si="11"/>
        <v>0</v>
      </c>
      <c r="O17" s="295"/>
      <c r="P17" s="83">
        <f t="shared" si="12"/>
        <v>0</v>
      </c>
      <c r="Q17" s="83">
        <f t="shared" si="13"/>
        <v>0</v>
      </c>
      <c r="R17" s="83">
        <f t="shared" si="14"/>
        <v>0</v>
      </c>
      <c r="S17" s="83">
        <f t="shared" si="15"/>
        <v>0</v>
      </c>
      <c r="T17" s="304">
        <f t="shared" si="18"/>
        <v>0</v>
      </c>
      <c r="U17" s="126"/>
      <c r="V17" s="208">
        <f t="shared" si="19"/>
        <v>0</v>
      </c>
    </row>
    <row r="18" spans="1:22" ht="12.75" customHeight="1" x14ac:dyDescent="0.2">
      <c r="A18" s="560" t="s">
        <v>386</v>
      </c>
      <c r="B18" s="20" t="s">
        <v>6</v>
      </c>
      <c r="C18" s="295"/>
      <c r="D18" s="295"/>
      <c r="E18" s="295"/>
      <c r="F18" s="295"/>
      <c r="G18" s="295"/>
      <c r="H18" s="296"/>
      <c r="I18" s="296"/>
      <c r="J18" s="296"/>
      <c r="K18" s="295"/>
      <c r="L18" s="142">
        <f t="shared" si="11"/>
        <v>0</v>
      </c>
      <c r="M18" s="142">
        <f t="shared" si="11"/>
        <v>0</v>
      </c>
      <c r="N18" s="142">
        <f t="shared" si="11"/>
        <v>0</v>
      </c>
      <c r="O18" s="295"/>
      <c r="P18" s="83">
        <f t="shared" si="12"/>
        <v>0</v>
      </c>
      <c r="Q18" s="83">
        <f t="shared" si="13"/>
        <v>0</v>
      </c>
      <c r="R18" s="83">
        <f t="shared" si="14"/>
        <v>0</v>
      </c>
      <c r="S18" s="83">
        <f t="shared" si="15"/>
        <v>0</v>
      </c>
      <c r="T18" s="304">
        <f t="shared" si="18"/>
        <v>0</v>
      </c>
      <c r="U18" s="126"/>
      <c r="V18" s="208">
        <f t="shared" si="19"/>
        <v>0</v>
      </c>
    </row>
    <row r="19" spans="1:22" ht="12.75" customHeight="1" x14ac:dyDescent="0.2">
      <c r="A19" s="14" t="s">
        <v>14</v>
      </c>
      <c r="B19" s="20" t="s">
        <v>7</v>
      </c>
      <c r="C19" s="295">
        <f>16*5000*12</f>
        <v>960000</v>
      </c>
      <c r="D19" s="295">
        <v>960000</v>
      </c>
      <c r="E19" s="295">
        <v>0</v>
      </c>
      <c r="F19" s="295"/>
      <c r="G19" s="295"/>
      <c r="H19" s="295">
        <v>460000</v>
      </c>
      <c r="I19" s="295">
        <v>0</v>
      </c>
      <c r="J19" s="295"/>
      <c r="K19" s="295"/>
      <c r="L19" s="143">
        <f t="shared" si="11"/>
        <v>0.47916666666666669</v>
      </c>
      <c r="M19" s="143">
        <f t="shared" si="11"/>
        <v>0</v>
      </c>
      <c r="N19" s="143">
        <f t="shared" si="11"/>
        <v>0</v>
      </c>
      <c r="O19" s="295"/>
      <c r="P19" s="83">
        <f t="shared" si="12"/>
        <v>0</v>
      </c>
      <c r="Q19" s="83">
        <f t="shared" si="13"/>
        <v>-960000</v>
      </c>
      <c r="R19" s="83">
        <f t="shared" si="14"/>
        <v>0</v>
      </c>
      <c r="S19" s="83">
        <f t="shared" si="15"/>
        <v>-960000</v>
      </c>
      <c r="T19" s="304">
        <f t="shared" si="18"/>
        <v>-1</v>
      </c>
      <c r="U19" s="126"/>
      <c r="V19" s="208">
        <f t="shared" si="19"/>
        <v>0</v>
      </c>
    </row>
    <row r="20" spans="1:22" ht="12.75" customHeight="1" x14ac:dyDescent="0.2">
      <c r="A20" s="14" t="s">
        <v>15</v>
      </c>
      <c r="B20" s="20" t="s">
        <v>8</v>
      </c>
      <c r="C20" s="295"/>
      <c r="D20" s="295"/>
      <c r="E20" s="295"/>
      <c r="F20" s="295"/>
      <c r="G20" s="295"/>
      <c r="H20" s="296"/>
      <c r="I20" s="296"/>
      <c r="J20" s="296"/>
      <c r="K20" s="295"/>
      <c r="L20" s="142">
        <f t="shared" si="11"/>
        <v>0</v>
      </c>
      <c r="M20" s="142">
        <f t="shared" si="11"/>
        <v>0</v>
      </c>
      <c r="N20" s="142">
        <f t="shared" si="11"/>
        <v>0</v>
      </c>
      <c r="O20" s="295"/>
      <c r="P20" s="83">
        <f t="shared" si="12"/>
        <v>0</v>
      </c>
      <c r="Q20" s="83">
        <f t="shared" si="13"/>
        <v>0</v>
      </c>
      <c r="R20" s="83">
        <f t="shared" si="14"/>
        <v>0</v>
      </c>
      <c r="S20" s="83">
        <f t="shared" si="15"/>
        <v>0</v>
      </c>
      <c r="T20" s="304">
        <f t="shared" si="18"/>
        <v>0</v>
      </c>
      <c r="U20" s="126"/>
      <c r="V20" s="208">
        <f t="shared" si="19"/>
        <v>0</v>
      </c>
    </row>
    <row r="21" spans="1:22" ht="12.75" customHeight="1" x14ac:dyDescent="0.2">
      <c r="A21" s="14" t="s">
        <v>16</v>
      </c>
      <c r="B21" s="20" t="s">
        <v>9</v>
      </c>
      <c r="C21" s="295">
        <v>356000</v>
      </c>
      <c r="D21" s="295">
        <v>386000</v>
      </c>
      <c r="E21" s="295">
        <v>0</v>
      </c>
      <c r="F21" s="295"/>
      <c r="G21" s="295"/>
      <c r="H21" s="296">
        <v>117812</v>
      </c>
      <c r="I21" s="296">
        <v>0</v>
      </c>
      <c r="J21" s="296"/>
      <c r="K21" s="295"/>
      <c r="L21" s="143">
        <f t="shared" si="11"/>
        <v>0.33093258426966293</v>
      </c>
      <c r="M21" s="143">
        <f t="shared" si="11"/>
        <v>0</v>
      </c>
      <c r="N21" s="143">
        <f t="shared" si="11"/>
        <v>0</v>
      </c>
      <c r="O21" s="295"/>
      <c r="P21" s="83">
        <f t="shared" si="12"/>
        <v>30000</v>
      </c>
      <c r="Q21" s="83">
        <f t="shared" si="13"/>
        <v>-386000</v>
      </c>
      <c r="R21" s="83">
        <f t="shared" si="14"/>
        <v>0</v>
      </c>
      <c r="S21" s="83">
        <f t="shared" si="15"/>
        <v>-356000</v>
      </c>
      <c r="T21" s="304">
        <f t="shared" si="18"/>
        <v>-1</v>
      </c>
      <c r="U21" s="126"/>
      <c r="V21" s="208">
        <f t="shared" si="19"/>
        <v>0</v>
      </c>
    </row>
    <row r="22" spans="1:22" ht="12.75" customHeight="1" x14ac:dyDescent="0.2">
      <c r="A22" s="14" t="s">
        <v>17</v>
      </c>
      <c r="B22" s="20" t="s">
        <v>10</v>
      </c>
      <c r="C22" s="295"/>
      <c r="D22" s="295"/>
      <c r="E22" s="295"/>
      <c r="F22" s="295"/>
      <c r="G22" s="295"/>
      <c r="H22" s="296"/>
      <c r="I22" s="296"/>
      <c r="J22" s="296"/>
      <c r="K22" s="295"/>
      <c r="L22" s="142">
        <f t="shared" si="11"/>
        <v>0</v>
      </c>
      <c r="M22" s="142">
        <f t="shared" si="11"/>
        <v>0</v>
      </c>
      <c r="N22" s="142">
        <f t="shared" si="11"/>
        <v>0</v>
      </c>
      <c r="O22" s="295"/>
      <c r="P22" s="83">
        <f t="shared" si="12"/>
        <v>0</v>
      </c>
      <c r="Q22" s="83">
        <f t="shared" si="13"/>
        <v>0</v>
      </c>
      <c r="R22" s="83">
        <f t="shared" si="14"/>
        <v>0</v>
      </c>
      <c r="S22" s="83">
        <f t="shared" si="15"/>
        <v>0</v>
      </c>
      <c r="T22" s="304">
        <f t="shared" si="18"/>
        <v>0</v>
      </c>
      <c r="U22" s="126"/>
      <c r="V22" s="208">
        <f t="shared" si="19"/>
        <v>0</v>
      </c>
    </row>
    <row r="23" spans="1:22" ht="12.75" customHeight="1" x14ac:dyDescent="0.2">
      <c r="A23" s="14" t="s">
        <v>18</v>
      </c>
      <c r="B23" s="20" t="s">
        <v>11</v>
      </c>
      <c r="C23" s="295">
        <v>150000</v>
      </c>
      <c r="D23" s="295">
        <v>376000</v>
      </c>
      <c r="E23" s="295">
        <v>0</v>
      </c>
      <c r="F23" s="295"/>
      <c r="G23" s="295"/>
      <c r="H23" s="296">
        <v>323437</v>
      </c>
      <c r="I23" s="296">
        <v>0</v>
      </c>
      <c r="J23" s="296"/>
      <c r="K23" s="295"/>
      <c r="L23" s="143">
        <f t="shared" si="11"/>
        <v>2.1562466666666666</v>
      </c>
      <c r="M23" s="143">
        <f t="shared" si="11"/>
        <v>0</v>
      </c>
      <c r="N23" s="143">
        <f t="shared" si="11"/>
        <v>0</v>
      </c>
      <c r="O23" s="295"/>
      <c r="P23" s="83">
        <f t="shared" si="12"/>
        <v>226000</v>
      </c>
      <c r="Q23" s="83">
        <f t="shared" si="13"/>
        <v>-376000</v>
      </c>
      <c r="R23" s="83">
        <f t="shared" si="14"/>
        <v>0</v>
      </c>
      <c r="S23" s="83">
        <f t="shared" si="15"/>
        <v>-150000</v>
      </c>
      <c r="T23" s="304">
        <f t="shared" si="18"/>
        <v>-1</v>
      </c>
      <c r="U23" s="126"/>
      <c r="V23" s="208">
        <f t="shared" si="19"/>
        <v>0</v>
      </c>
    </row>
    <row r="24" spans="1:22" ht="12.75" customHeight="1" x14ac:dyDescent="0.2">
      <c r="A24" s="14" t="s">
        <v>19</v>
      </c>
      <c r="B24" s="20"/>
      <c r="C24" s="295"/>
      <c r="D24" s="295"/>
      <c r="E24" s="295"/>
      <c r="F24" s="295"/>
      <c r="G24" s="295"/>
      <c r="H24" s="296"/>
      <c r="I24" s="296"/>
      <c r="J24" s="296"/>
      <c r="K24" s="295"/>
      <c r="L24" s="142">
        <f t="shared" si="11"/>
        <v>0</v>
      </c>
      <c r="M24" s="142">
        <f t="shared" si="11"/>
        <v>0</v>
      </c>
      <c r="N24" s="142">
        <f t="shared" si="11"/>
        <v>0</v>
      </c>
      <c r="O24" s="295"/>
      <c r="P24" s="83">
        <f t="shared" si="12"/>
        <v>0</v>
      </c>
      <c r="Q24" s="83">
        <f t="shared" si="13"/>
        <v>0</v>
      </c>
      <c r="R24" s="83">
        <f t="shared" si="14"/>
        <v>0</v>
      </c>
      <c r="S24" s="83">
        <f t="shared" si="15"/>
        <v>0</v>
      </c>
      <c r="T24" s="304">
        <f t="shared" si="18"/>
        <v>0</v>
      </c>
      <c r="U24" s="126"/>
      <c r="V24" s="208">
        <f t="shared" si="19"/>
        <v>0</v>
      </c>
    </row>
    <row r="25" spans="1:22" ht="12.75" customHeight="1" x14ac:dyDescent="0.2">
      <c r="A25" s="14" t="s">
        <v>20</v>
      </c>
      <c r="B25" s="20" t="s">
        <v>21</v>
      </c>
      <c r="C25" s="295"/>
      <c r="D25" s="295"/>
      <c r="E25" s="295"/>
      <c r="F25" s="295"/>
      <c r="G25" s="295"/>
      <c r="H25" s="296"/>
      <c r="I25" s="296"/>
      <c r="J25" s="296"/>
      <c r="K25" s="295"/>
      <c r="L25" s="142">
        <f t="shared" si="11"/>
        <v>0</v>
      </c>
      <c r="M25" s="142">
        <f t="shared" si="11"/>
        <v>0</v>
      </c>
      <c r="N25" s="142">
        <f t="shared" si="11"/>
        <v>0</v>
      </c>
      <c r="O25" s="295"/>
      <c r="P25" s="83">
        <f t="shared" si="12"/>
        <v>0</v>
      </c>
      <c r="Q25" s="83">
        <f t="shared" si="13"/>
        <v>0</v>
      </c>
      <c r="R25" s="83">
        <f t="shared" si="14"/>
        <v>0</v>
      </c>
      <c r="S25" s="83">
        <f t="shared" si="15"/>
        <v>0</v>
      </c>
      <c r="T25" s="304">
        <f t="shared" si="18"/>
        <v>0</v>
      </c>
      <c r="U25" s="126"/>
      <c r="V25" s="208">
        <f t="shared" si="19"/>
        <v>0</v>
      </c>
    </row>
    <row r="26" spans="1:22" ht="12.75" customHeight="1" x14ac:dyDescent="0.2">
      <c r="A26" s="14" t="s">
        <v>22</v>
      </c>
      <c r="B26" s="20" t="s">
        <v>23</v>
      </c>
      <c r="C26" s="295">
        <v>480000</v>
      </c>
      <c r="D26" s="295">
        <v>498000</v>
      </c>
      <c r="E26" s="295">
        <v>0</v>
      </c>
      <c r="F26" s="295"/>
      <c r="G26" s="295"/>
      <c r="H26" s="296">
        <v>120000</v>
      </c>
      <c r="I26" s="296">
        <v>0</v>
      </c>
      <c r="J26" s="296"/>
      <c r="K26" s="295"/>
      <c r="L26" s="142">
        <f t="shared" si="11"/>
        <v>0.25</v>
      </c>
      <c r="M26" s="143">
        <f t="shared" si="11"/>
        <v>0</v>
      </c>
      <c r="N26" s="142">
        <f t="shared" si="11"/>
        <v>0</v>
      </c>
      <c r="O26" s="295"/>
      <c r="P26" s="83">
        <f t="shared" si="12"/>
        <v>18000</v>
      </c>
      <c r="Q26" s="83">
        <f t="shared" si="13"/>
        <v>-498000</v>
      </c>
      <c r="R26" s="83">
        <f t="shared" si="14"/>
        <v>0</v>
      </c>
      <c r="S26" s="83">
        <f t="shared" si="15"/>
        <v>-480000</v>
      </c>
      <c r="T26" s="304">
        <f t="shared" si="18"/>
        <v>-1</v>
      </c>
      <c r="U26" s="126"/>
      <c r="V26" s="208">
        <f t="shared" si="19"/>
        <v>0</v>
      </c>
    </row>
    <row r="27" spans="1:22" ht="12.75" customHeight="1" x14ac:dyDescent="0.2">
      <c r="A27" s="14" t="s">
        <v>24</v>
      </c>
      <c r="B27" s="20" t="s">
        <v>25</v>
      </c>
      <c r="C27" s="295">
        <v>0</v>
      </c>
      <c r="D27" s="295">
        <v>0</v>
      </c>
      <c r="E27" s="295">
        <v>0</v>
      </c>
      <c r="F27" s="295"/>
      <c r="G27" s="295"/>
      <c r="H27" s="296">
        <v>0</v>
      </c>
      <c r="I27" s="296">
        <v>0</v>
      </c>
      <c r="J27" s="296"/>
      <c r="K27" s="295"/>
      <c r="L27" s="143">
        <f t="shared" si="11"/>
        <v>0</v>
      </c>
      <c r="M27" s="143">
        <f t="shared" si="11"/>
        <v>0</v>
      </c>
      <c r="N27" s="143">
        <f t="shared" si="11"/>
        <v>0</v>
      </c>
      <c r="O27" s="295"/>
      <c r="P27" s="83">
        <f t="shared" si="12"/>
        <v>0</v>
      </c>
      <c r="Q27" s="83">
        <f t="shared" si="13"/>
        <v>0</v>
      </c>
      <c r="R27" s="83">
        <f t="shared" si="14"/>
        <v>0</v>
      </c>
      <c r="S27" s="83">
        <f t="shared" si="15"/>
        <v>0</v>
      </c>
      <c r="T27" s="304">
        <f t="shared" si="18"/>
        <v>0</v>
      </c>
      <c r="U27" s="126"/>
      <c r="V27" s="208">
        <f t="shared" si="19"/>
        <v>0</v>
      </c>
    </row>
    <row r="28" spans="1:22" ht="12.75" customHeight="1" x14ac:dyDescent="0.2">
      <c r="A28" s="14"/>
      <c r="B28" s="14"/>
      <c r="C28" s="295"/>
      <c r="D28" s="295"/>
      <c r="E28" s="295"/>
      <c r="F28" s="295"/>
      <c r="G28" s="295"/>
      <c r="H28" s="296"/>
      <c r="I28" s="296"/>
      <c r="J28" s="296"/>
      <c r="K28" s="295"/>
      <c r="L28" s="161"/>
      <c r="M28" s="161"/>
      <c r="N28" s="161"/>
      <c r="O28" s="295"/>
      <c r="P28" s="83">
        <f t="shared" ref="P28:P101" si="20">+(D28-C28)*P$10</f>
        <v>0</v>
      </c>
      <c r="Q28" s="83">
        <f t="shared" ref="Q28:Q101" si="21">+(E28-D28)*Q$10</f>
        <v>0</v>
      </c>
      <c r="R28" s="83">
        <f t="shared" ref="R28:R101" si="22">+(F28-E28)*R$10</f>
        <v>0</v>
      </c>
      <c r="S28" s="83">
        <f t="shared" ref="S28:S101" si="23">SUM(P28:R28)</f>
        <v>0</v>
      </c>
      <c r="T28" s="304"/>
      <c r="U28" s="126"/>
      <c r="V28" s="208"/>
    </row>
    <row r="29" spans="1:22" ht="12.75" customHeight="1" x14ac:dyDescent="0.2">
      <c r="A29" s="7" t="s">
        <v>26</v>
      </c>
      <c r="B29" s="5" t="s">
        <v>27</v>
      </c>
      <c r="C29" s="294">
        <f>SUM(C30:C31)</f>
        <v>8079000</v>
      </c>
      <c r="D29" s="294">
        <f t="shared" ref="D29:F29" si="24">SUM(D30:D31)</f>
        <v>8079000</v>
      </c>
      <c r="E29" s="294">
        <f t="shared" si="24"/>
        <v>0</v>
      </c>
      <c r="F29" s="294">
        <f t="shared" si="24"/>
        <v>0</v>
      </c>
      <c r="G29" s="294"/>
      <c r="H29" s="294">
        <f t="shared" ref="H29" si="25">SUM(H30:H31)</f>
        <v>4326412</v>
      </c>
      <c r="I29" s="294">
        <f t="shared" ref="I29" si="26">SUM(I30:I31)</f>
        <v>0</v>
      </c>
      <c r="J29" s="294">
        <f t="shared" ref="J29" si="27">SUM(J30:J31)</f>
        <v>0</v>
      </c>
      <c r="K29" s="294"/>
      <c r="L29" s="89">
        <f t="shared" si="11"/>
        <v>0.53551330610224035</v>
      </c>
      <c r="M29" s="89">
        <f t="shared" si="11"/>
        <v>0</v>
      </c>
      <c r="N29" s="89">
        <f t="shared" si="11"/>
        <v>0</v>
      </c>
      <c r="O29" s="294"/>
      <c r="P29" s="294">
        <f t="shared" si="20"/>
        <v>0</v>
      </c>
      <c r="Q29" s="294">
        <f t="shared" si="21"/>
        <v>-8079000</v>
      </c>
      <c r="R29" s="294">
        <f t="shared" si="22"/>
        <v>0</v>
      </c>
      <c r="S29" s="294">
        <f t="shared" si="23"/>
        <v>-8079000</v>
      </c>
      <c r="T29" s="305">
        <f t="shared" ref="T29:T30" si="28">IF(C29=0,0,+S29/C29)</f>
        <v>-1</v>
      </c>
      <c r="U29" s="126"/>
      <c r="V29" s="208">
        <f t="shared" ref="V29:V30" si="29">+S29-E29+C29</f>
        <v>0</v>
      </c>
    </row>
    <row r="30" spans="1:22" ht="12.75" customHeight="1" x14ac:dyDescent="0.2">
      <c r="A30" s="14"/>
      <c r="B30" s="20" t="s">
        <v>28</v>
      </c>
      <c r="C30" s="295">
        <v>8079000</v>
      </c>
      <c r="D30" s="295">
        <v>8079000</v>
      </c>
      <c r="E30" s="295">
        <v>0</v>
      </c>
      <c r="F30" s="295"/>
      <c r="G30" s="295"/>
      <c r="H30" s="296">
        <v>4326412</v>
      </c>
      <c r="I30" s="297">
        <v>0</v>
      </c>
      <c r="J30" s="297"/>
      <c r="K30" s="295"/>
      <c r="L30" s="143">
        <f t="shared" si="11"/>
        <v>0.53551330610224035</v>
      </c>
      <c r="M30" s="143">
        <f t="shared" si="11"/>
        <v>0</v>
      </c>
      <c r="N30" s="143">
        <f t="shared" si="11"/>
        <v>0</v>
      </c>
      <c r="O30" s="295"/>
      <c r="P30" s="83">
        <f t="shared" si="20"/>
        <v>0</v>
      </c>
      <c r="Q30" s="83">
        <f t="shared" si="21"/>
        <v>-8079000</v>
      </c>
      <c r="R30" s="83">
        <f t="shared" si="22"/>
        <v>0</v>
      </c>
      <c r="S30" s="83">
        <f t="shared" si="23"/>
        <v>-8079000</v>
      </c>
      <c r="T30" s="304">
        <f t="shared" si="28"/>
        <v>-1</v>
      </c>
      <c r="U30" s="126"/>
      <c r="V30" s="208">
        <f t="shared" si="29"/>
        <v>0</v>
      </c>
    </row>
    <row r="31" spans="1:22" ht="12.75" customHeight="1" x14ac:dyDescent="0.2">
      <c r="A31" s="14"/>
      <c r="B31" s="14"/>
      <c r="C31" s="295"/>
      <c r="D31" s="295"/>
      <c r="E31" s="295"/>
      <c r="F31" s="295"/>
      <c r="G31" s="295"/>
      <c r="H31" s="296"/>
      <c r="I31" s="296"/>
      <c r="J31" s="296"/>
      <c r="K31" s="295"/>
      <c r="L31" s="161"/>
      <c r="M31" s="161"/>
      <c r="N31" s="161"/>
      <c r="O31" s="295"/>
      <c r="P31" s="83"/>
      <c r="Q31" s="83"/>
      <c r="R31" s="83"/>
      <c r="S31" s="83"/>
      <c r="T31" s="304"/>
      <c r="U31" s="126"/>
      <c r="V31" s="208"/>
    </row>
    <row r="32" spans="1:22" ht="12.75" customHeight="1" x14ac:dyDescent="0.2">
      <c r="A32" s="7" t="s">
        <v>29</v>
      </c>
      <c r="B32" s="5" t="s">
        <v>30</v>
      </c>
      <c r="C32" s="294">
        <f t="shared" ref="C32:E32" si="30">+C33+C41+C48+C66+C71</f>
        <v>10325000</v>
      </c>
      <c r="D32" s="294">
        <f t="shared" si="30"/>
        <v>10277000</v>
      </c>
      <c r="E32" s="294">
        <f t="shared" si="30"/>
        <v>0</v>
      </c>
      <c r="F32" s="294">
        <f t="shared" ref="F32" si="31">+F33+F41+F48+F66+F71</f>
        <v>0</v>
      </c>
      <c r="G32" s="294"/>
      <c r="H32" s="294">
        <f>+H33+H41+H48+H66+H71</f>
        <v>4020708</v>
      </c>
      <c r="I32" s="294">
        <f>+I33+I41+I48+I66+I71</f>
        <v>0</v>
      </c>
      <c r="J32" s="294">
        <f t="shared" ref="J32" si="32">+J33+J41+J48+J66+J71</f>
        <v>0</v>
      </c>
      <c r="K32" s="294"/>
      <c r="L32" s="89">
        <f t="shared" si="11"/>
        <v>0.38941481840193704</v>
      </c>
      <c r="M32" s="89">
        <f t="shared" si="11"/>
        <v>0</v>
      </c>
      <c r="N32" s="89">
        <f t="shared" si="11"/>
        <v>0</v>
      </c>
      <c r="O32" s="294"/>
      <c r="P32" s="294">
        <f t="shared" si="20"/>
        <v>-48000</v>
      </c>
      <c r="Q32" s="294">
        <f t="shared" si="21"/>
        <v>-10277000</v>
      </c>
      <c r="R32" s="294">
        <f t="shared" si="22"/>
        <v>0</v>
      </c>
      <c r="S32" s="294">
        <f t="shared" si="23"/>
        <v>-10325000</v>
      </c>
      <c r="T32" s="305">
        <f t="shared" ref="T32:T34" si="33">IF(C32=0,0,+S32/C32)</f>
        <v>-1</v>
      </c>
      <c r="U32" s="126"/>
      <c r="V32" s="208">
        <f t="shared" ref="V32:V34" si="34">+S32-E32+C32</f>
        <v>0</v>
      </c>
    </row>
    <row r="33" spans="1:22" s="43" customFormat="1" ht="12.75" customHeight="1" x14ac:dyDescent="0.2">
      <c r="A33" s="39" t="s">
        <v>31</v>
      </c>
      <c r="B33" s="40" t="s">
        <v>32</v>
      </c>
      <c r="C33" s="298">
        <f>SUM(C34:C40)</f>
        <v>6761000</v>
      </c>
      <c r="D33" s="298">
        <f t="shared" ref="D33:F33" si="35">SUM(D34:D40)</f>
        <v>5420000</v>
      </c>
      <c r="E33" s="298">
        <f t="shared" si="35"/>
        <v>0</v>
      </c>
      <c r="F33" s="298">
        <f t="shared" si="35"/>
        <v>0</v>
      </c>
      <c r="G33" s="298"/>
      <c r="H33" s="298">
        <f t="shared" ref="H33" si="36">SUM(H34:H40)</f>
        <v>2103377</v>
      </c>
      <c r="I33" s="298">
        <f t="shared" ref="I33" si="37">SUM(I34:I40)</f>
        <v>0</v>
      </c>
      <c r="J33" s="298">
        <f t="shared" ref="J33" si="38">SUM(J34:J40)</f>
        <v>0</v>
      </c>
      <c r="K33" s="298"/>
      <c r="L33" s="161">
        <f t="shared" si="11"/>
        <v>0.31110442242271852</v>
      </c>
      <c r="M33" s="161">
        <f t="shared" si="11"/>
        <v>0</v>
      </c>
      <c r="N33" s="161">
        <f t="shared" si="11"/>
        <v>0</v>
      </c>
      <c r="O33" s="298"/>
      <c r="P33" s="301">
        <f t="shared" si="20"/>
        <v>-1341000</v>
      </c>
      <c r="Q33" s="301">
        <f t="shared" si="21"/>
        <v>-5420000</v>
      </c>
      <c r="R33" s="301">
        <f t="shared" si="22"/>
        <v>0</v>
      </c>
      <c r="S33" s="301">
        <f t="shared" si="23"/>
        <v>-6761000</v>
      </c>
      <c r="T33" s="304">
        <f t="shared" si="33"/>
        <v>-1</v>
      </c>
      <c r="U33" s="126"/>
      <c r="V33" s="208">
        <f t="shared" si="34"/>
        <v>0</v>
      </c>
    </row>
    <row r="34" spans="1:22" ht="12.75" customHeight="1" x14ac:dyDescent="0.2">
      <c r="A34" s="14" t="s">
        <v>33</v>
      </c>
      <c r="B34" s="20" t="s">
        <v>35</v>
      </c>
      <c r="C34" s="295">
        <v>55000</v>
      </c>
      <c r="D34" s="295">
        <v>73000</v>
      </c>
      <c r="E34" s="295">
        <v>0</v>
      </c>
      <c r="F34" s="295"/>
      <c r="G34" s="295"/>
      <c r="H34" s="295">
        <v>27719</v>
      </c>
      <c r="I34" s="295">
        <v>0</v>
      </c>
      <c r="J34" s="295"/>
      <c r="K34" s="295"/>
      <c r="L34" s="143">
        <f t="shared" si="11"/>
        <v>0.5039818181818182</v>
      </c>
      <c r="M34" s="143">
        <f t="shared" si="11"/>
        <v>0</v>
      </c>
      <c r="N34" s="143">
        <f t="shared" si="11"/>
        <v>0</v>
      </c>
      <c r="O34" s="295"/>
      <c r="P34" s="83">
        <f t="shared" si="20"/>
        <v>18000</v>
      </c>
      <c r="Q34" s="83">
        <f t="shared" si="21"/>
        <v>-73000</v>
      </c>
      <c r="R34" s="83">
        <f t="shared" si="22"/>
        <v>0</v>
      </c>
      <c r="S34" s="83">
        <f t="shared" si="23"/>
        <v>-55000</v>
      </c>
      <c r="T34" s="304">
        <f t="shared" si="33"/>
        <v>-1</v>
      </c>
      <c r="U34" s="126"/>
      <c r="V34" s="208">
        <f t="shared" si="34"/>
        <v>0</v>
      </c>
    </row>
    <row r="35" spans="1:22" ht="12.75" customHeight="1" x14ac:dyDescent="0.2">
      <c r="A35" s="14"/>
      <c r="B35" s="20" t="s">
        <v>89</v>
      </c>
      <c r="C35" s="295"/>
      <c r="D35" s="295"/>
      <c r="E35" s="295"/>
      <c r="F35" s="295"/>
      <c r="G35" s="295"/>
      <c r="H35" s="295"/>
      <c r="I35" s="295"/>
      <c r="J35" s="295"/>
      <c r="K35" s="295"/>
      <c r="L35" s="142">
        <f t="shared" si="11"/>
        <v>0</v>
      </c>
      <c r="M35" s="142">
        <f t="shared" si="11"/>
        <v>0</v>
      </c>
      <c r="N35" s="142">
        <f t="shared" si="11"/>
        <v>0</v>
      </c>
      <c r="O35" s="295"/>
      <c r="P35" s="83">
        <f t="shared" si="20"/>
        <v>0</v>
      </c>
      <c r="Q35" s="83">
        <f t="shared" si="21"/>
        <v>0</v>
      </c>
      <c r="R35" s="83">
        <f t="shared" si="22"/>
        <v>0</v>
      </c>
      <c r="S35" s="83">
        <f t="shared" si="23"/>
        <v>0</v>
      </c>
      <c r="T35" s="304">
        <f t="shared" ref="T35:T47" si="39">IF(C35=0,0,+S35/C35)</f>
        <v>0</v>
      </c>
      <c r="U35" s="126"/>
      <c r="V35" s="208">
        <f t="shared" ref="V35:V47" si="40">+S35-E35+C35</f>
        <v>0</v>
      </c>
    </row>
    <row r="36" spans="1:22" ht="12.75" customHeight="1" x14ac:dyDescent="0.2">
      <c r="A36" s="14" t="s">
        <v>34</v>
      </c>
      <c r="B36" s="20" t="s">
        <v>36</v>
      </c>
      <c r="C36" s="295">
        <v>6706000</v>
      </c>
      <c r="D36" s="295">
        <v>5347000</v>
      </c>
      <c r="E36" s="295">
        <v>0</v>
      </c>
      <c r="F36" s="295"/>
      <c r="G36" s="295"/>
      <c r="H36" s="295">
        <v>2075658</v>
      </c>
      <c r="I36" s="295">
        <v>0</v>
      </c>
      <c r="J36" s="295"/>
      <c r="K36" s="295"/>
      <c r="L36" s="143">
        <f t="shared" si="11"/>
        <v>0.30952251714882195</v>
      </c>
      <c r="M36" s="143">
        <f t="shared" si="11"/>
        <v>0</v>
      </c>
      <c r="N36" s="143">
        <f t="shared" si="11"/>
        <v>0</v>
      </c>
      <c r="O36" s="295"/>
      <c r="P36" s="83">
        <f t="shared" si="20"/>
        <v>-1359000</v>
      </c>
      <c r="Q36" s="83">
        <f t="shared" si="21"/>
        <v>-5347000</v>
      </c>
      <c r="R36" s="83">
        <f t="shared" si="22"/>
        <v>0</v>
      </c>
      <c r="S36" s="83">
        <f t="shared" si="23"/>
        <v>-6706000</v>
      </c>
      <c r="T36" s="304">
        <f t="shared" si="39"/>
        <v>-1</v>
      </c>
      <c r="U36" s="126"/>
      <c r="V36" s="208">
        <f t="shared" si="40"/>
        <v>0</v>
      </c>
    </row>
    <row r="37" spans="1:22" ht="12.75" customHeight="1" x14ac:dyDescent="0.2">
      <c r="A37" s="14"/>
      <c r="B37" s="20" t="s">
        <v>105</v>
      </c>
      <c r="C37" s="295"/>
      <c r="D37" s="295"/>
      <c r="E37" s="295"/>
      <c r="F37" s="295"/>
      <c r="G37" s="295"/>
      <c r="H37" s="295">
        <v>0</v>
      </c>
      <c r="I37" s="295"/>
      <c r="J37" s="295"/>
      <c r="K37" s="295"/>
      <c r="L37" s="142">
        <f t="shared" si="11"/>
        <v>0</v>
      </c>
      <c r="M37" s="142">
        <f t="shared" si="11"/>
        <v>0</v>
      </c>
      <c r="N37" s="142">
        <f t="shared" si="11"/>
        <v>0</v>
      </c>
      <c r="O37" s="295"/>
      <c r="P37" s="83">
        <f t="shared" si="20"/>
        <v>0</v>
      </c>
      <c r="Q37" s="83">
        <f t="shared" si="21"/>
        <v>0</v>
      </c>
      <c r="R37" s="83">
        <f t="shared" si="22"/>
        <v>0</v>
      </c>
      <c r="S37" s="83">
        <f t="shared" si="23"/>
        <v>0</v>
      </c>
      <c r="T37" s="304">
        <f t="shared" si="39"/>
        <v>0</v>
      </c>
      <c r="U37" s="126"/>
      <c r="V37" s="208">
        <f t="shared" si="40"/>
        <v>0</v>
      </c>
    </row>
    <row r="38" spans="1:22" ht="12.75" customHeight="1" x14ac:dyDescent="0.2">
      <c r="A38" s="14"/>
      <c r="B38" s="20" t="s">
        <v>95</v>
      </c>
      <c r="C38" s="295"/>
      <c r="D38" s="295"/>
      <c r="E38" s="295"/>
      <c r="F38" s="295"/>
      <c r="G38" s="295"/>
      <c r="H38" s="295"/>
      <c r="I38" s="295"/>
      <c r="J38" s="295"/>
      <c r="K38" s="295"/>
      <c r="L38" s="142">
        <f t="shared" si="11"/>
        <v>0</v>
      </c>
      <c r="M38" s="142">
        <f t="shared" si="11"/>
        <v>0</v>
      </c>
      <c r="N38" s="142">
        <f t="shared" si="11"/>
        <v>0</v>
      </c>
      <c r="O38" s="295"/>
      <c r="P38" s="83">
        <f t="shared" si="20"/>
        <v>0</v>
      </c>
      <c r="Q38" s="83">
        <f t="shared" si="21"/>
        <v>0</v>
      </c>
      <c r="R38" s="83">
        <f t="shared" si="22"/>
        <v>0</v>
      </c>
      <c r="S38" s="83">
        <f t="shared" si="23"/>
        <v>0</v>
      </c>
      <c r="T38" s="304">
        <f t="shared" si="39"/>
        <v>0</v>
      </c>
      <c r="U38" s="126"/>
      <c r="V38" s="208">
        <f t="shared" si="40"/>
        <v>0</v>
      </c>
    </row>
    <row r="39" spans="1:22" ht="12.75" customHeight="1" x14ac:dyDescent="0.2">
      <c r="A39" s="14"/>
      <c r="B39" s="20" t="s">
        <v>94</v>
      </c>
      <c r="C39" s="295"/>
      <c r="D39" s="295"/>
      <c r="E39" s="295"/>
      <c r="F39" s="295"/>
      <c r="G39" s="295"/>
      <c r="H39" s="295"/>
      <c r="I39" s="295"/>
      <c r="J39" s="295"/>
      <c r="K39" s="295"/>
      <c r="L39" s="142">
        <f t="shared" si="11"/>
        <v>0</v>
      </c>
      <c r="M39" s="142">
        <f t="shared" si="11"/>
        <v>0</v>
      </c>
      <c r="N39" s="142">
        <f t="shared" si="11"/>
        <v>0</v>
      </c>
      <c r="O39" s="295"/>
      <c r="P39" s="83">
        <f t="shared" si="20"/>
        <v>0</v>
      </c>
      <c r="Q39" s="83">
        <f t="shared" si="21"/>
        <v>0</v>
      </c>
      <c r="R39" s="83">
        <f t="shared" si="22"/>
        <v>0</v>
      </c>
      <c r="S39" s="83">
        <f t="shared" si="23"/>
        <v>0</v>
      </c>
      <c r="T39" s="304">
        <f t="shared" si="39"/>
        <v>0</v>
      </c>
      <c r="U39" s="126"/>
      <c r="V39" s="208">
        <f t="shared" si="40"/>
        <v>0</v>
      </c>
    </row>
    <row r="40" spans="1:22" ht="12.75" customHeight="1" x14ac:dyDescent="0.2">
      <c r="A40" s="14"/>
      <c r="B40" s="20" t="s">
        <v>93</v>
      </c>
      <c r="C40" s="295"/>
      <c r="D40" s="295"/>
      <c r="E40" s="295"/>
      <c r="F40" s="295"/>
      <c r="G40" s="295"/>
      <c r="H40" s="295"/>
      <c r="I40" s="295"/>
      <c r="J40" s="295"/>
      <c r="K40" s="295"/>
      <c r="L40" s="142">
        <f t="shared" si="11"/>
        <v>0</v>
      </c>
      <c r="M40" s="142">
        <f t="shared" si="11"/>
        <v>0</v>
      </c>
      <c r="N40" s="142">
        <f t="shared" si="11"/>
        <v>0</v>
      </c>
      <c r="O40" s="295"/>
      <c r="P40" s="83">
        <f t="shared" si="20"/>
        <v>0</v>
      </c>
      <c r="Q40" s="83">
        <f t="shared" si="21"/>
        <v>0</v>
      </c>
      <c r="R40" s="83">
        <f t="shared" si="22"/>
        <v>0</v>
      </c>
      <c r="S40" s="83">
        <f t="shared" si="23"/>
        <v>0</v>
      </c>
      <c r="T40" s="304">
        <f t="shared" si="39"/>
        <v>0</v>
      </c>
      <c r="U40" s="126"/>
      <c r="V40" s="208">
        <f t="shared" si="40"/>
        <v>0</v>
      </c>
    </row>
    <row r="41" spans="1:22" s="43" customFormat="1" ht="12.75" customHeight="1" x14ac:dyDescent="0.2">
      <c r="A41" s="39" t="s">
        <v>37</v>
      </c>
      <c r="B41" s="40" t="s">
        <v>38</v>
      </c>
      <c r="C41" s="298">
        <f>SUM(C42:C47)</f>
        <v>36000</v>
      </c>
      <c r="D41" s="298">
        <f t="shared" ref="D41:J41" si="41">SUM(D42:D47)</f>
        <v>91000</v>
      </c>
      <c r="E41" s="298">
        <f t="shared" si="41"/>
        <v>0</v>
      </c>
      <c r="F41" s="298">
        <f t="shared" si="41"/>
        <v>0</v>
      </c>
      <c r="G41" s="298"/>
      <c r="H41" s="298">
        <f t="shared" si="41"/>
        <v>19225</v>
      </c>
      <c r="I41" s="298">
        <f t="shared" si="41"/>
        <v>0</v>
      </c>
      <c r="J41" s="298">
        <f t="shared" si="41"/>
        <v>0</v>
      </c>
      <c r="K41" s="298"/>
      <c r="L41" s="143">
        <f t="shared" si="11"/>
        <v>0.53402777777777777</v>
      </c>
      <c r="M41" s="143">
        <f t="shared" si="11"/>
        <v>0</v>
      </c>
      <c r="N41" s="143">
        <f t="shared" si="11"/>
        <v>0</v>
      </c>
      <c r="O41" s="298"/>
      <c r="P41" s="298">
        <f t="shared" si="20"/>
        <v>55000</v>
      </c>
      <c r="Q41" s="298">
        <f t="shared" si="21"/>
        <v>-91000</v>
      </c>
      <c r="R41" s="298">
        <f t="shared" si="22"/>
        <v>0</v>
      </c>
      <c r="S41" s="298">
        <f t="shared" si="23"/>
        <v>-36000</v>
      </c>
      <c r="T41" s="304">
        <f t="shared" si="39"/>
        <v>-1</v>
      </c>
      <c r="U41" s="126"/>
      <c r="V41" s="208">
        <f t="shared" si="40"/>
        <v>0</v>
      </c>
    </row>
    <row r="42" spans="1:22" ht="12.75" customHeight="1" x14ac:dyDescent="0.2">
      <c r="A42" s="14" t="s">
        <v>39</v>
      </c>
      <c r="B42" s="20" t="s">
        <v>40</v>
      </c>
      <c r="C42" s="295">
        <v>0</v>
      </c>
      <c r="D42" s="295">
        <v>0</v>
      </c>
      <c r="E42" s="295">
        <v>0</v>
      </c>
      <c r="F42" s="295"/>
      <c r="G42" s="295"/>
      <c r="H42" s="295">
        <v>0</v>
      </c>
      <c r="I42" s="295"/>
      <c r="J42" s="295"/>
      <c r="K42" s="295"/>
      <c r="L42" s="143">
        <f t="shared" si="11"/>
        <v>0</v>
      </c>
      <c r="M42" s="143">
        <f t="shared" si="11"/>
        <v>0</v>
      </c>
      <c r="N42" s="143">
        <f t="shared" si="11"/>
        <v>0</v>
      </c>
      <c r="O42" s="295"/>
      <c r="P42" s="83">
        <f t="shared" si="20"/>
        <v>0</v>
      </c>
      <c r="Q42" s="83">
        <f t="shared" si="21"/>
        <v>0</v>
      </c>
      <c r="R42" s="83">
        <f t="shared" si="22"/>
        <v>0</v>
      </c>
      <c r="S42" s="83">
        <f t="shared" si="23"/>
        <v>0</v>
      </c>
      <c r="T42" s="304">
        <f t="shared" si="39"/>
        <v>0</v>
      </c>
      <c r="U42" s="126"/>
      <c r="V42" s="208">
        <f t="shared" si="40"/>
        <v>0</v>
      </c>
    </row>
    <row r="43" spans="1:22" ht="12.75" customHeight="1" x14ac:dyDescent="0.2">
      <c r="A43" s="14"/>
      <c r="B43" s="20" t="s">
        <v>41</v>
      </c>
      <c r="C43" s="295"/>
      <c r="D43" s="295"/>
      <c r="E43" s="295"/>
      <c r="F43" s="295"/>
      <c r="G43" s="295"/>
      <c r="H43" s="295"/>
      <c r="I43" s="295"/>
      <c r="J43" s="295"/>
      <c r="K43" s="295"/>
      <c r="L43" s="142">
        <f t="shared" si="11"/>
        <v>0</v>
      </c>
      <c r="M43" s="142">
        <f t="shared" si="11"/>
        <v>0</v>
      </c>
      <c r="N43" s="142">
        <f t="shared" si="11"/>
        <v>0</v>
      </c>
      <c r="O43" s="295"/>
      <c r="P43" s="83">
        <f t="shared" si="20"/>
        <v>0</v>
      </c>
      <c r="Q43" s="83">
        <f t="shared" si="21"/>
        <v>0</v>
      </c>
      <c r="R43" s="83">
        <f t="shared" si="22"/>
        <v>0</v>
      </c>
      <c r="S43" s="83">
        <f t="shared" si="23"/>
        <v>0</v>
      </c>
      <c r="T43" s="304">
        <f t="shared" si="39"/>
        <v>0</v>
      </c>
      <c r="U43" s="126"/>
      <c r="V43" s="208">
        <f t="shared" si="40"/>
        <v>0</v>
      </c>
    </row>
    <row r="44" spans="1:22" ht="12.75" customHeight="1" x14ac:dyDescent="0.2">
      <c r="A44" s="14"/>
      <c r="B44" s="20" t="s">
        <v>42</v>
      </c>
      <c r="C44" s="295"/>
      <c r="D44" s="295"/>
      <c r="E44" s="295"/>
      <c r="F44" s="295"/>
      <c r="G44" s="295"/>
      <c r="H44" s="295"/>
      <c r="I44" s="295"/>
      <c r="J44" s="295"/>
      <c r="K44" s="295"/>
      <c r="L44" s="142">
        <f t="shared" si="11"/>
        <v>0</v>
      </c>
      <c r="M44" s="142">
        <f t="shared" si="11"/>
        <v>0</v>
      </c>
      <c r="N44" s="142">
        <f t="shared" si="11"/>
        <v>0</v>
      </c>
      <c r="O44" s="295"/>
      <c r="P44" s="83">
        <f t="shared" si="20"/>
        <v>0</v>
      </c>
      <c r="Q44" s="83">
        <f t="shared" si="21"/>
        <v>0</v>
      </c>
      <c r="R44" s="83">
        <f t="shared" si="22"/>
        <v>0</v>
      </c>
      <c r="S44" s="83">
        <f t="shared" si="23"/>
        <v>0</v>
      </c>
      <c r="T44" s="304">
        <f t="shared" si="39"/>
        <v>0</v>
      </c>
      <c r="U44" s="126"/>
      <c r="V44" s="208">
        <f t="shared" si="40"/>
        <v>0</v>
      </c>
    </row>
    <row r="45" spans="1:22" ht="12.75" customHeight="1" x14ac:dyDescent="0.2">
      <c r="A45" s="14"/>
      <c r="B45" s="20" t="s">
        <v>43</v>
      </c>
      <c r="C45" s="295"/>
      <c r="D45" s="295"/>
      <c r="E45" s="295"/>
      <c r="F45" s="295"/>
      <c r="G45" s="295"/>
      <c r="H45" s="295"/>
      <c r="I45" s="295"/>
      <c r="J45" s="295"/>
      <c r="K45" s="295"/>
      <c r="L45" s="142">
        <f t="shared" si="11"/>
        <v>0</v>
      </c>
      <c r="M45" s="142">
        <f t="shared" si="11"/>
        <v>0</v>
      </c>
      <c r="N45" s="142">
        <f t="shared" si="11"/>
        <v>0</v>
      </c>
      <c r="O45" s="295"/>
      <c r="P45" s="83">
        <f t="shared" si="20"/>
        <v>0</v>
      </c>
      <c r="Q45" s="83">
        <f t="shared" si="21"/>
        <v>0</v>
      </c>
      <c r="R45" s="83">
        <f t="shared" si="22"/>
        <v>0</v>
      </c>
      <c r="S45" s="83">
        <f t="shared" si="23"/>
        <v>0</v>
      </c>
      <c r="T45" s="304">
        <f t="shared" si="39"/>
        <v>0</v>
      </c>
      <c r="U45" s="126"/>
      <c r="V45" s="208">
        <f t="shared" si="40"/>
        <v>0</v>
      </c>
    </row>
    <row r="46" spans="1:22" ht="12.75" customHeight="1" x14ac:dyDescent="0.2">
      <c r="A46" s="14" t="s">
        <v>44</v>
      </c>
      <c r="B46" s="20" t="s">
        <v>45</v>
      </c>
      <c r="C46" s="295">
        <v>36000</v>
      </c>
      <c r="D46" s="295">
        <v>91000</v>
      </c>
      <c r="E46" s="295">
        <v>0</v>
      </c>
      <c r="F46" s="295"/>
      <c r="G46" s="295"/>
      <c r="H46" s="295">
        <v>19225</v>
      </c>
      <c r="I46" s="295">
        <v>0</v>
      </c>
      <c r="J46" s="295"/>
      <c r="K46" s="295"/>
      <c r="L46" s="143">
        <f t="shared" si="11"/>
        <v>0.53402777777777777</v>
      </c>
      <c r="M46" s="143">
        <f t="shared" si="11"/>
        <v>0</v>
      </c>
      <c r="N46" s="143">
        <f t="shared" si="11"/>
        <v>0</v>
      </c>
      <c r="O46" s="295"/>
      <c r="P46" s="83">
        <f t="shared" si="20"/>
        <v>55000</v>
      </c>
      <c r="Q46" s="83">
        <f t="shared" si="21"/>
        <v>-91000</v>
      </c>
      <c r="R46" s="83">
        <f t="shared" si="22"/>
        <v>0</v>
      </c>
      <c r="S46" s="83">
        <f t="shared" si="23"/>
        <v>-36000</v>
      </c>
      <c r="T46" s="304">
        <f t="shared" si="39"/>
        <v>-1</v>
      </c>
      <c r="U46" s="126"/>
      <c r="V46" s="208">
        <f t="shared" si="40"/>
        <v>0</v>
      </c>
    </row>
    <row r="47" spans="1:22" ht="12.75" customHeight="1" x14ac:dyDescent="0.2">
      <c r="A47" s="14"/>
      <c r="B47" s="20" t="s">
        <v>46</v>
      </c>
      <c r="C47" s="295"/>
      <c r="D47" s="295">
        <v>0</v>
      </c>
      <c r="E47" s="295">
        <v>0</v>
      </c>
      <c r="F47" s="295"/>
      <c r="G47" s="295"/>
      <c r="H47" s="295"/>
      <c r="I47" s="295"/>
      <c r="J47" s="295"/>
      <c r="K47" s="295"/>
      <c r="L47" s="142">
        <f t="shared" si="11"/>
        <v>0</v>
      </c>
      <c r="M47" s="142">
        <f t="shared" si="11"/>
        <v>0</v>
      </c>
      <c r="N47" s="142">
        <f t="shared" si="11"/>
        <v>0</v>
      </c>
      <c r="O47" s="295"/>
      <c r="P47" s="83">
        <f t="shared" si="20"/>
        <v>0</v>
      </c>
      <c r="Q47" s="83">
        <f t="shared" si="21"/>
        <v>0</v>
      </c>
      <c r="R47" s="83">
        <f t="shared" si="22"/>
        <v>0</v>
      </c>
      <c r="S47" s="83">
        <f t="shared" si="23"/>
        <v>0</v>
      </c>
      <c r="T47" s="304">
        <f t="shared" si="39"/>
        <v>0</v>
      </c>
      <c r="U47" s="126"/>
      <c r="V47" s="208">
        <f t="shared" si="40"/>
        <v>0</v>
      </c>
    </row>
    <row r="48" spans="1:22" s="43" customFormat="1" ht="12.75" customHeight="1" x14ac:dyDescent="0.2">
      <c r="A48" s="39" t="s">
        <v>47</v>
      </c>
      <c r="B48" s="40" t="s">
        <v>48</v>
      </c>
      <c r="C48" s="298">
        <f>SUM(C49:C65)</f>
        <v>1230000</v>
      </c>
      <c r="D48" s="298">
        <f t="shared" ref="D48:F48" si="42">SUM(D49:D65)</f>
        <v>2468000</v>
      </c>
      <c r="E48" s="298">
        <f t="shared" si="42"/>
        <v>0</v>
      </c>
      <c r="F48" s="298">
        <f t="shared" si="42"/>
        <v>0</v>
      </c>
      <c r="G48" s="298"/>
      <c r="H48" s="298">
        <f>SUM(H49:H65)</f>
        <v>1120806</v>
      </c>
      <c r="I48" s="298">
        <f t="shared" ref="I48:J48" si="43">SUM(I49:I65)</f>
        <v>0</v>
      </c>
      <c r="J48" s="298">
        <f t="shared" si="43"/>
        <v>0</v>
      </c>
      <c r="K48" s="298"/>
      <c r="L48" s="144">
        <f t="shared" si="11"/>
        <v>0.91122439024390245</v>
      </c>
      <c r="M48" s="144">
        <f t="shared" si="11"/>
        <v>0</v>
      </c>
      <c r="N48" s="144">
        <f t="shared" si="11"/>
        <v>0</v>
      </c>
      <c r="O48" s="298"/>
      <c r="P48" s="298">
        <f t="shared" si="20"/>
        <v>1238000</v>
      </c>
      <c r="Q48" s="298">
        <f t="shared" si="21"/>
        <v>-2468000</v>
      </c>
      <c r="R48" s="298">
        <f t="shared" si="22"/>
        <v>0</v>
      </c>
      <c r="S48" s="298">
        <f t="shared" si="23"/>
        <v>-1230000</v>
      </c>
      <c r="T48" s="304">
        <f t="shared" ref="T48:T49" si="44">IF(C48=0,0,+S48/C48)</f>
        <v>-1</v>
      </c>
      <c r="U48" s="126"/>
      <c r="V48" s="208">
        <f t="shared" ref="V48:V49" si="45">+S48-E48+C48</f>
        <v>0</v>
      </c>
    </row>
    <row r="49" spans="1:22" ht="12.75" customHeight="1" x14ac:dyDescent="0.2">
      <c r="A49" s="14" t="s">
        <v>49</v>
      </c>
      <c r="B49" s="20" t="s">
        <v>50</v>
      </c>
      <c r="C49" s="295">
        <v>558000</v>
      </c>
      <c r="D49" s="295">
        <v>1814000</v>
      </c>
      <c r="E49" s="295">
        <v>0</v>
      </c>
      <c r="F49" s="295"/>
      <c r="G49" s="295"/>
      <c r="H49" s="295">
        <v>780754</v>
      </c>
      <c r="I49" s="295">
        <v>0</v>
      </c>
      <c r="J49" s="295"/>
      <c r="K49" s="295"/>
      <c r="L49" s="143">
        <f t="shared" si="11"/>
        <v>1.3992007168458782</v>
      </c>
      <c r="M49" s="143">
        <f t="shared" si="11"/>
        <v>0</v>
      </c>
      <c r="N49" s="143">
        <f t="shared" si="11"/>
        <v>0</v>
      </c>
      <c r="O49" s="295"/>
      <c r="P49" s="83">
        <f t="shared" si="20"/>
        <v>1256000</v>
      </c>
      <c r="Q49" s="83">
        <f t="shared" si="21"/>
        <v>-1814000</v>
      </c>
      <c r="R49" s="83">
        <f t="shared" si="22"/>
        <v>0</v>
      </c>
      <c r="S49" s="83">
        <f t="shared" si="23"/>
        <v>-558000</v>
      </c>
      <c r="T49" s="304">
        <f t="shared" si="44"/>
        <v>-1</v>
      </c>
      <c r="U49" s="126"/>
      <c r="V49" s="208">
        <f t="shared" si="45"/>
        <v>0</v>
      </c>
    </row>
    <row r="50" spans="1:22" ht="12.75" customHeight="1" x14ac:dyDescent="0.2">
      <c r="A50" s="14" t="s">
        <v>103</v>
      </c>
      <c r="B50" s="20" t="s">
        <v>97</v>
      </c>
      <c r="C50" s="295"/>
      <c r="D50" s="295"/>
      <c r="E50" s="295"/>
      <c r="F50" s="295"/>
      <c r="G50" s="295"/>
      <c r="H50" s="295"/>
      <c r="I50" s="295"/>
      <c r="J50" s="295"/>
      <c r="K50" s="295"/>
      <c r="L50" s="142">
        <f t="shared" si="11"/>
        <v>0</v>
      </c>
      <c r="M50" s="142">
        <f t="shared" si="11"/>
        <v>0</v>
      </c>
      <c r="N50" s="142">
        <f t="shared" si="11"/>
        <v>0</v>
      </c>
      <c r="O50" s="295"/>
      <c r="P50" s="83">
        <f t="shared" si="20"/>
        <v>0</v>
      </c>
      <c r="Q50" s="83">
        <f t="shared" si="21"/>
        <v>0</v>
      </c>
      <c r="R50" s="83">
        <f t="shared" si="22"/>
        <v>0</v>
      </c>
      <c r="S50" s="83">
        <f t="shared" si="23"/>
        <v>0</v>
      </c>
      <c r="T50" s="304">
        <f t="shared" ref="T50:T61" si="46">IF(C50=0,0,+S50/C50)</f>
        <v>0</v>
      </c>
      <c r="U50" s="126"/>
      <c r="V50" s="208">
        <f t="shared" ref="V50:V102" si="47">+S50-E50+C50</f>
        <v>0</v>
      </c>
    </row>
    <row r="51" spans="1:22" ht="12.75" customHeight="1" x14ac:dyDescent="0.2">
      <c r="A51" s="14"/>
      <c r="B51" s="20" t="s">
        <v>98</v>
      </c>
      <c r="C51" s="295"/>
      <c r="D51" s="295"/>
      <c r="E51" s="295"/>
      <c r="F51" s="295"/>
      <c r="G51" s="295"/>
      <c r="H51" s="295"/>
      <c r="I51" s="295"/>
      <c r="J51" s="295"/>
      <c r="K51" s="295"/>
      <c r="L51" s="142">
        <f t="shared" si="11"/>
        <v>0</v>
      </c>
      <c r="M51" s="142">
        <f t="shared" si="11"/>
        <v>0</v>
      </c>
      <c r="N51" s="142">
        <f t="shared" si="11"/>
        <v>0</v>
      </c>
      <c r="O51" s="295"/>
      <c r="P51" s="83">
        <f t="shared" si="20"/>
        <v>0</v>
      </c>
      <c r="Q51" s="83">
        <f t="shared" si="21"/>
        <v>0</v>
      </c>
      <c r="R51" s="83">
        <f t="shared" si="22"/>
        <v>0</v>
      </c>
      <c r="S51" s="83">
        <f t="shared" si="23"/>
        <v>0</v>
      </c>
      <c r="T51" s="304">
        <f t="shared" si="46"/>
        <v>0</v>
      </c>
      <c r="U51" s="126"/>
      <c r="V51" s="208">
        <f t="shared" si="47"/>
        <v>0</v>
      </c>
    </row>
    <row r="52" spans="1:22" ht="12.75" customHeight="1" x14ac:dyDescent="0.2">
      <c r="A52" s="14"/>
      <c r="B52" s="20" t="s">
        <v>99</v>
      </c>
      <c r="C52" s="295"/>
      <c r="D52" s="295"/>
      <c r="E52" s="295"/>
      <c r="F52" s="295"/>
      <c r="G52" s="295"/>
      <c r="H52" s="295"/>
      <c r="I52" s="295"/>
      <c r="J52" s="295"/>
      <c r="K52" s="295"/>
      <c r="L52" s="142">
        <f t="shared" si="11"/>
        <v>0</v>
      </c>
      <c r="M52" s="142">
        <f t="shared" si="11"/>
        <v>0</v>
      </c>
      <c r="N52" s="142">
        <f t="shared" si="11"/>
        <v>0</v>
      </c>
      <c r="O52" s="295"/>
      <c r="P52" s="83">
        <f t="shared" si="20"/>
        <v>0</v>
      </c>
      <c r="Q52" s="83">
        <f t="shared" si="21"/>
        <v>0</v>
      </c>
      <c r="R52" s="83">
        <f t="shared" si="22"/>
        <v>0</v>
      </c>
      <c r="S52" s="83">
        <f t="shared" si="23"/>
        <v>0</v>
      </c>
      <c r="T52" s="304">
        <f t="shared" si="46"/>
        <v>0</v>
      </c>
      <c r="U52" s="126"/>
      <c r="V52" s="208">
        <f t="shared" si="47"/>
        <v>0</v>
      </c>
    </row>
    <row r="53" spans="1:22" ht="12.75" customHeight="1" x14ac:dyDescent="0.2">
      <c r="A53" s="14" t="s">
        <v>51</v>
      </c>
      <c r="B53" s="20" t="s">
        <v>52</v>
      </c>
      <c r="C53" s="295">
        <v>0</v>
      </c>
      <c r="D53" s="295">
        <v>0</v>
      </c>
      <c r="E53" s="295">
        <v>0</v>
      </c>
      <c r="F53" s="295"/>
      <c r="G53" s="295"/>
      <c r="H53" s="295">
        <v>0</v>
      </c>
      <c r="I53" s="295">
        <f>+H53</f>
        <v>0</v>
      </c>
      <c r="J53" s="295"/>
      <c r="K53" s="295"/>
      <c r="L53" s="142">
        <f t="shared" si="11"/>
        <v>0</v>
      </c>
      <c r="M53" s="142">
        <f t="shared" si="11"/>
        <v>0</v>
      </c>
      <c r="N53" s="142">
        <f t="shared" si="11"/>
        <v>0</v>
      </c>
      <c r="O53" s="295"/>
      <c r="P53" s="83">
        <f t="shared" si="20"/>
        <v>0</v>
      </c>
      <c r="Q53" s="83">
        <f t="shared" si="21"/>
        <v>0</v>
      </c>
      <c r="R53" s="83">
        <f t="shared" si="22"/>
        <v>0</v>
      </c>
      <c r="S53" s="83">
        <f t="shared" si="23"/>
        <v>0</v>
      </c>
      <c r="T53" s="304">
        <f t="shared" si="46"/>
        <v>0</v>
      </c>
      <c r="U53" s="126"/>
      <c r="V53" s="208">
        <f t="shared" si="47"/>
        <v>0</v>
      </c>
    </row>
    <row r="54" spans="1:22" ht="12.75" customHeight="1" x14ac:dyDescent="0.2">
      <c r="A54" s="14"/>
      <c r="B54" s="20" t="s">
        <v>90</v>
      </c>
      <c r="C54" s="295"/>
      <c r="D54" s="295"/>
      <c r="E54" s="295"/>
      <c r="F54" s="295"/>
      <c r="G54" s="295"/>
      <c r="H54" s="295"/>
      <c r="I54" s="295"/>
      <c r="J54" s="295"/>
      <c r="K54" s="295"/>
      <c r="L54" s="142">
        <f t="shared" si="11"/>
        <v>0</v>
      </c>
      <c r="M54" s="142">
        <f t="shared" si="11"/>
        <v>0</v>
      </c>
      <c r="N54" s="142">
        <f t="shared" si="11"/>
        <v>0</v>
      </c>
      <c r="O54" s="295"/>
      <c r="P54" s="83">
        <f t="shared" si="20"/>
        <v>0</v>
      </c>
      <c r="Q54" s="83">
        <f t="shared" si="21"/>
        <v>0</v>
      </c>
      <c r="R54" s="83">
        <f t="shared" si="22"/>
        <v>0</v>
      </c>
      <c r="S54" s="83">
        <f t="shared" si="23"/>
        <v>0</v>
      </c>
      <c r="T54" s="304">
        <f t="shared" si="46"/>
        <v>0</v>
      </c>
      <c r="U54" s="126"/>
      <c r="V54" s="208">
        <f t="shared" si="47"/>
        <v>0</v>
      </c>
    </row>
    <row r="55" spans="1:22" ht="12.75" customHeight="1" x14ac:dyDescent="0.2">
      <c r="A55" s="14"/>
      <c r="B55" s="20" t="s">
        <v>53</v>
      </c>
      <c r="C55" s="295"/>
      <c r="D55" s="295"/>
      <c r="E55" s="295"/>
      <c r="F55" s="295"/>
      <c r="G55" s="295"/>
      <c r="H55" s="295"/>
      <c r="I55" s="295"/>
      <c r="J55" s="295"/>
      <c r="K55" s="295"/>
      <c r="L55" s="142">
        <f t="shared" si="11"/>
        <v>0</v>
      </c>
      <c r="M55" s="142">
        <f t="shared" si="11"/>
        <v>0</v>
      </c>
      <c r="N55" s="142">
        <f t="shared" si="11"/>
        <v>0</v>
      </c>
      <c r="O55" s="295"/>
      <c r="P55" s="83">
        <f t="shared" si="20"/>
        <v>0</v>
      </c>
      <c r="Q55" s="83">
        <f t="shared" si="21"/>
        <v>0</v>
      </c>
      <c r="R55" s="83">
        <f t="shared" si="22"/>
        <v>0</v>
      </c>
      <c r="S55" s="83">
        <f t="shared" si="23"/>
        <v>0</v>
      </c>
      <c r="T55" s="304">
        <f t="shared" si="46"/>
        <v>0</v>
      </c>
      <c r="U55" s="126"/>
      <c r="V55" s="208">
        <f t="shared" si="47"/>
        <v>0</v>
      </c>
    </row>
    <row r="56" spans="1:22" ht="12.75" customHeight="1" x14ac:dyDescent="0.2">
      <c r="A56" s="14" t="s">
        <v>54</v>
      </c>
      <c r="B56" s="20" t="s">
        <v>55</v>
      </c>
      <c r="C56" s="295"/>
      <c r="D56" s="295"/>
      <c r="E56" s="295"/>
      <c r="F56" s="295"/>
      <c r="G56" s="295"/>
      <c r="H56" s="295"/>
      <c r="I56" s="295"/>
      <c r="J56" s="295"/>
      <c r="K56" s="295"/>
      <c r="L56" s="142">
        <f t="shared" si="11"/>
        <v>0</v>
      </c>
      <c r="M56" s="142">
        <f t="shared" si="11"/>
        <v>0</v>
      </c>
      <c r="N56" s="142">
        <f t="shared" si="11"/>
        <v>0</v>
      </c>
      <c r="O56" s="295"/>
      <c r="P56" s="83">
        <f t="shared" si="20"/>
        <v>0</v>
      </c>
      <c r="Q56" s="83">
        <f t="shared" si="21"/>
        <v>0</v>
      </c>
      <c r="R56" s="83">
        <f t="shared" si="22"/>
        <v>0</v>
      </c>
      <c r="S56" s="83">
        <f t="shared" si="23"/>
        <v>0</v>
      </c>
      <c r="T56" s="304">
        <f t="shared" si="46"/>
        <v>0</v>
      </c>
      <c r="U56" s="126"/>
      <c r="V56" s="208">
        <f t="shared" si="47"/>
        <v>0</v>
      </c>
    </row>
    <row r="57" spans="1:22" ht="12.75" customHeight="1" x14ac:dyDescent="0.2">
      <c r="A57" s="14"/>
      <c r="B57" s="20" t="s">
        <v>56</v>
      </c>
      <c r="C57" s="295"/>
      <c r="D57" s="295"/>
      <c r="E57" s="295"/>
      <c r="F57" s="295"/>
      <c r="G57" s="295"/>
      <c r="H57" s="295"/>
      <c r="I57" s="295"/>
      <c r="J57" s="295"/>
      <c r="K57" s="295"/>
      <c r="L57" s="142">
        <f t="shared" si="11"/>
        <v>0</v>
      </c>
      <c r="M57" s="142">
        <f t="shared" si="11"/>
        <v>0</v>
      </c>
      <c r="N57" s="142">
        <f t="shared" si="11"/>
        <v>0</v>
      </c>
      <c r="O57" s="295"/>
      <c r="P57" s="83">
        <f t="shared" si="20"/>
        <v>0</v>
      </c>
      <c r="Q57" s="83">
        <f t="shared" si="21"/>
        <v>0</v>
      </c>
      <c r="R57" s="83">
        <f t="shared" si="22"/>
        <v>0</v>
      </c>
      <c r="S57" s="83">
        <f t="shared" si="23"/>
        <v>0</v>
      </c>
      <c r="T57" s="304">
        <f t="shared" si="46"/>
        <v>0</v>
      </c>
      <c r="U57" s="126"/>
      <c r="V57" s="208">
        <f t="shared" si="47"/>
        <v>0</v>
      </c>
    </row>
    <row r="58" spans="1:22" ht="12.75" customHeight="1" x14ac:dyDescent="0.2">
      <c r="A58" s="14" t="s">
        <v>57</v>
      </c>
      <c r="B58" s="20" t="s">
        <v>91</v>
      </c>
      <c r="C58" s="295">
        <v>132000</v>
      </c>
      <c r="D58" s="295">
        <v>94000</v>
      </c>
      <c r="E58" s="295">
        <v>0</v>
      </c>
      <c r="F58" s="295"/>
      <c r="G58" s="295"/>
      <c r="H58" s="295">
        <v>0</v>
      </c>
      <c r="I58" s="295">
        <v>0</v>
      </c>
      <c r="J58" s="295"/>
      <c r="K58" s="295"/>
      <c r="L58" s="143">
        <f t="shared" si="11"/>
        <v>0</v>
      </c>
      <c r="M58" s="143">
        <f t="shared" si="11"/>
        <v>0</v>
      </c>
      <c r="N58" s="143">
        <f t="shared" si="11"/>
        <v>0</v>
      </c>
      <c r="O58" s="295"/>
      <c r="P58" s="83">
        <f t="shared" si="20"/>
        <v>-38000</v>
      </c>
      <c r="Q58" s="83">
        <f t="shared" si="21"/>
        <v>-94000</v>
      </c>
      <c r="R58" s="83">
        <f t="shared" si="22"/>
        <v>0</v>
      </c>
      <c r="S58" s="83">
        <f t="shared" si="23"/>
        <v>-132000</v>
      </c>
      <c r="T58" s="304">
        <f t="shared" si="46"/>
        <v>-1</v>
      </c>
      <c r="U58" s="126"/>
      <c r="V58" s="208">
        <f t="shared" si="47"/>
        <v>0</v>
      </c>
    </row>
    <row r="59" spans="1:22" ht="12.75" customHeight="1" x14ac:dyDescent="0.2">
      <c r="A59" s="14"/>
      <c r="B59" s="20" t="s">
        <v>58</v>
      </c>
      <c r="C59" s="295"/>
      <c r="D59" s="295"/>
      <c r="E59" s="295"/>
      <c r="F59" s="295"/>
      <c r="G59" s="295"/>
      <c r="H59" s="295"/>
      <c r="I59" s="295"/>
      <c r="J59" s="295"/>
      <c r="K59" s="295"/>
      <c r="L59" s="142">
        <f t="shared" si="11"/>
        <v>0</v>
      </c>
      <c r="M59" s="142">
        <f t="shared" si="11"/>
        <v>0</v>
      </c>
      <c r="N59" s="142">
        <f t="shared" si="11"/>
        <v>0</v>
      </c>
      <c r="O59" s="295"/>
      <c r="P59" s="83">
        <f t="shared" si="20"/>
        <v>0</v>
      </c>
      <c r="Q59" s="83">
        <f t="shared" si="21"/>
        <v>0</v>
      </c>
      <c r="R59" s="83">
        <f t="shared" si="22"/>
        <v>0</v>
      </c>
      <c r="S59" s="83">
        <f t="shared" si="23"/>
        <v>0</v>
      </c>
      <c r="T59" s="304">
        <f t="shared" si="46"/>
        <v>0</v>
      </c>
      <c r="U59" s="126"/>
      <c r="V59" s="208">
        <f t="shared" si="47"/>
        <v>0</v>
      </c>
    </row>
    <row r="60" spans="1:22" ht="12.75" customHeight="1" x14ac:dyDescent="0.2">
      <c r="A60" s="14" t="s">
        <v>59</v>
      </c>
      <c r="B60" s="20" t="s">
        <v>60</v>
      </c>
      <c r="C60" s="295"/>
      <c r="D60" s="295"/>
      <c r="E60" s="295"/>
      <c r="F60" s="295"/>
      <c r="G60" s="295"/>
      <c r="H60" s="295"/>
      <c r="I60" s="295"/>
      <c r="J60" s="295"/>
      <c r="K60" s="295"/>
      <c r="L60" s="142">
        <f t="shared" si="11"/>
        <v>0</v>
      </c>
      <c r="M60" s="142">
        <f t="shared" si="11"/>
        <v>0</v>
      </c>
      <c r="N60" s="142">
        <f t="shared" si="11"/>
        <v>0</v>
      </c>
      <c r="O60" s="295"/>
      <c r="P60" s="83">
        <f t="shared" si="20"/>
        <v>0</v>
      </c>
      <c r="Q60" s="83">
        <f t="shared" si="21"/>
        <v>0</v>
      </c>
      <c r="R60" s="83">
        <f t="shared" si="22"/>
        <v>0</v>
      </c>
      <c r="S60" s="83">
        <f t="shared" si="23"/>
        <v>0</v>
      </c>
      <c r="T60" s="304">
        <f t="shared" si="46"/>
        <v>0</v>
      </c>
      <c r="U60" s="126"/>
      <c r="V60" s="208">
        <f t="shared" si="47"/>
        <v>0</v>
      </c>
    </row>
    <row r="61" spans="1:22" ht="23.25" customHeight="1" x14ac:dyDescent="0.2">
      <c r="A61" s="20"/>
      <c r="B61" s="20" t="s">
        <v>61</v>
      </c>
      <c r="C61" s="295"/>
      <c r="D61" s="295"/>
      <c r="E61" s="295"/>
      <c r="F61" s="295"/>
      <c r="G61" s="295"/>
      <c r="H61" s="295"/>
      <c r="I61" s="295"/>
      <c r="J61" s="295"/>
      <c r="K61" s="295"/>
      <c r="L61" s="142">
        <f t="shared" si="11"/>
        <v>0</v>
      </c>
      <c r="M61" s="142">
        <f t="shared" si="11"/>
        <v>0</v>
      </c>
      <c r="N61" s="142">
        <f t="shared" si="11"/>
        <v>0</v>
      </c>
      <c r="O61" s="295"/>
      <c r="P61" s="83">
        <f t="shared" si="20"/>
        <v>0</v>
      </c>
      <c r="Q61" s="83">
        <f t="shared" si="21"/>
        <v>0</v>
      </c>
      <c r="R61" s="83">
        <f t="shared" si="22"/>
        <v>0</v>
      </c>
      <c r="S61" s="83">
        <f t="shared" si="23"/>
        <v>0</v>
      </c>
      <c r="T61" s="304">
        <f t="shared" si="46"/>
        <v>0</v>
      </c>
      <c r="U61" s="126"/>
      <c r="V61" s="208">
        <f t="shared" si="47"/>
        <v>0</v>
      </c>
    </row>
    <row r="62" spans="1:22" ht="12.75" customHeight="1" x14ac:dyDescent="0.2">
      <c r="A62" s="14" t="s">
        <v>62</v>
      </c>
      <c r="B62" s="20" t="s">
        <v>63</v>
      </c>
      <c r="C62" s="295">
        <v>185000</v>
      </c>
      <c r="D62" s="295">
        <v>185000</v>
      </c>
      <c r="E62" s="295">
        <v>0</v>
      </c>
      <c r="F62" s="295"/>
      <c r="G62" s="295"/>
      <c r="H62" s="295">
        <v>58500</v>
      </c>
      <c r="I62" s="295">
        <v>0</v>
      </c>
      <c r="J62" s="295"/>
      <c r="K62" s="295"/>
      <c r="L62" s="143">
        <f t="shared" si="11"/>
        <v>0.31621621621621621</v>
      </c>
      <c r="M62" s="143">
        <f t="shared" si="11"/>
        <v>0</v>
      </c>
      <c r="N62" s="143">
        <f t="shared" si="11"/>
        <v>0</v>
      </c>
      <c r="O62" s="295"/>
      <c r="P62" s="83">
        <f t="shared" si="20"/>
        <v>0</v>
      </c>
      <c r="Q62" s="83">
        <f t="shared" si="21"/>
        <v>-185000</v>
      </c>
      <c r="R62" s="83">
        <f t="shared" si="22"/>
        <v>0</v>
      </c>
      <c r="S62" s="83">
        <f t="shared" si="23"/>
        <v>-185000</v>
      </c>
      <c r="T62" s="304">
        <f t="shared" ref="T62:T70" si="48">IF(C62=0,0,+S62/C62)</f>
        <v>-1</v>
      </c>
      <c r="U62" s="126"/>
      <c r="V62" s="208">
        <f t="shared" si="47"/>
        <v>0</v>
      </c>
    </row>
    <row r="63" spans="1:22" ht="61.5" customHeight="1" x14ac:dyDescent="0.2">
      <c r="A63" s="14"/>
      <c r="B63" s="20" t="s">
        <v>102</v>
      </c>
      <c r="C63" s="295"/>
      <c r="D63" s="295"/>
      <c r="E63" s="295"/>
      <c r="F63" s="295"/>
      <c r="G63" s="295"/>
      <c r="H63" s="295"/>
      <c r="I63" s="295"/>
      <c r="J63" s="295"/>
      <c r="K63" s="295"/>
      <c r="L63" s="142">
        <f t="shared" si="11"/>
        <v>0</v>
      </c>
      <c r="M63" s="142">
        <f t="shared" si="11"/>
        <v>0</v>
      </c>
      <c r="N63" s="142">
        <f t="shared" si="11"/>
        <v>0</v>
      </c>
      <c r="O63" s="295"/>
      <c r="P63" s="83">
        <f t="shared" si="20"/>
        <v>0</v>
      </c>
      <c r="Q63" s="83">
        <f t="shared" si="21"/>
        <v>0</v>
      </c>
      <c r="R63" s="83">
        <f t="shared" si="22"/>
        <v>0</v>
      </c>
      <c r="S63" s="83">
        <f t="shared" si="23"/>
        <v>0</v>
      </c>
      <c r="T63" s="304">
        <f t="shared" si="48"/>
        <v>0</v>
      </c>
      <c r="U63" s="126"/>
      <c r="V63" s="208">
        <f t="shared" si="47"/>
        <v>0</v>
      </c>
    </row>
    <row r="64" spans="1:22" ht="12.75" customHeight="1" x14ac:dyDescent="0.2">
      <c r="A64" s="14" t="s">
        <v>64</v>
      </c>
      <c r="B64" s="20" t="s">
        <v>65</v>
      </c>
      <c r="C64" s="295">
        <v>355000</v>
      </c>
      <c r="D64" s="295">
        <v>375000</v>
      </c>
      <c r="E64" s="295">
        <v>0</v>
      </c>
      <c r="F64" s="295"/>
      <c r="G64" s="295"/>
      <c r="H64" s="295">
        <v>281552</v>
      </c>
      <c r="I64" s="295">
        <v>0</v>
      </c>
      <c r="J64" s="295"/>
      <c r="K64" s="295"/>
      <c r="L64" s="143">
        <f t="shared" si="11"/>
        <v>0.79310422535211267</v>
      </c>
      <c r="M64" s="143">
        <f t="shared" si="11"/>
        <v>0</v>
      </c>
      <c r="N64" s="143">
        <f t="shared" si="11"/>
        <v>0</v>
      </c>
      <c r="O64" s="295"/>
      <c r="P64" s="83">
        <f t="shared" si="20"/>
        <v>20000</v>
      </c>
      <c r="Q64" s="83">
        <f t="shared" si="21"/>
        <v>-375000</v>
      </c>
      <c r="R64" s="83">
        <f t="shared" si="22"/>
        <v>0</v>
      </c>
      <c r="S64" s="83">
        <f t="shared" si="23"/>
        <v>-355000</v>
      </c>
      <c r="T64" s="304">
        <f t="shared" si="48"/>
        <v>-1</v>
      </c>
      <c r="U64" s="126"/>
      <c r="V64" s="208">
        <f t="shared" si="47"/>
        <v>0</v>
      </c>
    </row>
    <row r="65" spans="1:22" ht="54.75" customHeight="1" x14ac:dyDescent="0.2">
      <c r="A65" s="14"/>
      <c r="B65" s="20" t="s">
        <v>66</v>
      </c>
      <c r="C65" s="295">
        <v>0</v>
      </c>
      <c r="D65" s="295"/>
      <c r="E65" s="295"/>
      <c r="F65" s="295"/>
      <c r="G65" s="295"/>
      <c r="H65" s="295"/>
      <c r="I65" s="295"/>
      <c r="J65" s="295"/>
      <c r="K65" s="295"/>
      <c r="L65" s="142">
        <f t="shared" si="11"/>
        <v>0</v>
      </c>
      <c r="M65" s="142">
        <f t="shared" si="11"/>
        <v>0</v>
      </c>
      <c r="N65" s="142">
        <f t="shared" si="11"/>
        <v>0</v>
      </c>
      <c r="O65" s="295"/>
      <c r="P65" s="83">
        <f t="shared" si="20"/>
        <v>0</v>
      </c>
      <c r="Q65" s="83">
        <f t="shared" si="21"/>
        <v>0</v>
      </c>
      <c r="R65" s="83">
        <f t="shared" si="22"/>
        <v>0</v>
      </c>
      <c r="S65" s="83">
        <f t="shared" si="23"/>
        <v>0</v>
      </c>
      <c r="T65" s="304">
        <f t="shared" si="48"/>
        <v>0</v>
      </c>
      <c r="U65" s="126"/>
      <c r="V65" s="208">
        <f t="shared" si="47"/>
        <v>0</v>
      </c>
    </row>
    <row r="66" spans="1:22" s="43" customFormat="1" ht="12.75" customHeight="1" x14ac:dyDescent="0.2">
      <c r="A66" s="39" t="s">
        <v>67</v>
      </c>
      <c r="B66" s="40" t="s">
        <v>68</v>
      </c>
      <c r="C66" s="298">
        <f>+C67+C69</f>
        <v>10000</v>
      </c>
      <c r="D66" s="298">
        <f>+D67+D69</f>
        <v>10000</v>
      </c>
      <c r="E66" s="298">
        <f>+E67+E69</f>
        <v>0</v>
      </c>
      <c r="F66" s="298">
        <f>+F67+F69</f>
        <v>0</v>
      </c>
      <c r="G66" s="298"/>
      <c r="H66" s="298">
        <f>+H67+H69</f>
        <v>0</v>
      </c>
      <c r="I66" s="298">
        <f t="shared" ref="I66:J66" si="49">+I67+I69</f>
        <v>0</v>
      </c>
      <c r="J66" s="298">
        <f t="shared" si="49"/>
        <v>0</v>
      </c>
      <c r="K66" s="298"/>
      <c r="L66" s="143">
        <f t="shared" si="11"/>
        <v>0</v>
      </c>
      <c r="M66" s="143">
        <f t="shared" si="11"/>
        <v>0</v>
      </c>
      <c r="N66" s="143">
        <f t="shared" si="11"/>
        <v>0</v>
      </c>
      <c r="O66" s="298"/>
      <c r="P66" s="298">
        <f t="shared" si="20"/>
        <v>0</v>
      </c>
      <c r="Q66" s="298">
        <f t="shared" si="21"/>
        <v>-10000</v>
      </c>
      <c r="R66" s="298">
        <f t="shared" si="22"/>
        <v>0</v>
      </c>
      <c r="S66" s="298">
        <f t="shared" si="23"/>
        <v>-10000</v>
      </c>
      <c r="T66" s="304">
        <f t="shared" si="48"/>
        <v>-1</v>
      </c>
      <c r="U66" s="126"/>
      <c r="V66" s="208">
        <f t="shared" si="47"/>
        <v>0</v>
      </c>
    </row>
    <row r="67" spans="1:22" ht="12.75" customHeight="1" x14ac:dyDescent="0.2">
      <c r="A67" s="14" t="s">
        <v>69</v>
      </c>
      <c r="B67" s="20" t="s">
        <v>70</v>
      </c>
      <c r="C67" s="295">
        <v>10000</v>
      </c>
      <c r="D67" s="295">
        <v>10000</v>
      </c>
      <c r="E67" s="295">
        <v>0</v>
      </c>
      <c r="F67" s="295"/>
      <c r="G67" s="295"/>
      <c r="H67" s="295">
        <v>0</v>
      </c>
      <c r="I67" s="295">
        <f>+H67</f>
        <v>0</v>
      </c>
      <c r="J67" s="295"/>
      <c r="K67" s="295"/>
      <c r="L67" s="143">
        <f t="shared" si="11"/>
        <v>0</v>
      </c>
      <c r="M67" s="143">
        <f t="shared" si="11"/>
        <v>0</v>
      </c>
      <c r="N67" s="143">
        <f t="shared" si="11"/>
        <v>0</v>
      </c>
      <c r="O67" s="295"/>
      <c r="P67" s="83">
        <f t="shared" si="20"/>
        <v>0</v>
      </c>
      <c r="Q67" s="83">
        <f t="shared" si="21"/>
        <v>-10000</v>
      </c>
      <c r="R67" s="83">
        <f t="shared" si="22"/>
        <v>0</v>
      </c>
      <c r="S67" s="83">
        <f t="shared" si="23"/>
        <v>-10000</v>
      </c>
      <c r="T67" s="304">
        <f t="shared" si="48"/>
        <v>-1</v>
      </c>
      <c r="U67" s="126"/>
      <c r="V67" s="208">
        <f t="shared" si="47"/>
        <v>0</v>
      </c>
    </row>
    <row r="68" spans="1:22" ht="24" customHeight="1" x14ac:dyDescent="0.2">
      <c r="A68" s="14"/>
      <c r="B68" s="20" t="s">
        <v>71</v>
      </c>
      <c r="C68" s="295"/>
      <c r="D68" s="295"/>
      <c r="E68" s="295"/>
      <c r="F68" s="295"/>
      <c r="G68" s="295"/>
      <c r="H68" s="295"/>
      <c r="I68" s="295"/>
      <c r="J68" s="295"/>
      <c r="K68" s="295"/>
      <c r="L68" s="142">
        <f t="shared" si="11"/>
        <v>0</v>
      </c>
      <c r="M68" s="142">
        <f t="shared" si="11"/>
        <v>0</v>
      </c>
      <c r="N68" s="142">
        <f t="shared" si="11"/>
        <v>0</v>
      </c>
      <c r="O68" s="295"/>
      <c r="P68" s="83">
        <f t="shared" si="20"/>
        <v>0</v>
      </c>
      <c r="Q68" s="83">
        <f t="shared" si="21"/>
        <v>0</v>
      </c>
      <c r="R68" s="83">
        <f t="shared" si="22"/>
        <v>0</v>
      </c>
      <c r="S68" s="83">
        <f t="shared" si="23"/>
        <v>0</v>
      </c>
      <c r="T68" s="304">
        <f t="shared" si="48"/>
        <v>0</v>
      </c>
      <c r="U68" s="126"/>
      <c r="V68" s="208">
        <f t="shared" si="47"/>
        <v>0</v>
      </c>
    </row>
    <row r="69" spans="1:22" ht="12.75" customHeight="1" x14ac:dyDescent="0.2">
      <c r="A69" s="14" t="s">
        <v>72</v>
      </c>
      <c r="B69" s="20" t="s">
        <v>100</v>
      </c>
      <c r="C69" s="295"/>
      <c r="D69" s="295"/>
      <c r="E69" s="295"/>
      <c r="F69" s="295"/>
      <c r="G69" s="295"/>
      <c r="H69" s="295"/>
      <c r="I69" s="295"/>
      <c r="J69" s="295"/>
      <c r="K69" s="295"/>
      <c r="L69" s="142">
        <f t="shared" si="11"/>
        <v>0</v>
      </c>
      <c r="M69" s="142">
        <f t="shared" si="11"/>
        <v>0</v>
      </c>
      <c r="N69" s="142">
        <f t="shared" si="11"/>
        <v>0</v>
      </c>
      <c r="O69" s="295"/>
      <c r="P69" s="83">
        <f t="shared" si="20"/>
        <v>0</v>
      </c>
      <c r="Q69" s="83">
        <f t="shared" si="21"/>
        <v>0</v>
      </c>
      <c r="R69" s="83">
        <f t="shared" si="22"/>
        <v>0</v>
      </c>
      <c r="S69" s="83">
        <f t="shared" si="23"/>
        <v>0</v>
      </c>
      <c r="T69" s="304">
        <f t="shared" si="48"/>
        <v>0</v>
      </c>
      <c r="U69" s="126"/>
      <c r="V69" s="208">
        <f t="shared" si="47"/>
        <v>0</v>
      </c>
    </row>
    <row r="70" spans="1:22" ht="26.25" customHeight="1" x14ac:dyDescent="0.2">
      <c r="A70" s="14"/>
      <c r="B70" s="20" t="s">
        <v>73</v>
      </c>
      <c r="C70" s="295"/>
      <c r="D70" s="295"/>
      <c r="E70" s="295"/>
      <c r="F70" s="295"/>
      <c r="G70" s="295"/>
      <c r="H70" s="295"/>
      <c r="I70" s="295"/>
      <c r="J70" s="295"/>
      <c r="K70" s="295"/>
      <c r="L70" s="142">
        <f t="shared" si="11"/>
        <v>0</v>
      </c>
      <c r="M70" s="142">
        <f t="shared" si="11"/>
        <v>0</v>
      </c>
      <c r="N70" s="142">
        <f t="shared" si="11"/>
        <v>0</v>
      </c>
      <c r="O70" s="295"/>
      <c r="P70" s="83">
        <f t="shared" si="20"/>
        <v>0</v>
      </c>
      <c r="Q70" s="83">
        <f t="shared" si="21"/>
        <v>0</v>
      </c>
      <c r="R70" s="83">
        <f t="shared" si="22"/>
        <v>0</v>
      </c>
      <c r="S70" s="83">
        <f t="shared" si="23"/>
        <v>0</v>
      </c>
      <c r="T70" s="304">
        <f t="shared" si="48"/>
        <v>0</v>
      </c>
      <c r="U70" s="126"/>
      <c r="V70" s="208">
        <f t="shared" si="47"/>
        <v>0</v>
      </c>
    </row>
    <row r="71" spans="1:22" s="43" customFormat="1" ht="12.75" customHeight="1" x14ac:dyDescent="0.2">
      <c r="A71" s="39" t="s">
        <v>74</v>
      </c>
      <c r="B71" s="40" t="s">
        <v>75</v>
      </c>
      <c r="C71" s="298">
        <f>SUM(C72:C81)</f>
        <v>2288000</v>
      </c>
      <c r="D71" s="298">
        <f t="shared" ref="D71:J71" si="50">SUM(D72:D81)</f>
        <v>2288000</v>
      </c>
      <c r="E71" s="298">
        <f t="shared" si="50"/>
        <v>0</v>
      </c>
      <c r="F71" s="298">
        <f t="shared" si="50"/>
        <v>0</v>
      </c>
      <c r="G71" s="298"/>
      <c r="H71" s="298">
        <f t="shared" si="50"/>
        <v>777300</v>
      </c>
      <c r="I71" s="298">
        <f t="shared" si="50"/>
        <v>0</v>
      </c>
      <c r="J71" s="298">
        <f t="shared" si="50"/>
        <v>0</v>
      </c>
      <c r="K71" s="298"/>
      <c r="L71" s="144">
        <f t="shared" si="11"/>
        <v>0.33972902097902097</v>
      </c>
      <c r="M71" s="144">
        <f t="shared" si="11"/>
        <v>0</v>
      </c>
      <c r="N71" s="144">
        <f t="shared" si="11"/>
        <v>0</v>
      </c>
      <c r="O71" s="298"/>
      <c r="P71" s="298">
        <f t="shared" si="20"/>
        <v>0</v>
      </c>
      <c r="Q71" s="298">
        <f t="shared" si="21"/>
        <v>-2288000</v>
      </c>
      <c r="R71" s="298">
        <f t="shared" si="22"/>
        <v>0</v>
      </c>
      <c r="S71" s="298">
        <f t="shared" si="23"/>
        <v>-2288000</v>
      </c>
      <c r="V71" s="208">
        <f t="shared" si="47"/>
        <v>0</v>
      </c>
    </row>
    <row r="72" spans="1:22" ht="12.75" customHeight="1" x14ac:dyDescent="0.2">
      <c r="A72" s="14" t="s">
        <v>76</v>
      </c>
      <c r="B72" s="20" t="s">
        <v>77</v>
      </c>
      <c r="C72" s="295">
        <v>1751000</v>
      </c>
      <c r="D72" s="295">
        <v>1751000</v>
      </c>
      <c r="E72" s="295">
        <v>0</v>
      </c>
      <c r="F72" s="295"/>
      <c r="G72" s="295"/>
      <c r="H72" s="295">
        <v>677148</v>
      </c>
      <c r="I72" s="295">
        <v>0</v>
      </c>
      <c r="J72" s="295"/>
      <c r="K72" s="295"/>
      <c r="L72" s="143">
        <f t="shared" si="11"/>
        <v>0.38672073101085092</v>
      </c>
      <c r="M72" s="143">
        <f t="shared" si="11"/>
        <v>0</v>
      </c>
      <c r="N72" s="143">
        <f t="shared" si="11"/>
        <v>0</v>
      </c>
      <c r="O72" s="295"/>
      <c r="P72" s="83">
        <f t="shared" si="20"/>
        <v>0</v>
      </c>
      <c r="Q72" s="83">
        <f t="shared" si="21"/>
        <v>-1751000</v>
      </c>
      <c r="R72" s="83">
        <f t="shared" si="22"/>
        <v>0</v>
      </c>
      <c r="S72" s="83">
        <f t="shared" si="23"/>
        <v>-1751000</v>
      </c>
      <c r="T72" s="304">
        <f t="shared" ref="T72:T81" si="51">IF(C72=0,0,+S72/C72)</f>
        <v>-1</v>
      </c>
      <c r="U72" s="126"/>
      <c r="V72" s="208">
        <f t="shared" si="47"/>
        <v>0</v>
      </c>
    </row>
    <row r="73" spans="1:22" ht="12.75" customHeight="1" x14ac:dyDescent="0.2">
      <c r="A73" s="14"/>
      <c r="B73" s="20" t="s">
        <v>78</v>
      </c>
      <c r="C73" s="295">
        <v>0</v>
      </c>
      <c r="D73" s="295"/>
      <c r="E73" s="295"/>
      <c r="F73" s="295"/>
      <c r="G73" s="295"/>
      <c r="H73" s="295"/>
      <c r="I73" s="295"/>
      <c r="J73" s="295"/>
      <c r="K73" s="295"/>
      <c r="L73" s="142">
        <f t="shared" si="11"/>
        <v>0</v>
      </c>
      <c r="M73" s="142">
        <f t="shared" si="11"/>
        <v>0</v>
      </c>
      <c r="N73" s="142">
        <f t="shared" si="11"/>
        <v>0</v>
      </c>
      <c r="O73" s="295"/>
      <c r="P73" s="83">
        <f t="shared" si="20"/>
        <v>0</v>
      </c>
      <c r="Q73" s="83">
        <f t="shared" si="21"/>
        <v>0</v>
      </c>
      <c r="R73" s="83">
        <f t="shared" si="22"/>
        <v>0</v>
      </c>
      <c r="S73" s="83">
        <f t="shared" si="23"/>
        <v>0</v>
      </c>
      <c r="T73" s="304">
        <f t="shared" si="51"/>
        <v>0</v>
      </c>
      <c r="U73" s="126"/>
      <c r="V73" s="208">
        <f t="shared" si="47"/>
        <v>0</v>
      </c>
    </row>
    <row r="74" spans="1:22" ht="12.75" customHeight="1" x14ac:dyDescent="0.2">
      <c r="A74" s="14" t="s">
        <v>79</v>
      </c>
      <c r="B74" s="20" t="s">
        <v>80</v>
      </c>
      <c r="C74" s="295">
        <v>487000</v>
      </c>
      <c r="D74" s="295">
        <v>487000</v>
      </c>
      <c r="E74" s="295">
        <v>0</v>
      </c>
      <c r="F74" s="295"/>
      <c r="G74" s="295"/>
      <c r="H74" s="295">
        <v>99000</v>
      </c>
      <c r="I74" s="295">
        <v>0</v>
      </c>
      <c r="J74" s="295"/>
      <c r="K74" s="295"/>
      <c r="L74" s="143">
        <f t="shared" si="11"/>
        <v>0.20328542094455851</v>
      </c>
      <c r="M74" s="143">
        <f t="shared" si="11"/>
        <v>0</v>
      </c>
      <c r="N74" s="143">
        <f t="shared" si="11"/>
        <v>0</v>
      </c>
      <c r="O74" s="295"/>
      <c r="P74" s="83">
        <f t="shared" si="20"/>
        <v>0</v>
      </c>
      <c r="Q74" s="83">
        <f t="shared" si="21"/>
        <v>-487000</v>
      </c>
      <c r="R74" s="83">
        <f t="shared" si="22"/>
        <v>0</v>
      </c>
      <c r="S74" s="83">
        <f t="shared" si="23"/>
        <v>-487000</v>
      </c>
      <c r="T74" s="304">
        <f t="shared" si="51"/>
        <v>-1</v>
      </c>
      <c r="U74" s="126"/>
      <c r="V74" s="208">
        <f t="shared" si="47"/>
        <v>0</v>
      </c>
    </row>
    <row r="75" spans="1:22" ht="12.75" customHeight="1" x14ac:dyDescent="0.2">
      <c r="A75" s="14"/>
      <c r="B75" s="20" t="s">
        <v>101</v>
      </c>
      <c r="C75" s="295"/>
      <c r="D75" s="295"/>
      <c r="E75" s="295"/>
      <c r="F75" s="295"/>
      <c r="G75" s="295"/>
      <c r="H75" s="295"/>
      <c r="I75" s="295"/>
      <c r="J75" s="295"/>
      <c r="K75" s="295"/>
      <c r="L75" s="142">
        <f t="shared" si="11"/>
        <v>0</v>
      </c>
      <c r="M75" s="142">
        <f t="shared" si="11"/>
        <v>0</v>
      </c>
      <c r="N75" s="142">
        <f t="shared" si="11"/>
        <v>0</v>
      </c>
      <c r="O75" s="295"/>
      <c r="P75" s="83">
        <f t="shared" si="20"/>
        <v>0</v>
      </c>
      <c r="Q75" s="83">
        <f t="shared" si="21"/>
        <v>0</v>
      </c>
      <c r="R75" s="83">
        <f t="shared" si="22"/>
        <v>0</v>
      </c>
      <c r="S75" s="83">
        <f t="shared" si="23"/>
        <v>0</v>
      </c>
      <c r="T75" s="304">
        <f t="shared" si="51"/>
        <v>0</v>
      </c>
      <c r="U75" s="126"/>
      <c r="V75" s="208">
        <f t="shared" si="47"/>
        <v>0</v>
      </c>
    </row>
    <row r="76" spans="1:22" ht="12.75" customHeight="1" x14ac:dyDescent="0.2">
      <c r="A76" s="14" t="s">
        <v>81</v>
      </c>
      <c r="B76" s="20" t="s">
        <v>82</v>
      </c>
      <c r="C76" s="295"/>
      <c r="D76" s="295"/>
      <c r="E76" s="295"/>
      <c r="F76" s="295"/>
      <c r="G76" s="295"/>
      <c r="H76" s="295"/>
      <c r="I76" s="295"/>
      <c r="J76" s="295"/>
      <c r="K76" s="295"/>
      <c r="L76" s="142">
        <f t="shared" si="11"/>
        <v>0</v>
      </c>
      <c r="M76" s="142">
        <f t="shared" si="11"/>
        <v>0</v>
      </c>
      <c r="N76" s="142">
        <f t="shared" si="11"/>
        <v>0</v>
      </c>
      <c r="O76" s="295"/>
      <c r="P76" s="83">
        <f t="shared" si="20"/>
        <v>0</v>
      </c>
      <c r="Q76" s="83">
        <f t="shared" si="21"/>
        <v>0</v>
      </c>
      <c r="R76" s="83">
        <f t="shared" si="22"/>
        <v>0</v>
      </c>
      <c r="S76" s="83">
        <f t="shared" si="23"/>
        <v>0</v>
      </c>
      <c r="T76" s="304">
        <f t="shared" si="51"/>
        <v>0</v>
      </c>
      <c r="U76" s="126"/>
      <c r="V76" s="208">
        <f t="shared" si="47"/>
        <v>0</v>
      </c>
    </row>
    <row r="77" spans="1:22" ht="30.75" customHeight="1" x14ac:dyDescent="0.2">
      <c r="A77" s="14"/>
      <c r="B77" s="20" t="s">
        <v>106</v>
      </c>
      <c r="C77" s="295"/>
      <c r="D77" s="295"/>
      <c r="E77" s="295"/>
      <c r="F77" s="295"/>
      <c r="G77" s="295"/>
      <c r="H77" s="295"/>
      <c r="I77" s="295"/>
      <c r="J77" s="295"/>
      <c r="K77" s="295"/>
      <c r="L77" s="142">
        <f t="shared" ref="L77:N102" si="52">IF(H77&gt;0,H77/C77,0)</f>
        <v>0</v>
      </c>
      <c r="M77" s="142">
        <f t="shared" si="52"/>
        <v>0</v>
      </c>
      <c r="N77" s="142">
        <f t="shared" si="52"/>
        <v>0</v>
      </c>
      <c r="O77" s="295"/>
      <c r="P77" s="83">
        <f t="shared" si="20"/>
        <v>0</v>
      </c>
      <c r="Q77" s="83">
        <f t="shared" si="21"/>
        <v>0</v>
      </c>
      <c r="R77" s="83">
        <f t="shared" si="22"/>
        <v>0</v>
      </c>
      <c r="S77" s="83">
        <f t="shared" si="23"/>
        <v>0</v>
      </c>
      <c r="T77" s="304">
        <f t="shared" si="51"/>
        <v>0</v>
      </c>
      <c r="U77" s="126"/>
      <c r="V77" s="208">
        <f t="shared" si="47"/>
        <v>0</v>
      </c>
    </row>
    <row r="78" spans="1:22" ht="12.75" customHeight="1" x14ac:dyDescent="0.2">
      <c r="A78" s="14" t="s">
        <v>84</v>
      </c>
      <c r="B78" s="20" t="s">
        <v>85</v>
      </c>
      <c r="C78" s="295"/>
      <c r="D78" s="295"/>
      <c r="E78" s="295"/>
      <c r="F78" s="295"/>
      <c r="G78" s="295"/>
      <c r="H78" s="295"/>
      <c r="I78" s="295"/>
      <c r="J78" s="295"/>
      <c r="K78" s="295"/>
      <c r="L78" s="142">
        <f t="shared" si="52"/>
        <v>0</v>
      </c>
      <c r="M78" s="142">
        <f t="shared" si="52"/>
        <v>0</v>
      </c>
      <c r="N78" s="142">
        <f t="shared" si="52"/>
        <v>0</v>
      </c>
      <c r="O78" s="295"/>
      <c r="P78" s="83">
        <f t="shared" si="20"/>
        <v>0</v>
      </c>
      <c r="Q78" s="83">
        <f t="shared" si="21"/>
        <v>0</v>
      </c>
      <c r="R78" s="83">
        <f t="shared" si="22"/>
        <v>0</v>
      </c>
      <c r="S78" s="83">
        <f t="shared" si="23"/>
        <v>0</v>
      </c>
      <c r="T78" s="304">
        <f t="shared" si="51"/>
        <v>0</v>
      </c>
      <c r="U78" s="126"/>
      <c r="V78" s="208">
        <f t="shared" si="47"/>
        <v>0</v>
      </c>
    </row>
    <row r="79" spans="1:22" ht="12.75" customHeight="1" x14ac:dyDescent="0.2">
      <c r="A79" s="14"/>
      <c r="B79" s="20" t="s">
        <v>86</v>
      </c>
      <c r="C79" s="295"/>
      <c r="D79" s="295"/>
      <c r="E79" s="295"/>
      <c r="F79" s="295"/>
      <c r="G79" s="295"/>
      <c r="H79" s="295"/>
      <c r="I79" s="295"/>
      <c r="J79" s="295"/>
      <c r="K79" s="295"/>
      <c r="L79" s="142">
        <f t="shared" si="52"/>
        <v>0</v>
      </c>
      <c r="M79" s="142">
        <f t="shared" si="52"/>
        <v>0</v>
      </c>
      <c r="N79" s="142">
        <f t="shared" si="52"/>
        <v>0</v>
      </c>
      <c r="O79" s="295"/>
      <c r="P79" s="83">
        <f t="shared" si="20"/>
        <v>0</v>
      </c>
      <c r="Q79" s="83">
        <f t="shared" si="21"/>
        <v>0</v>
      </c>
      <c r="R79" s="83">
        <f t="shared" si="22"/>
        <v>0</v>
      </c>
      <c r="S79" s="83">
        <f t="shared" si="23"/>
        <v>0</v>
      </c>
      <c r="T79" s="304">
        <f t="shared" si="51"/>
        <v>0</v>
      </c>
      <c r="U79" s="126"/>
      <c r="V79" s="208">
        <f t="shared" si="47"/>
        <v>0</v>
      </c>
    </row>
    <row r="80" spans="1:22" ht="12.75" customHeight="1" x14ac:dyDescent="0.2">
      <c r="A80" s="14" t="s">
        <v>87</v>
      </c>
      <c r="B80" s="20" t="s">
        <v>88</v>
      </c>
      <c r="C80" s="295">
        <v>50000</v>
      </c>
      <c r="D80" s="295">
        <v>50000</v>
      </c>
      <c r="E80" s="295">
        <v>0</v>
      </c>
      <c r="F80" s="295"/>
      <c r="G80" s="295"/>
      <c r="H80" s="295">
        <v>1152</v>
      </c>
      <c r="I80" s="295"/>
      <c r="J80" s="295"/>
      <c r="K80" s="295"/>
      <c r="L80" s="142">
        <f t="shared" si="52"/>
        <v>2.3040000000000001E-2</v>
      </c>
      <c r="M80" s="142">
        <f t="shared" si="52"/>
        <v>0</v>
      </c>
      <c r="N80" s="142">
        <f t="shared" si="52"/>
        <v>0</v>
      </c>
      <c r="O80" s="295"/>
      <c r="P80" s="83">
        <f t="shared" si="20"/>
        <v>0</v>
      </c>
      <c r="Q80" s="83">
        <f t="shared" si="21"/>
        <v>-50000</v>
      </c>
      <c r="R80" s="83">
        <f t="shared" si="22"/>
        <v>0</v>
      </c>
      <c r="S80" s="83">
        <f t="shared" si="23"/>
        <v>-50000</v>
      </c>
      <c r="T80" s="304">
        <f t="shared" si="51"/>
        <v>-1</v>
      </c>
      <c r="U80" s="126"/>
      <c r="V80" s="208">
        <f t="shared" si="47"/>
        <v>0</v>
      </c>
    </row>
    <row r="81" spans="1:24" ht="56.25" customHeight="1" x14ac:dyDescent="0.2">
      <c r="A81" s="14"/>
      <c r="B81" s="20" t="s">
        <v>92</v>
      </c>
      <c r="C81" s="295"/>
      <c r="D81" s="295"/>
      <c r="E81" s="295"/>
      <c r="F81" s="295"/>
      <c r="G81" s="295"/>
      <c r="H81" s="295"/>
      <c r="I81" s="295"/>
      <c r="J81" s="295"/>
      <c r="K81" s="295"/>
      <c r="L81" s="142">
        <f t="shared" si="52"/>
        <v>0</v>
      </c>
      <c r="M81" s="142">
        <f t="shared" si="52"/>
        <v>0</v>
      </c>
      <c r="N81" s="142">
        <f t="shared" si="52"/>
        <v>0</v>
      </c>
      <c r="O81" s="295"/>
      <c r="P81" s="83">
        <f t="shared" si="20"/>
        <v>0</v>
      </c>
      <c r="Q81" s="83">
        <f t="shared" si="21"/>
        <v>0</v>
      </c>
      <c r="R81" s="83">
        <f t="shared" si="22"/>
        <v>0</v>
      </c>
      <c r="S81" s="83">
        <f t="shared" si="23"/>
        <v>0</v>
      </c>
      <c r="T81" s="304">
        <f t="shared" si="51"/>
        <v>0</v>
      </c>
      <c r="U81" s="126"/>
      <c r="V81" s="208">
        <f t="shared" si="47"/>
        <v>0</v>
      </c>
    </row>
    <row r="82" spans="1:24" ht="12.75" customHeight="1" x14ac:dyDescent="0.2">
      <c r="A82" s="306"/>
      <c r="B82" s="307"/>
      <c r="C82" s="308"/>
      <c r="D82" s="308"/>
      <c r="E82" s="308"/>
      <c r="F82" s="308"/>
      <c r="G82" s="308"/>
      <c r="H82" s="308"/>
      <c r="I82" s="308"/>
      <c r="J82" s="308"/>
      <c r="K82" s="308"/>
      <c r="L82" s="309"/>
      <c r="M82" s="309"/>
      <c r="N82" s="309"/>
      <c r="O82" s="308"/>
      <c r="P82" s="310"/>
      <c r="Q82" s="310"/>
      <c r="R82" s="310"/>
      <c r="S82" s="310"/>
      <c r="T82" s="311"/>
      <c r="U82" s="312"/>
      <c r="V82" s="208"/>
    </row>
    <row r="83" spans="1:24" s="43" customFormat="1" ht="12.75" customHeight="1" x14ac:dyDescent="0.2">
      <c r="A83" s="4" t="s">
        <v>158</v>
      </c>
      <c r="B83" s="3" t="s">
        <v>159</v>
      </c>
      <c r="C83" s="300">
        <f>SUM(C84:C85)</f>
        <v>14000</v>
      </c>
      <c r="D83" s="300">
        <f t="shared" ref="D83:F83" si="53">SUM(D84:D85)</f>
        <v>14000</v>
      </c>
      <c r="E83" s="300">
        <f t="shared" si="53"/>
        <v>0</v>
      </c>
      <c r="F83" s="300">
        <f t="shared" si="53"/>
        <v>0</v>
      </c>
      <c r="G83" s="300"/>
      <c r="H83" s="300">
        <f t="shared" ref="H83:J83" si="54">SUM(H84:H85)</f>
        <v>0</v>
      </c>
      <c r="I83" s="300">
        <f t="shared" si="54"/>
        <v>0</v>
      </c>
      <c r="J83" s="300">
        <f t="shared" si="54"/>
        <v>0</v>
      </c>
      <c r="K83" s="300"/>
      <c r="L83" s="89">
        <f t="shared" ref="L83:L88" si="55">IF(H83&gt;0,H83/C83,0)</f>
        <v>0</v>
      </c>
      <c r="M83" s="89">
        <f t="shared" ref="M83:M88" si="56">IF(I83&gt;0,I83/D83,0)</f>
        <v>0</v>
      </c>
      <c r="N83" s="89">
        <f t="shared" ref="N83:N88" si="57">IF(J83&gt;0,J83/E83,0)</f>
        <v>0</v>
      </c>
      <c r="O83" s="300"/>
      <c r="P83" s="300">
        <f t="shared" ref="P83:P88" si="58">+(D83-C83)*P$10</f>
        <v>0</v>
      </c>
      <c r="Q83" s="300">
        <f t="shared" ref="Q83:Q88" si="59">+(E83-D83)*Q$10</f>
        <v>-14000</v>
      </c>
      <c r="R83" s="300">
        <f t="shared" ref="R83:R88" si="60">+(F83-E83)*R$10</f>
        <v>0</v>
      </c>
      <c r="S83" s="300">
        <f t="shared" ref="S83:S88" si="61">SUM(P83:R83)</f>
        <v>-14000</v>
      </c>
      <c r="T83" s="305">
        <f t="shared" ref="T83:T88" si="62">IF(C83=0,0,+S83/C83)</f>
        <v>-1</v>
      </c>
      <c r="U83" s="126"/>
      <c r="V83" s="208">
        <f t="shared" ref="V83:V88" si="63">+S83-E83+C83</f>
        <v>0</v>
      </c>
    </row>
    <row r="84" spans="1:24" ht="12.75" customHeight="1" x14ac:dyDescent="0.2">
      <c r="A84" s="14"/>
      <c r="B84" s="20"/>
      <c r="C84" s="296">
        <v>14000</v>
      </c>
      <c r="D84" s="295">
        <v>14000</v>
      </c>
      <c r="E84" s="295">
        <v>0</v>
      </c>
      <c r="F84" s="295"/>
      <c r="G84" s="295"/>
      <c r="H84" s="295"/>
      <c r="I84" s="326">
        <v>0</v>
      </c>
      <c r="J84" s="295"/>
      <c r="K84" s="295"/>
      <c r="L84" s="188">
        <f t="shared" si="55"/>
        <v>0</v>
      </c>
      <c r="M84" s="188">
        <f t="shared" si="56"/>
        <v>0</v>
      </c>
      <c r="N84" s="188">
        <f t="shared" si="57"/>
        <v>0</v>
      </c>
      <c r="O84" s="295"/>
      <c r="P84" s="83">
        <f t="shared" si="58"/>
        <v>0</v>
      </c>
      <c r="Q84" s="83">
        <f t="shared" si="59"/>
        <v>-14000</v>
      </c>
      <c r="R84" s="83">
        <f t="shared" si="60"/>
        <v>0</v>
      </c>
      <c r="S84" s="83">
        <f t="shared" si="61"/>
        <v>-14000</v>
      </c>
      <c r="T84" s="304">
        <f t="shared" si="62"/>
        <v>-1</v>
      </c>
      <c r="U84" s="126"/>
      <c r="V84" s="208">
        <f t="shared" si="63"/>
        <v>0</v>
      </c>
    </row>
    <row r="85" spans="1:24" ht="12.75" hidden="1" customHeight="1" x14ac:dyDescent="0.2">
      <c r="A85" s="14"/>
      <c r="B85" s="20"/>
      <c r="C85" s="296"/>
      <c r="D85" s="295"/>
      <c r="E85" s="295"/>
      <c r="F85" s="295"/>
      <c r="G85" s="295"/>
      <c r="H85" s="295"/>
      <c r="I85" s="295"/>
      <c r="J85" s="295"/>
      <c r="K85" s="295"/>
      <c r="L85" s="161">
        <f t="shared" si="55"/>
        <v>0</v>
      </c>
      <c r="M85" s="161">
        <f t="shared" si="56"/>
        <v>0</v>
      </c>
      <c r="N85" s="161">
        <f t="shared" si="57"/>
        <v>0</v>
      </c>
      <c r="O85" s="295"/>
      <c r="P85" s="83">
        <f t="shared" si="58"/>
        <v>0</v>
      </c>
      <c r="Q85" s="83">
        <f t="shared" si="59"/>
        <v>0</v>
      </c>
      <c r="R85" s="83">
        <f t="shared" si="60"/>
        <v>0</v>
      </c>
      <c r="S85" s="83">
        <f t="shared" si="61"/>
        <v>0</v>
      </c>
      <c r="T85" s="304">
        <f t="shared" si="62"/>
        <v>0</v>
      </c>
      <c r="U85" s="126"/>
      <c r="V85" s="208">
        <f t="shared" si="63"/>
        <v>0</v>
      </c>
    </row>
    <row r="86" spans="1:24" s="43" customFormat="1" ht="12.75" customHeight="1" x14ac:dyDescent="0.2">
      <c r="A86" s="4" t="s">
        <v>173</v>
      </c>
      <c r="B86" s="3" t="s">
        <v>174</v>
      </c>
      <c r="C86" s="300">
        <f>SUM(C87:C88)</f>
        <v>0</v>
      </c>
      <c r="D86" s="300">
        <f t="shared" ref="D86:F86" si="64">SUM(D87:D88)</f>
        <v>0</v>
      </c>
      <c r="E86" s="300">
        <f t="shared" si="64"/>
        <v>0</v>
      </c>
      <c r="F86" s="300">
        <f t="shared" si="64"/>
        <v>0</v>
      </c>
      <c r="G86" s="300"/>
      <c r="H86" s="300">
        <f t="shared" ref="H86:J86" si="65">SUM(H87:H88)</f>
        <v>0</v>
      </c>
      <c r="I86" s="300">
        <f t="shared" si="65"/>
        <v>0</v>
      </c>
      <c r="J86" s="300">
        <f t="shared" si="65"/>
        <v>0</v>
      </c>
      <c r="K86" s="300"/>
      <c r="L86" s="89">
        <f t="shared" si="55"/>
        <v>0</v>
      </c>
      <c r="M86" s="89">
        <f t="shared" si="56"/>
        <v>0</v>
      </c>
      <c r="N86" s="89">
        <f t="shared" si="57"/>
        <v>0</v>
      </c>
      <c r="O86" s="300"/>
      <c r="P86" s="300">
        <f t="shared" si="58"/>
        <v>0</v>
      </c>
      <c r="Q86" s="300">
        <f t="shared" si="59"/>
        <v>0</v>
      </c>
      <c r="R86" s="300">
        <f t="shared" si="60"/>
        <v>0</v>
      </c>
      <c r="S86" s="300">
        <f t="shared" si="61"/>
        <v>0</v>
      </c>
      <c r="T86" s="305">
        <f t="shared" si="62"/>
        <v>0</v>
      </c>
      <c r="U86" s="126"/>
      <c r="V86" s="208">
        <f t="shared" si="63"/>
        <v>0</v>
      </c>
    </row>
    <row r="87" spans="1:24" ht="12.75" customHeight="1" x14ac:dyDescent="0.2">
      <c r="A87" s="14"/>
      <c r="B87" s="20"/>
      <c r="C87" s="296"/>
      <c r="D87" s="295"/>
      <c r="E87" s="295"/>
      <c r="F87" s="295"/>
      <c r="G87" s="295"/>
      <c r="H87" s="295"/>
      <c r="I87" s="326"/>
      <c r="J87" s="295"/>
      <c r="K87" s="295"/>
      <c r="L87" s="188">
        <f t="shared" si="55"/>
        <v>0</v>
      </c>
      <c r="M87" s="188">
        <f t="shared" si="56"/>
        <v>0</v>
      </c>
      <c r="N87" s="188">
        <f t="shared" si="57"/>
        <v>0</v>
      </c>
      <c r="O87" s="295"/>
      <c r="P87" s="83">
        <f t="shared" si="58"/>
        <v>0</v>
      </c>
      <c r="Q87" s="83">
        <f t="shared" si="59"/>
        <v>0</v>
      </c>
      <c r="R87" s="83">
        <f t="shared" si="60"/>
        <v>0</v>
      </c>
      <c r="S87" s="83">
        <f t="shared" si="61"/>
        <v>0</v>
      </c>
      <c r="T87" s="304">
        <f t="shared" si="62"/>
        <v>0</v>
      </c>
      <c r="U87" s="126"/>
      <c r="V87" s="208">
        <f t="shared" si="63"/>
        <v>0</v>
      </c>
    </row>
    <row r="88" spans="1:24" ht="12.75" hidden="1" customHeight="1" x14ac:dyDescent="0.2">
      <c r="A88" s="14"/>
      <c r="B88" s="20"/>
      <c r="C88" s="296"/>
      <c r="D88" s="295"/>
      <c r="E88" s="295"/>
      <c r="F88" s="295"/>
      <c r="G88" s="295"/>
      <c r="H88" s="295"/>
      <c r="I88" s="295"/>
      <c r="J88" s="295"/>
      <c r="K88" s="295"/>
      <c r="L88" s="161">
        <f t="shared" si="55"/>
        <v>0</v>
      </c>
      <c r="M88" s="161">
        <f t="shared" si="56"/>
        <v>0</v>
      </c>
      <c r="N88" s="161">
        <f t="shared" si="57"/>
        <v>0</v>
      </c>
      <c r="O88" s="295"/>
      <c r="P88" s="83">
        <f t="shared" si="58"/>
        <v>0</v>
      </c>
      <c r="Q88" s="83">
        <f t="shared" si="59"/>
        <v>0</v>
      </c>
      <c r="R88" s="83">
        <f t="shared" si="60"/>
        <v>0</v>
      </c>
      <c r="S88" s="83">
        <f t="shared" si="61"/>
        <v>0</v>
      </c>
      <c r="T88" s="304">
        <f t="shared" si="62"/>
        <v>0</v>
      </c>
      <c r="U88" s="126"/>
      <c r="V88" s="208">
        <f t="shared" si="63"/>
        <v>0</v>
      </c>
    </row>
    <row r="89" spans="1:24" ht="21" customHeight="1" x14ac:dyDescent="0.2">
      <c r="A89" s="512"/>
      <c r="B89" s="501" t="s">
        <v>378</v>
      </c>
      <c r="C89" s="502">
        <f>C13+C29+C32+C83+C86</f>
        <v>54963000</v>
      </c>
      <c r="D89" s="502">
        <f t="shared" ref="D89:J89" si="66">D13+D29+D32+D83+D86</f>
        <v>54963000</v>
      </c>
      <c r="E89" s="502">
        <f t="shared" si="66"/>
        <v>0</v>
      </c>
      <c r="F89" s="502">
        <f t="shared" si="66"/>
        <v>0</v>
      </c>
      <c r="G89" s="502"/>
      <c r="H89" s="502">
        <f t="shared" si="66"/>
        <v>25355939</v>
      </c>
      <c r="I89" s="502">
        <f t="shared" si="66"/>
        <v>0</v>
      </c>
      <c r="J89" s="502">
        <f t="shared" si="66"/>
        <v>0</v>
      </c>
      <c r="K89" s="504"/>
      <c r="L89" s="505">
        <f t="shared" si="52"/>
        <v>0.4613274202645416</v>
      </c>
      <c r="M89" s="505">
        <f t="shared" si="52"/>
        <v>0</v>
      </c>
      <c r="N89" s="505">
        <f t="shared" si="52"/>
        <v>0</v>
      </c>
      <c r="O89" s="504"/>
      <c r="P89" s="502">
        <f t="shared" si="20"/>
        <v>0</v>
      </c>
      <c r="Q89" s="502">
        <f t="shared" si="21"/>
        <v>-54963000</v>
      </c>
      <c r="R89" s="502">
        <f t="shared" si="22"/>
        <v>0</v>
      </c>
      <c r="S89" s="502">
        <f t="shared" si="23"/>
        <v>-54963000</v>
      </c>
      <c r="T89" s="506">
        <f t="shared" ref="T89:T102" si="67">IF(C89=0,0,+S89/C89)</f>
        <v>-1</v>
      </c>
      <c r="U89" s="510"/>
      <c r="V89" s="511">
        <f t="shared" si="47"/>
        <v>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47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ht="12.75" customHeight="1" x14ac:dyDescent="0.2">
      <c r="A93" s="4" t="s">
        <v>241</v>
      </c>
      <c r="B93" s="3" t="s">
        <v>242</v>
      </c>
      <c r="C93" s="300">
        <f>SUM(C94:C94)</f>
        <v>0</v>
      </c>
      <c r="D93" s="300">
        <f>SUM(D94:D94)</f>
        <v>0</v>
      </c>
      <c r="E93" s="300">
        <f>SUM(E94:E94)</f>
        <v>0</v>
      </c>
      <c r="F93" s="300">
        <f>SUM(F94:F94)</f>
        <v>0</v>
      </c>
      <c r="G93" s="300"/>
      <c r="H93" s="300">
        <f>SUM(H94:H94)</f>
        <v>0</v>
      </c>
      <c r="I93" s="300">
        <f>SUM(I94:I94)</f>
        <v>0</v>
      </c>
      <c r="J93" s="300">
        <f>SUM(J94:J94)</f>
        <v>0</v>
      </c>
      <c r="K93" s="300"/>
      <c r="L93" s="89">
        <f t="shared" ref="L93:L94" si="68">IF(H93&gt;0,H93/C93,0)</f>
        <v>0</v>
      </c>
      <c r="M93" s="89">
        <f t="shared" ref="M93:M94" si="69">IF(I93&gt;0,I93/D93,0)</f>
        <v>0</v>
      </c>
      <c r="N93" s="89">
        <f t="shared" ref="N93:N94" si="70">IF(J93&gt;0,J93/E93,0)</f>
        <v>0</v>
      </c>
      <c r="O93" s="300"/>
      <c r="P93" s="300">
        <f t="shared" ref="P93:P94" si="71">+(D93-C93)*P$10</f>
        <v>0</v>
      </c>
      <c r="Q93" s="300">
        <f t="shared" ref="Q93:Q94" si="72">+(E93-D93)*Q$10</f>
        <v>0</v>
      </c>
      <c r="R93" s="300">
        <f t="shared" ref="R93:R94" si="73">+(F93-E93)*R$10</f>
        <v>0</v>
      </c>
      <c r="S93" s="300">
        <f t="shared" ref="S93:S94" si="74">SUM(P93:R93)</f>
        <v>0</v>
      </c>
      <c r="T93" s="305">
        <f t="shared" ref="T93:T94" si="75">IF(C93=0,0,+S93/C93)</f>
        <v>0</v>
      </c>
      <c r="U93" s="126"/>
      <c r="V93" s="208">
        <f t="shared" ref="V93:V94" si="76">+S93-E93+C93</f>
        <v>0</v>
      </c>
    </row>
    <row r="94" spans="1:24" ht="12.75" customHeight="1" x14ac:dyDescent="0.2">
      <c r="A94" s="14"/>
      <c r="B94" s="20"/>
      <c r="C94" s="296"/>
      <c r="D94" s="295"/>
      <c r="E94" s="295"/>
      <c r="F94" s="295"/>
      <c r="G94" s="295"/>
      <c r="H94" s="295"/>
      <c r="I94" s="326"/>
      <c r="J94" s="295"/>
      <c r="K94" s="295"/>
      <c r="L94" s="188">
        <f t="shared" si="68"/>
        <v>0</v>
      </c>
      <c r="M94" s="188">
        <f t="shared" si="69"/>
        <v>0</v>
      </c>
      <c r="N94" s="188">
        <f t="shared" si="70"/>
        <v>0</v>
      </c>
      <c r="O94" s="295"/>
      <c r="P94" s="83">
        <f t="shared" si="71"/>
        <v>0</v>
      </c>
      <c r="Q94" s="83">
        <f t="shared" si="72"/>
        <v>0</v>
      </c>
      <c r="R94" s="83">
        <f t="shared" si="73"/>
        <v>0</v>
      </c>
      <c r="S94" s="83">
        <f t="shared" si="74"/>
        <v>0</v>
      </c>
      <c r="T94" s="304">
        <f t="shared" si="75"/>
        <v>0</v>
      </c>
      <c r="U94" s="126"/>
      <c r="V94" s="208">
        <f t="shared" si="76"/>
        <v>0</v>
      </c>
    </row>
    <row r="95" spans="1:24" s="43" customFormat="1" ht="12.75" customHeight="1" x14ac:dyDescent="0.2">
      <c r="A95" s="4" t="s">
        <v>284</v>
      </c>
      <c r="B95" s="3" t="s">
        <v>285</v>
      </c>
      <c r="C95" s="300">
        <f>SUM(C96:C98)</f>
        <v>3733000</v>
      </c>
      <c r="D95" s="300">
        <f>SUM(D96:D98)</f>
        <v>3733000</v>
      </c>
      <c r="E95" s="300">
        <f>SUM(E96:E98)</f>
        <v>0</v>
      </c>
      <c r="F95" s="300">
        <f>SUM(F96:F98)</f>
        <v>0</v>
      </c>
      <c r="G95" s="300"/>
      <c r="H95" s="300">
        <f>SUM(H96:H98)</f>
        <v>2041073</v>
      </c>
      <c r="I95" s="300">
        <f>+I96+I97+I98</f>
        <v>0</v>
      </c>
      <c r="J95" s="300">
        <f>+J96+J97+J98</f>
        <v>0</v>
      </c>
      <c r="K95" s="300"/>
      <c r="L95" s="89">
        <f t="shared" si="52"/>
        <v>0.54676480042860964</v>
      </c>
      <c r="M95" s="89">
        <f t="shared" si="52"/>
        <v>0</v>
      </c>
      <c r="N95" s="89">
        <f t="shared" si="52"/>
        <v>0</v>
      </c>
      <c r="O95" s="300"/>
      <c r="P95" s="300">
        <f t="shared" si="20"/>
        <v>0</v>
      </c>
      <c r="Q95" s="300">
        <f t="shared" si="21"/>
        <v>-3733000</v>
      </c>
      <c r="R95" s="300">
        <f t="shared" si="22"/>
        <v>0</v>
      </c>
      <c r="S95" s="300">
        <f t="shared" si="23"/>
        <v>-3733000</v>
      </c>
      <c r="T95" s="305">
        <f t="shared" si="67"/>
        <v>-1</v>
      </c>
      <c r="U95" s="126"/>
      <c r="V95" s="208">
        <f t="shared" si="47"/>
        <v>0</v>
      </c>
    </row>
    <row r="96" spans="1:24" ht="12.75" customHeight="1" x14ac:dyDescent="0.2">
      <c r="A96" s="560" t="s">
        <v>477</v>
      </c>
      <c r="B96" s="513" t="s">
        <v>540</v>
      </c>
      <c r="C96" s="296">
        <f>89000+3274000</f>
        <v>3363000</v>
      </c>
      <c r="D96" s="296">
        <f>10000+3347000</f>
        <v>3357000</v>
      </c>
      <c r="E96" s="296">
        <v>0</v>
      </c>
      <c r="F96" s="296"/>
      <c r="G96" s="296"/>
      <c r="H96" s="295">
        <f>13500+1825036</f>
        <v>1838536</v>
      </c>
      <c r="I96" s="295">
        <v>0</v>
      </c>
      <c r="J96" s="295"/>
      <c r="K96" s="296"/>
      <c r="L96" s="188">
        <f t="shared" si="52"/>
        <v>0.54669521260779064</v>
      </c>
      <c r="M96" s="188">
        <f t="shared" si="52"/>
        <v>0</v>
      </c>
      <c r="N96" s="188">
        <f t="shared" si="52"/>
        <v>0</v>
      </c>
      <c r="O96" s="296"/>
      <c r="P96" s="83">
        <f t="shared" si="20"/>
        <v>-6000</v>
      </c>
      <c r="Q96" s="83">
        <f t="shared" si="21"/>
        <v>-3357000</v>
      </c>
      <c r="R96" s="83">
        <f t="shared" si="22"/>
        <v>0</v>
      </c>
      <c r="S96" s="83">
        <f t="shared" si="23"/>
        <v>-3363000</v>
      </c>
      <c r="T96" s="304">
        <f t="shared" si="67"/>
        <v>-1</v>
      </c>
      <c r="U96" s="126"/>
      <c r="V96" s="208">
        <f t="shared" si="47"/>
        <v>0</v>
      </c>
    </row>
    <row r="97" spans="1:22" ht="12.75" customHeight="1" x14ac:dyDescent="0.2">
      <c r="A97" s="14" t="s">
        <v>299</v>
      </c>
      <c r="B97" s="20" t="s">
        <v>300</v>
      </c>
      <c r="C97" s="296">
        <v>370000</v>
      </c>
      <c r="D97" s="296">
        <v>370000</v>
      </c>
      <c r="E97" s="296">
        <v>0</v>
      </c>
      <c r="F97" s="296"/>
      <c r="G97" s="296"/>
      <c r="H97" s="295">
        <v>200923</v>
      </c>
      <c r="I97" s="295">
        <v>0</v>
      </c>
      <c r="J97" s="295"/>
      <c r="K97" s="296"/>
      <c r="L97" s="188">
        <f t="shared" si="52"/>
        <v>0.54303513513513513</v>
      </c>
      <c r="M97" s="188">
        <f t="shared" si="52"/>
        <v>0</v>
      </c>
      <c r="N97" s="188">
        <f t="shared" si="52"/>
        <v>0</v>
      </c>
      <c r="O97" s="296"/>
      <c r="P97" s="83">
        <f t="shared" si="20"/>
        <v>0</v>
      </c>
      <c r="Q97" s="83">
        <f t="shared" si="21"/>
        <v>-370000</v>
      </c>
      <c r="R97" s="83">
        <f t="shared" si="22"/>
        <v>0</v>
      </c>
      <c r="S97" s="83">
        <f t="shared" si="23"/>
        <v>-370000</v>
      </c>
      <c r="T97" s="304">
        <f t="shared" si="67"/>
        <v>-1</v>
      </c>
      <c r="U97" s="126"/>
      <c r="V97" s="208">
        <f t="shared" si="47"/>
        <v>0</v>
      </c>
    </row>
    <row r="98" spans="1:22" ht="12.75" customHeight="1" x14ac:dyDescent="0.2">
      <c r="A98" s="560" t="s">
        <v>475</v>
      </c>
      <c r="B98" s="513" t="s">
        <v>478</v>
      </c>
      <c r="C98" s="296">
        <v>0</v>
      </c>
      <c r="D98" s="296">
        <v>6000</v>
      </c>
      <c r="E98" s="296"/>
      <c r="F98" s="296"/>
      <c r="G98" s="296"/>
      <c r="H98" s="295">
        <f>152+1462</f>
        <v>1614</v>
      </c>
      <c r="I98" s="295">
        <v>0</v>
      </c>
      <c r="J98" s="295"/>
      <c r="K98" s="296"/>
      <c r="L98" s="188" t="e">
        <f t="shared" si="52"/>
        <v>#DIV/0!</v>
      </c>
      <c r="M98" s="188">
        <f t="shared" si="52"/>
        <v>0</v>
      </c>
      <c r="N98" s="188">
        <f t="shared" si="52"/>
        <v>0</v>
      </c>
      <c r="O98" s="296"/>
      <c r="P98" s="83">
        <f t="shared" si="20"/>
        <v>6000</v>
      </c>
      <c r="Q98" s="83">
        <f t="shared" si="21"/>
        <v>-6000</v>
      </c>
      <c r="R98" s="83">
        <f t="shared" si="22"/>
        <v>0</v>
      </c>
      <c r="S98" s="83">
        <f t="shared" si="23"/>
        <v>0</v>
      </c>
      <c r="T98" s="304">
        <f t="shared" si="67"/>
        <v>0</v>
      </c>
      <c r="U98" s="126"/>
      <c r="V98" s="208">
        <f t="shared" si="47"/>
        <v>0</v>
      </c>
    </row>
    <row r="99" spans="1:22" s="43" customFormat="1" ht="12.75" customHeight="1" x14ac:dyDescent="0.2">
      <c r="A99" s="4" t="s">
        <v>333</v>
      </c>
      <c r="B99" s="3" t="s">
        <v>334</v>
      </c>
      <c r="C99" s="300">
        <f>SUM(C100:C101)</f>
        <v>51230000</v>
      </c>
      <c r="D99" s="300">
        <f t="shared" ref="D99:J99" si="77">SUM(D100:D101)</f>
        <v>51230000</v>
      </c>
      <c r="E99" s="300">
        <f t="shared" si="77"/>
        <v>0</v>
      </c>
      <c r="F99" s="300">
        <f t="shared" si="77"/>
        <v>0</v>
      </c>
      <c r="G99" s="300"/>
      <c r="H99" s="300">
        <f t="shared" si="77"/>
        <v>27806884</v>
      </c>
      <c r="I99" s="300">
        <f t="shared" si="77"/>
        <v>0</v>
      </c>
      <c r="J99" s="300">
        <f t="shared" si="77"/>
        <v>0</v>
      </c>
      <c r="K99" s="300"/>
      <c r="L99" s="89">
        <f t="shared" si="52"/>
        <v>0.54278516494241658</v>
      </c>
      <c r="M99" s="89">
        <f t="shared" si="52"/>
        <v>0</v>
      </c>
      <c r="N99" s="89">
        <f t="shared" si="52"/>
        <v>0</v>
      </c>
      <c r="O99" s="300"/>
      <c r="P99" s="300">
        <f t="shared" si="20"/>
        <v>0</v>
      </c>
      <c r="Q99" s="300">
        <f t="shared" si="21"/>
        <v>-51230000</v>
      </c>
      <c r="R99" s="300">
        <f t="shared" si="22"/>
        <v>0</v>
      </c>
      <c r="S99" s="300">
        <f t="shared" si="23"/>
        <v>-51230000</v>
      </c>
      <c r="T99" s="305">
        <f t="shared" si="67"/>
        <v>-1</v>
      </c>
      <c r="U99" s="126"/>
      <c r="V99" s="208">
        <f t="shared" si="47"/>
        <v>0</v>
      </c>
    </row>
    <row r="100" spans="1:22" ht="12.75" customHeight="1" x14ac:dyDescent="0.2">
      <c r="A100" s="14" t="s">
        <v>359</v>
      </c>
      <c r="B100" s="20" t="s">
        <v>388</v>
      </c>
      <c r="C100" s="296">
        <v>48881766</v>
      </c>
      <c r="D100" s="295">
        <v>48881766</v>
      </c>
      <c r="E100" s="295">
        <v>0</v>
      </c>
      <c r="F100" s="295"/>
      <c r="G100" s="295"/>
      <c r="H100" s="295">
        <v>25458650</v>
      </c>
      <c r="I100" s="326">
        <v>0</v>
      </c>
      <c r="J100" s="295"/>
      <c r="K100" s="295"/>
      <c r="L100" s="188">
        <f t="shared" si="52"/>
        <v>0.52082099488795064</v>
      </c>
      <c r="M100" s="188">
        <f t="shared" si="52"/>
        <v>0</v>
      </c>
      <c r="N100" s="188">
        <f t="shared" si="52"/>
        <v>0</v>
      </c>
      <c r="O100" s="295"/>
      <c r="P100" s="83">
        <f t="shared" si="20"/>
        <v>0</v>
      </c>
      <c r="Q100" s="83">
        <f t="shared" si="21"/>
        <v>-48881766</v>
      </c>
      <c r="R100" s="83">
        <f t="shared" si="22"/>
        <v>0</v>
      </c>
      <c r="S100" s="83">
        <f t="shared" si="23"/>
        <v>-48881766</v>
      </c>
      <c r="T100" s="304">
        <f t="shared" si="67"/>
        <v>-1</v>
      </c>
      <c r="U100" s="126"/>
      <c r="V100" s="208">
        <f t="shared" si="47"/>
        <v>0</v>
      </c>
    </row>
    <row r="101" spans="1:22" ht="12.75" customHeight="1" x14ac:dyDescent="0.2">
      <c r="A101" s="14" t="s">
        <v>347</v>
      </c>
      <c r="B101" s="20" t="s">
        <v>348</v>
      </c>
      <c r="C101" s="629">
        <v>2348234</v>
      </c>
      <c r="D101" s="295">
        <v>2348234</v>
      </c>
      <c r="E101" s="295">
        <v>0</v>
      </c>
      <c r="F101" s="295"/>
      <c r="G101" s="295"/>
      <c r="H101" s="295">
        <v>2348234</v>
      </c>
      <c r="I101" s="295">
        <v>0</v>
      </c>
      <c r="J101" s="295"/>
      <c r="K101" s="295"/>
      <c r="L101" s="161">
        <f t="shared" si="52"/>
        <v>1</v>
      </c>
      <c r="M101" s="161">
        <f t="shared" si="52"/>
        <v>0</v>
      </c>
      <c r="N101" s="161">
        <f t="shared" si="52"/>
        <v>0</v>
      </c>
      <c r="O101" s="295"/>
      <c r="P101" s="83">
        <f t="shared" si="20"/>
        <v>0</v>
      </c>
      <c r="Q101" s="83">
        <f t="shared" si="21"/>
        <v>-2348234</v>
      </c>
      <c r="R101" s="83">
        <f t="shared" si="22"/>
        <v>0</v>
      </c>
      <c r="S101" s="83">
        <f t="shared" si="23"/>
        <v>-2348234</v>
      </c>
      <c r="T101" s="304">
        <f t="shared" si="67"/>
        <v>-1</v>
      </c>
      <c r="U101" s="126"/>
      <c r="V101" s="208">
        <f t="shared" si="47"/>
        <v>0</v>
      </c>
    </row>
    <row r="102" spans="1:22" ht="20.25" customHeight="1" x14ac:dyDescent="0.2">
      <c r="A102" s="503"/>
      <c r="B102" s="501" t="s">
        <v>377</v>
      </c>
      <c r="C102" s="502">
        <f>+C95+C99+C93</f>
        <v>54963000</v>
      </c>
      <c r="D102" s="502">
        <f>+D95+D99+D93</f>
        <v>54963000</v>
      </c>
      <c r="E102" s="502">
        <f>+E95+E99+E93</f>
        <v>0</v>
      </c>
      <c r="F102" s="502">
        <f>+F95+F99+F93</f>
        <v>0</v>
      </c>
      <c r="G102" s="502"/>
      <c r="H102" s="502">
        <f>+H95+H99+H93</f>
        <v>29847957</v>
      </c>
      <c r="I102" s="502">
        <f>+I95+I99+I93</f>
        <v>0</v>
      </c>
      <c r="J102" s="502">
        <f>+J95+J99+J93</f>
        <v>0</v>
      </c>
      <c r="K102" s="504"/>
      <c r="L102" s="505">
        <f t="shared" si="52"/>
        <v>0.54305545548823753</v>
      </c>
      <c r="M102" s="505">
        <f t="shared" si="52"/>
        <v>0</v>
      </c>
      <c r="N102" s="505">
        <f t="shared" si="52"/>
        <v>0</v>
      </c>
      <c r="O102" s="504"/>
      <c r="P102" s="509">
        <f t="shared" ref="P102:R102" si="78">+(D102-C102)*P$10</f>
        <v>0</v>
      </c>
      <c r="Q102" s="509">
        <f t="shared" si="78"/>
        <v>-54963000</v>
      </c>
      <c r="R102" s="509">
        <f t="shared" si="78"/>
        <v>0</v>
      </c>
      <c r="S102" s="509">
        <f t="shared" ref="S102" si="79">SUM(P102:R102)</f>
        <v>-54963000</v>
      </c>
      <c r="T102" s="506">
        <f t="shared" si="67"/>
        <v>-1</v>
      </c>
      <c r="U102" s="507"/>
      <c r="V102" s="508">
        <f t="shared" si="47"/>
        <v>0</v>
      </c>
    </row>
    <row r="103" spans="1:22" ht="12.75" customHeight="1" x14ac:dyDescent="0.2">
      <c r="C103" s="299"/>
      <c r="D103" s="299"/>
      <c r="E103" s="299"/>
      <c r="F103" s="299"/>
      <c r="G103" s="299"/>
      <c r="H103" s="299"/>
      <c r="I103" s="299"/>
      <c r="J103" s="299"/>
      <c r="K103" s="299"/>
      <c r="L103" s="37"/>
      <c r="M103" s="37"/>
      <c r="N103" s="37"/>
      <c r="O103" s="299"/>
      <c r="P103" s="303"/>
      <c r="Q103" s="303"/>
      <c r="R103" s="303"/>
      <c r="S103" s="303"/>
    </row>
    <row r="104" spans="1:22" ht="12.75" customHeight="1" x14ac:dyDescent="0.2">
      <c r="C104" s="299"/>
      <c r="D104" s="299"/>
      <c r="E104" s="299"/>
      <c r="F104" s="299"/>
      <c r="G104" s="299"/>
      <c r="H104" s="299"/>
      <c r="I104" s="299"/>
      <c r="J104" s="299"/>
      <c r="K104" s="299"/>
      <c r="O104" s="299"/>
      <c r="P104" s="303"/>
      <c r="Q104" s="303"/>
      <c r="R104" s="303"/>
      <c r="S104" s="303"/>
    </row>
    <row r="105" spans="1:22" ht="12.75" customHeight="1" x14ac:dyDescent="0.2">
      <c r="B105" s="61"/>
      <c r="C105" s="299"/>
      <c r="D105" s="299"/>
      <c r="E105" s="299"/>
      <c r="F105" s="299"/>
      <c r="G105" s="299"/>
      <c r="H105" s="299"/>
      <c r="I105" s="299"/>
      <c r="J105" s="299"/>
      <c r="K105" s="299"/>
      <c r="O105" s="299"/>
      <c r="P105" s="303"/>
      <c r="Q105" s="303"/>
      <c r="R105" s="303"/>
      <c r="S105" s="303"/>
    </row>
    <row r="106" spans="1:22" ht="12.75" customHeight="1" x14ac:dyDescent="0.2">
      <c r="C106" s="299"/>
      <c r="D106" s="299"/>
      <c r="E106" s="299"/>
      <c r="F106" s="299"/>
      <c r="G106" s="299"/>
      <c r="H106" s="299"/>
      <c r="I106" s="299"/>
      <c r="J106" s="299"/>
      <c r="K106" s="299"/>
      <c r="O106" s="299"/>
      <c r="P106" s="303"/>
      <c r="Q106" s="303"/>
      <c r="R106" s="303"/>
      <c r="S106" s="303"/>
    </row>
    <row r="107" spans="1:22" ht="12.75" customHeight="1" x14ac:dyDescent="0.2">
      <c r="A107" s="61"/>
      <c r="B107" s="61"/>
      <c r="C107" s="299"/>
      <c r="D107" s="299"/>
      <c r="E107" s="299"/>
      <c r="F107" s="299"/>
      <c r="G107" s="299"/>
      <c r="H107" s="299"/>
      <c r="I107" s="299"/>
      <c r="J107" s="299"/>
      <c r="K107" s="299"/>
      <c r="O107" s="299"/>
      <c r="P107" s="104"/>
      <c r="Q107" s="104"/>
      <c r="R107" s="104"/>
      <c r="S107" s="104"/>
    </row>
    <row r="108" spans="1:22" ht="12.75" customHeight="1" x14ac:dyDescent="0.2">
      <c r="B108" s="61"/>
      <c r="C108" s="103"/>
      <c r="D108" s="103"/>
      <c r="E108" s="104"/>
      <c r="F108" s="104"/>
      <c r="G108" s="104"/>
      <c r="H108" s="104"/>
      <c r="I108" s="104"/>
      <c r="J108" s="104"/>
      <c r="K108" s="104"/>
      <c r="O108" s="104"/>
      <c r="P108" s="104"/>
      <c r="Q108" s="104"/>
      <c r="R108" s="104"/>
      <c r="S108" s="104"/>
    </row>
    <row r="110" spans="1:22" ht="12.75" customHeight="1" x14ac:dyDescent="0.2">
      <c r="B110" s="615"/>
      <c r="C110" s="103"/>
      <c r="D110" s="103"/>
    </row>
    <row r="111" spans="1:22" ht="12.75" customHeight="1" x14ac:dyDescent="0.2">
      <c r="B111" s="615"/>
      <c r="C111" s="103"/>
      <c r="D111" s="103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2" fitToHeight="0" orientation="landscape" r:id="rId1"/>
  <headerFooter alignWithMargins="0">
    <oddHeader>&amp;R&amp;"Arial,Félkövér dőlt"&amp;A  /&amp;"Arial,Normál"
&amp;"Arial,Dőlt"&amp;8&amp;F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13</vt:i4>
      </vt:variant>
    </vt:vector>
  </HeadingPairs>
  <TitlesOfParts>
    <vt:vector size="28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Dr Gáspár HSZK</vt:lpstr>
      <vt:lpstr>5. Csicsergő</vt:lpstr>
      <vt:lpstr>6. Gólyahír</vt:lpstr>
      <vt:lpstr>7. Polg.Hiv.</vt:lpstr>
      <vt:lpstr>8. WAMKK</vt:lpstr>
      <vt:lpstr>9. Közp. Konyha</vt:lpstr>
      <vt:lpstr>ÖNK részletező</vt:lpstr>
      <vt:lpstr>B11</vt:lpstr>
      <vt:lpstr>III.2.</vt:lpstr>
      <vt:lpstr>'egységenkénti segédtábla'!Nyomtatási_cím</vt:lpstr>
      <vt:lpstr>' 2. Önk. Bevételek'!Nyomtatási_terület</vt:lpstr>
      <vt:lpstr>'1. Sülysáp összesen'!Nyomtatási_terület</vt:lpstr>
      <vt:lpstr>'3. Önk. Kiadások'!Nyomtatási_terület</vt:lpstr>
      <vt:lpstr>'4. Dr Gáspár HSZK'!Nyomtatási_terület</vt:lpstr>
      <vt:lpstr>'5. Csicsergő'!Nyomtatási_terület</vt:lpstr>
      <vt:lpstr>'6. Gólyahír'!Nyomtatási_terület</vt:lpstr>
      <vt:lpstr>'7. Polg.Hiv.'!Nyomtatási_terület</vt:lpstr>
      <vt:lpstr>'8. WAMKK'!Nyomtatási_terület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</vt:vector>
  </TitlesOfParts>
  <Company>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Testületi ügyintéző</cp:lastModifiedBy>
  <cp:lastPrinted>2017-02-16T09:00:39Z</cp:lastPrinted>
  <dcterms:created xsi:type="dcterms:W3CDTF">2014-01-15T07:36:54Z</dcterms:created>
  <dcterms:modified xsi:type="dcterms:W3CDTF">2017-08-18T10:18:28Z</dcterms:modified>
</cp:coreProperties>
</file>