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805" activeTab="1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Dr Gáspár HSZK" sheetId="2" r:id="rId7"/>
    <sheet name="5. Csicsergő" sheetId="3" r:id="rId8"/>
    <sheet name="6. Gólyahír" sheetId="4" r:id="rId9"/>
    <sheet name="7. Polg.Hiv." sheetId="5" r:id="rId10"/>
    <sheet name="8. WAMKK" sheetId="6" r:id="rId11"/>
    <sheet name="9. Közp. Konyha" sheetId="7" r:id="rId12"/>
  </sheets>
  <definedNames>
    <definedName name="_xlnm.Print_Titles" localSheetId="2">'egységenkénti segédtábla'!$7:$10</definedName>
    <definedName name="_xlnm.Print_Area" localSheetId="4">' 2. Önk. Bevételek'!$A$1:$V$96</definedName>
    <definedName name="_xlnm.Print_Area" localSheetId="3">'1. Sülysáp összesen'!$A$1:$V$41</definedName>
    <definedName name="_xlnm.Print_Area" localSheetId="5">'3. Önk. Kiadások'!$A$1:$V$168</definedName>
    <definedName name="_xlnm.Print_Area" localSheetId="6">'4. Dr Gáspár HSZK'!$A$1:$V$102</definedName>
    <definedName name="_xlnm.Print_Area" localSheetId="7">'5. Csicsergő'!$A$1:$V$102</definedName>
    <definedName name="_xlnm.Print_Area" localSheetId="8">'6. Gólyahír'!$A$1:$V$102</definedName>
    <definedName name="_xlnm.Print_Area" localSheetId="9">'7. Polg.Hiv.'!$A$1:$V$102</definedName>
    <definedName name="_xlnm.Print_Area" localSheetId="10">'8. WAMKK'!$A$1:$V$102</definedName>
    <definedName name="_xlnm.Print_Area" localSheetId="11">'9. Közp. Konyha'!$A$1:$V$102</definedName>
    <definedName name="_xlnm.Print_Area" localSheetId="1">'bevételi segédtábla'!$A$1:$V$144</definedName>
    <definedName name="_xlnm.Print_Area" localSheetId="2">'egységenkénti segédtábla'!$A$1:$T$197</definedName>
    <definedName name="_xlnm.Print_Area" localSheetId="0">'kiadási segédtábla'!$A$1:$V$146</definedName>
  </definedNames>
  <calcPr calcId="152511"/>
</workbook>
</file>

<file path=xl/calcChain.xml><?xml version="1.0" encoding="utf-8"?>
<calcChain xmlns="http://schemas.openxmlformats.org/spreadsheetml/2006/main">
  <c r="F102" i="3" l="1"/>
  <c r="F79" i="17" l="1"/>
  <c r="J118" i="16" l="1"/>
  <c r="J117" i="16"/>
  <c r="J116" i="16"/>
  <c r="J115" i="16"/>
  <c r="J114" i="16"/>
  <c r="J113" i="16"/>
  <c r="J93" i="16"/>
  <c r="F93" i="16"/>
  <c r="J42" i="16"/>
  <c r="F42" i="16"/>
  <c r="J112" i="16" l="1"/>
  <c r="I112" i="16"/>
  <c r="H112" i="16"/>
  <c r="J124" i="16"/>
  <c r="I124" i="16"/>
  <c r="H124" i="16"/>
  <c r="F115" i="16"/>
  <c r="F117" i="16"/>
  <c r="F116" i="16"/>
  <c r="F118" i="16"/>
  <c r="F114" i="16"/>
  <c r="F113" i="16"/>
  <c r="F112" i="16"/>
  <c r="F124" i="16"/>
  <c r="E124" i="16"/>
  <c r="D124" i="16"/>
  <c r="C124" i="16"/>
  <c r="F93" i="5" l="1"/>
  <c r="I24" i="5" l="1"/>
  <c r="J24" i="5"/>
  <c r="I14" i="5"/>
  <c r="J14" i="5"/>
  <c r="J13" i="5" s="1"/>
  <c r="E24" i="5"/>
  <c r="E14" i="5"/>
  <c r="E13" i="5" s="1"/>
  <c r="F24" i="5"/>
  <c r="F14" i="5"/>
  <c r="J99" i="5"/>
  <c r="F99" i="5"/>
  <c r="J95" i="5"/>
  <c r="I95" i="5"/>
  <c r="J98" i="5"/>
  <c r="J93" i="5"/>
  <c r="J79" i="10"/>
  <c r="J65" i="10"/>
  <c r="J43" i="10"/>
  <c r="J135" i="9"/>
  <c r="J98" i="6"/>
  <c r="J32" i="6"/>
  <c r="F98" i="6"/>
  <c r="F32" i="6"/>
  <c r="F65" i="10"/>
  <c r="F135" i="9"/>
  <c r="J95" i="3"/>
  <c r="J98" i="3"/>
  <c r="J67" i="3"/>
  <c r="F98" i="3"/>
  <c r="J98" i="7"/>
  <c r="F98" i="7"/>
  <c r="J98" i="4"/>
  <c r="J96" i="4"/>
  <c r="F98" i="4"/>
  <c r="F96" i="4"/>
  <c r="I13" i="5" l="1"/>
  <c r="F13" i="5"/>
  <c r="J98" i="2"/>
  <c r="I65" i="10" l="1"/>
  <c r="I62" i="10"/>
  <c r="I49" i="10"/>
  <c r="I41" i="10"/>
  <c r="I25" i="10"/>
  <c r="I29" i="10"/>
  <c r="E40" i="10"/>
  <c r="E25" i="10"/>
  <c r="E14" i="10"/>
  <c r="I98" i="5"/>
  <c r="I84" i="5"/>
  <c r="E84" i="5"/>
  <c r="I98" i="7"/>
  <c r="E98" i="7"/>
  <c r="I84" i="7"/>
  <c r="E84" i="7"/>
  <c r="I98" i="6"/>
  <c r="E98" i="6"/>
  <c r="I84" i="6"/>
  <c r="E84" i="6"/>
  <c r="I98" i="4"/>
  <c r="I96" i="4"/>
  <c r="E98" i="4"/>
  <c r="E96" i="4"/>
  <c r="E84" i="4"/>
  <c r="I98" i="3"/>
  <c r="I85" i="3"/>
  <c r="E85" i="3"/>
  <c r="I98" i="2"/>
  <c r="E98" i="2"/>
  <c r="E84" i="2"/>
  <c r="E24" i="9" l="1"/>
  <c r="F24" i="9"/>
  <c r="G13" i="9"/>
  <c r="H24" i="9"/>
  <c r="I24" i="9"/>
  <c r="J24" i="9"/>
  <c r="E14" i="9"/>
  <c r="F14" i="9"/>
  <c r="H14" i="9"/>
  <c r="I14" i="9"/>
  <c r="J14" i="9"/>
  <c r="D14" i="9"/>
  <c r="D13" i="9" s="1"/>
  <c r="C14" i="9"/>
  <c r="C13" i="9" s="1"/>
  <c r="D24" i="9"/>
  <c r="C24" i="9"/>
  <c r="H65" i="10"/>
  <c r="F47" i="10"/>
  <c r="E47" i="10"/>
  <c r="H47" i="10"/>
  <c r="H41" i="10"/>
  <c r="H26" i="10"/>
  <c r="H25" i="10" s="1"/>
  <c r="C43" i="10"/>
  <c r="D25" i="10"/>
  <c r="D27" i="10"/>
  <c r="H98" i="6"/>
  <c r="E95" i="3"/>
  <c r="F95" i="3"/>
  <c r="D95" i="3"/>
  <c r="H14" i="5"/>
  <c r="H24" i="5"/>
  <c r="H13" i="5" s="1"/>
  <c r="D14" i="5"/>
  <c r="D24" i="5"/>
  <c r="D13" i="5" s="1"/>
  <c r="C24" i="5"/>
  <c r="J13" i="9" l="1"/>
  <c r="F13" i="9"/>
  <c r="I13" i="9"/>
  <c r="E13" i="9"/>
  <c r="H13" i="9"/>
  <c r="H98" i="7"/>
  <c r="H71" i="7"/>
  <c r="I71" i="7"/>
  <c r="J71" i="7"/>
  <c r="H66" i="7"/>
  <c r="I66" i="7"/>
  <c r="J66" i="7"/>
  <c r="H48" i="7"/>
  <c r="H32" i="7" s="1"/>
  <c r="I48" i="7"/>
  <c r="J48" i="7"/>
  <c r="H41" i="7"/>
  <c r="I41" i="7"/>
  <c r="J41" i="7"/>
  <c r="H33" i="7"/>
  <c r="I33" i="7"/>
  <c r="J33" i="7"/>
  <c r="D71" i="7"/>
  <c r="E71" i="7"/>
  <c r="F71" i="7"/>
  <c r="D66" i="7"/>
  <c r="D32" i="7" s="1"/>
  <c r="E66" i="7"/>
  <c r="F66" i="7"/>
  <c r="D48" i="7"/>
  <c r="E48" i="7"/>
  <c r="F48" i="7"/>
  <c r="D33" i="7"/>
  <c r="E33" i="7"/>
  <c r="F33" i="7"/>
  <c r="D41" i="7"/>
  <c r="E41" i="7"/>
  <c r="F41" i="7"/>
  <c r="H98" i="3"/>
  <c r="H98" i="4"/>
  <c r="H96" i="4"/>
  <c r="D96" i="4"/>
  <c r="J32" i="7" l="1"/>
  <c r="I32" i="7"/>
  <c r="E32" i="7"/>
  <c r="F32" i="7"/>
  <c r="H98" i="2"/>
  <c r="L16" i="2"/>
  <c r="C59" i="10" l="1"/>
  <c r="J1" i="6" l="1"/>
  <c r="C64" i="6" l="1"/>
  <c r="C31" i="3"/>
  <c r="C19" i="3"/>
  <c r="C15" i="3"/>
  <c r="C19" i="5" l="1"/>
  <c r="C14" i="5" s="1"/>
  <c r="C13" i="5" s="1"/>
  <c r="C36" i="5" l="1"/>
  <c r="C27" i="10" l="1"/>
  <c r="C25" i="10" s="1"/>
  <c r="C96" i="4" l="1"/>
  <c r="C33" i="7"/>
  <c r="C41" i="7"/>
  <c r="C48" i="7"/>
  <c r="C66" i="7"/>
  <c r="C71" i="7"/>
  <c r="C32" i="7" l="1"/>
  <c r="C83" i="6"/>
  <c r="C95" i="5"/>
  <c r="C19" i="6" l="1"/>
  <c r="C19" i="4"/>
  <c r="C19" i="7" l="1"/>
  <c r="H2" i="10" l="1"/>
  <c r="H93" i="5" l="1"/>
  <c r="D67" i="3" l="1"/>
  <c r="E67" i="3"/>
  <c r="F67" i="3"/>
  <c r="C67" i="3"/>
  <c r="I43" i="10" l="1"/>
  <c r="E43" i="10" l="1"/>
  <c r="I135" i="9"/>
  <c r="E135" i="9"/>
  <c r="E33" i="6" l="1"/>
  <c r="I99" i="5"/>
  <c r="E99" i="5"/>
  <c r="N26" i="5"/>
  <c r="I95" i="3"/>
  <c r="H95" i="3"/>
  <c r="T98" i="3"/>
  <c r="N98" i="3"/>
  <c r="M98" i="3"/>
  <c r="L98" i="3"/>
  <c r="I67" i="3"/>
  <c r="H67" i="3"/>
  <c r="E34" i="3"/>
  <c r="N29" i="3"/>
  <c r="I83" i="2"/>
  <c r="D93" i="5" l="1"/>
  <c r="E93" i="5"/>
  <c r="H99" i="5"/>
  <c r="M26" i="5"/>
  <c r="D99" i="5"/>
  <c r="H135" i="9"/>
  <c r="D135" i="9"/>
  <c r="M127" i="9"/>
  <c r="N192" i="17" l="1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2" i="17"/>
  <c r="M182" i="17"/>
  <c r="L182" i="17"/>
  <c r="N179" i="17"/>
  <c r="M179" i="17"/>
  <c r="L179" i="17"/>
  <c r="N178" i="17"/>
  <c r="M178" i="17"/>
  <c r="L178" i="17"/>
  <c r="N165" i="17"/>
  <c r="M165" i="17"/>
  <c r="L165" i="17"/>
  <c r="N164" i="17"/>
  <c r="M164" i="17"/>
  <c r="L164" i="17"/>
  <c r="N163" i="17"/>
  <c r="M163" i="17"/>
  <c r="L163" i="17"/>
  <c r="N161" i="17"/>
  <c r="M161" i="17"/>
  <c r="L161" i="17"/>
  <c r="N160" i="17"/>
  <c r="M160" i="17"/>
  <c r="L160" i="17"/>
  <c r="N156" i="17"/>
  <c r="M156" i="17"/>
  <c r="L156" i="17"/>
  <c r="N155" i="17"/>
  <c r="M155" i="17"/>
  <c r="L155" i="17"/>
  <c r="N152" i="17"/>
  <c r="M152" i="17"/>
  <c r="L152" i="17"/>
  <c r="N151" i="17"/>
  <c r="M151" i="17"/>
  <c r="L151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29" i="17"/>
  <c r="M129" i="17"/>
  <c r="L129" i="17"/>
  <c r="N128" i="17"/>
  <c r="M128" i="17"/>
  <c r="L128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2" i="17"/>
  <c r="M102" i="17"/>
  <c r="L102" i="17"/>
  <c r="N101" i="17"/>
  <c r="M101" i="17"/>
  <c r="L101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0" i="17"/>
  <c r="M80" i="17"/>
  <c r="L80" i="17"/>
  <c r="N79" i="17"/>
  <c r="M79" i="17"/>
  <c r="L79" i="17"/>
  <c r="N75" i="17"/>
  <c r="M75" i="17"/>
  <c r="L75" i="17"/>
  <c r="N74" i="17"/>
  <c r="M74" i="17"/>
  <c r="L74" i="17"/>
  <c r="N71" i="17"/>
  <c r="M71" i="17"/>
  <c r="L71" i="17"/>
  <c r="N70" i="17"/>
  <c r="M70" i="17"/>
  <c r="L70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48" i="17"/>
  <c r="M48" i="17"/>
  <c r="L48" i="17"/>
  <c r="N47" i="17"/>
  <c r="M47" i="17"/>
  <c r="L47" i="17"/>
  <c r="N44" i="17"/>
  <c r="M44" i="17"/>
  <c r="L44" i="17"/>
  <c r="N43" i="17"/>
  <c r="M43" i="17"/>
  <c r="L43" i="17"/>
  <c r="T82" i="5" l="1"/>
  <c r="N82" i="5"/>
  <c r="M82" i="5"/>
  <c r="L82" i="5"/>
  <c r="H186" i="17"/>
  <c r="C86" i="7"/>
  <c r="C107" i="15" s="1"/>
  <c r="D86" i="7"/>
  <c r="D181" i="17" s="1"/>
  <c r="E86" i="7"/>
  <c r="E181" i="17" s="1"/>
  <c r="F86" i="7"/>
  <c r="F181" i="17" s="1"/>
  <c r="H86" i="7"/>
  <c r="L86" i="7" s="1"/>
  <c r="I86" i="7"/>
  <c r="M86" i="7" s="1"/>
  <c r="J86" i="7"/>
  <c r="N86" i="7" s="1"/>
  <c r="L87" i="7"/>
  <c r="M87" i="7"/>
  <c r="N87" i="7"/>
  <c r="L88" i="7"/>
  <c r="M88" i="7"/>
  <c r="N88" i="7"/>
  <c r="T88" i="7"/>
  <c r="T85" i="7"/>
  <c r="N85" i="7"/>
  <c r="M85" i="7"/>
  <c r="L85" i="7"/>
  <c r="T84" i="7"/>
  <c r="N84" i="7"/>
  <c r="M84" i="7"/>
  <c r="L84" i="7"/>
  <c r="J83" i="7"/>
  <c r="J95" i="15" s="1"/>
  <c r="I83" i="7"/>
  <c r="I95" i="15" s="1"/>
  <c r="H83" i="7"/>
  <c r="H180" i="17" s="1"/>
  <c r="F83" i="7"/>
  <c r="F180" i="17" s="1"/>
  <c r="E83" i="7"/>
  <c r="E180" i="17" s="1"/>
  <c r="D83" i="7"/>
  <c r="D180" i="17" s="1"/>
  <c r="C83" i="7"/>
  <c r="C180" i="17" s="1"/>
  <c r="T94" i="7"/>
  <c r="N94" i="7"/>
  <c r="M94" i="7"/>
  <c r="L94" i="7"/>
  <c r="T93" i="7"/>
  <c r="J93" i="7"/>
  <c r="J34" i="16" s="1"/>
  <c r="I93" i="7"/>
  <c r="I34" i="16" s="1"/>
  <c r="H34" i="16"/>
  <c r="F93" i="7"/>
  <c r="F186" i="17" s="1"/>
  <c r="E93" i="7"/>
  <c r="E34" i="16" s="1"/>
  <c r="D34" i="16"/>
  <c r="C93" i="7"/>
  <c r="C34" i="16" s="1"/>
  <c r="V90" i="7"/>
  <c r="V90" i="6"/>
  <c r="F106" i="15"/>
  <c r="J94" i="15"/>
  <c r="C94" i="15"/>
  <c r="J154" i="17"/>
  <c r="N154" i="17" s="1"/>
  <c r="I154" i="17"/>
  <c r="F154" i="17"/>
  <c r="E154" i="17"/>
  <c r="C153" i="17"/>
  <c r="N88" i="6"/>
  <c r="M88" i="6"/>
  <c r="L88" i="6"/>
  <c r="N87" i="6"/>
  <c r="M87" i="6"/>
  <c r="L87" i="6"/>
  <c r="J86" i="6"/>
  <c r="J106" i="15" s="1"/>
  <c r="I86" i="6"/>
  <c r="I106" i="15" s="1"/>
  <c r="H86" i="6"/>
  <c r="H154" i="17" s="1"/>
  <c r="F86" i="6"/>
  <c r="E86" i="6"/>
  <c r="E106" i="15" s="1"/>
  <c r="D86" i="6"/>
  <c r="D154" i="17" s="1"/>
  <c r="C86" i="6"/>
  <c r="C106" i="15" s="1"/>
  <c r="N85" i="6"/>
  <c r="M85" i="6"/>
  <c r="L85" i="6"/>
  <c r="N84" i="6"/>
  <c r="M84" i="6"/>
  <c r="L84" i="6"/>
  <c r="J83" i="6"/>
  <c r="I83" i="6"/>
  <c r="I153" i="17" s="1"/>
  <c r="H83" i="6"/>
  <c r="H153" i="17" s="1"/>
  <c r="F83" i="6"/>
  <c r="F94" i="15" s="1"/>
  <c r="E83" i="6"/>
  <c r="E153" i="17" s="1"/>
  <c r="D83" i="6"/>
  <c r="D153" i="17" s="1"/>
  <c r="T82" i="6"/>
  <c r="V90" i="5"/>
  <c r="T88" i="5"/>
  <c r="N88" i="5"/>
  <c r="M88" i="5"/>
  <c r="L88" i="5"/>
  <c r="T87" i="5"/>
  <c r="N87" i="5"/>
  <c r="M87" i="5"/>
  <c r="L87" i="5"/>
  <c r="J86" i="5"/>
  <c r="J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N85" i="5"/>
  <c r="M85" i="5"/>
  <c r="L85" i="5"/>
  <c r="M84" i="5"/>
  <c r="L84" i="5"/>
  <c r="N84" i="5"/>
  <c r="J83" i="5"/>
  <c r="J126" i="17" s="1"/>
  <c r="I83" i="5"/>
  <c r="I93" i="15" s="1"/>
  <c r="H83" i="5"/>
  <c r="H93" i="15" s="1"/>
  <c r="F83" i="5"/>
  <c r="F126" i="17" s="1"/>
  <c r="E83" i="5"/>
  <c r="E93" i="15" s="1"/>
  <c r="D83" i="5"/>
  <c r="D93" i="15" s="1"/>
  <c r="C83" i="5"/>
  <c r="C126" i="17" s="1"/>
  <c r="D31" i="16"/>
  <c r="I105" i="17"/>
  <c r="C99" i="17"/>
  <c r="T94" i="4"/>
  <c r="N94" i="4"/>
  <c r="M94" i="4"/>
  <c r="L94" i="4"/>
  <c r="J93" i="4"/>
  <c r="N93" i="4" s="1"/>
  <c r="I93" i="4"/>
  <c r="M93" i="4" s="1"/>
  <c r="H93" i="4"/>
  <c r="H105" i="17" s="1"/>
  <c r="F93" i="4"/>
  <c r="E93" i="4"/>
  <c r="E31" i="16" s="1"/>
  <c r="D93" i="4"/>
  <c r="D105" i="17" s="1"/>
  <c r="C93" i="4"/>
  <c r="T93" i="4" s="1"/>
  <c r="N88" i="4"/>
  <c r="M88" i="4"/>
  <c r="L88" i="4"/>
  <c r="N87" i="4"/>
  <c r="M87" i="4"/>
  <c r="L87" i="4"/>
  <c r="J86" i="4"/>
  <c r="N86" i="4" s="1"/>
  <c r="I86" i="4"/>
  <c r="M86" i="4" s="1"/>
  <c r="H86" i="4"/>
  <c r="L86" i="4" s="1"/>
  <c r="F86" i="4"/>
  <c r="F100" i="17" s="1"/>
  <c r="D86" i="4"/>
  <c r="D104" i="15" s="1"/>
  <c r="C86" i="4"/>
  <c r="C104" i="15" s="1"/>
  <c r="N85" i="4"/>
  <c r="M85" i="4"/>
  <c r="L85" i="4"/>
  <c r="N84" i="4"/>
  <c r="M84" i="4"/>
  <c r="L84" i="4"/>
  <c r="J83" i="4"/>
  <c r="N83" i="4" s="1"/>
  <c r="I83" i="4"/>
  <c r="I92" i="15" s="1"/>
  <c r="H83" i="4"/>
  <c r="L83" i="4" s="1"/>
  <c r="F83" i="4"/>
  <c r="F99" i="17" s="1"/>
  <c r="C83" i="4"/>
  <c r="C92" i="15" s="1"/>
  <c r="V90" i="4"/>
  <c r="F73" i="17"/>
  <c r="V91" i="3"/>
  <c r="N94" i="3"/>
  <c r="I93" i="3"/>
  <c r="I78" i="17" s="1"/>
  <c r="H93" i="3"/>
  <c r="H78" i="17" s="1"/>
  <c r="F78" i="17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N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N126" i="17" l="1"/>
  <c r="N83" i="6"/>
  <c r="L154" i="17"/>
  <c r="C93" i="15"/>
  <c r="H106" i="15"/>
  <c r="F90" i="15"/>
  <c r="D100" i="17"/>
  <c r="J92" i="15"/>
  <c r="F153" i="17"/>
  <c r="J153" i="17"/>
  <c r="N153" i="17" s="1"/>
  <c r="D106" i="15"/>
  <c r="D107" i="15"/>
  <c r="M154" i="17"/>
  <c r="J180" i="17"/>
  <c r="N180" i="17" s="1"/>
  <c r="C154" i="17"/>
  <c r="J99" i="17"/>
  <c r="H104" i="15"/>
  <c r="L86" i="6"/>
  <c r="I107" i="15"/>
  <c r="N127" i="17"/>
  <c r="F105" i="15"/>
  <c r="C95" i="15"/>
  <c r="J45" i="17"/>
  <c r="N45" i="17" s="1"/>
  <c r="F46" i="17"/>
  <c r="C45" i="17"/>
  <c r="H46" i="17"/>
  <c r="F29" i="16"/>
  <c r="E102" i="15"/>
  <c r="C46" i="17"/>
  <c r="D46" i="17"/>
  <c r="J46" i="17"/>
  <c r="J102" i="15"/>
  <c r="J90" i="15"/>
  <c r="C51" i="17"/>
  <c r="J29" i="16"/>
  <c r="H181" i="17"/>
  <c r="L181" i="17" s="1"/>
  <c r="E107" i="15"/>
  <c r="J107" i="15"/>
  <c r="F95" i="15"/>
  <c r="I181" i="17"/>
  <c r="M181" i="17" s="1"/>
  <c r="F107" i="15"/>
  <c r="C181" i="17"/>
  <c r="J181" i="17"/>
  <c r="N181" i="17" s="1"/>
  <c r="H107" i="15"/>
  <c r="D186" i="17"/>
  <c r="L186" i="17" s="1"/>
  <c r="I186" i="17"/>
  <c r="F34" i="16"/>
  <c r="E186" i="17"/>
  <c r="J186" i="17"/>
  <c r="N186" i="17" s="1"/>
  <c r="N93" i="7"/>
  <c r="C186" i="17"/>
  <c r="I30" i="16"/>
  <c r="F30" i="16"/>
  <c r="J78" i="17"/>
  <c r="N78" i="17" s="1"/>
  <c r="M127" i="17"/>
  <c r="L105" i="17"/>
  <c r="C100" i="17"/>
  <c r="H100" i="17"/>
  <c r="L100" i="17" s="1"/>
  <c r="C31" i="16"/>
  <c r="H92" i="15"/>
  <c r="F104" i="15"/>
  <c r="N99" i="17"/>
  <c r="I100" i="17"/>
  <c r="I31" i="16"/>
  <c r="F92" i="15"/>
  <c r="J104" i="15"/>
  <c r="L93" i="4"/>
  <c r="H99" i="17"/>
  <c r="J100" i="17"/>
  <c r="N100" i="17" s="1"/>
  <c r="H31" i="16"/>
  <c r="I104" i="15"/>
  <c r="E105" i="17"/>
  <c r="M105" i="17" s="1"/>
  <c r="J105" i="17"/>
  <c r="N105" i="17" s="1"/>
  <c r="F105" i="17"/>
  <c r="F31" i="16"/>
  <c r="C105" i="17"/>
  <c r="J31" i="16"/>
  <c r="L83" i="7"/>
  <c r="E95" i="15"/>
  <c r="M83" i="6"/>
  <c r="D90" i="15"/>
  <c r="M83" i="7"/>
  <c r="I180" i="17"/>
  <c r="M180" i="17" s="1"/>
  <c r="M153" i="17"/>
  <c r="I94" i="15"/>
  <c r="E94" i="15"/>
  <c r="I99" i="17"/>
  <c r="C73" i="17"/>
  <c r="H73" i="17"/>
  <c r="L73" i="17" s="1"/>
  <c r="H30" i="16"/>
  <c r="D73" i="17"/>
  <c r="I73" i="17"/>
  <c r="J103" i="15"/>
  <c r="H103" i="15"/>
  <c r="J30" i="16"/>
  <c r="E90" i="15"/>
  <c r="H95" i="15"/>
  <c r="L180" i="17"/>
  <c r="D95" i="15"/>
  <c r="L153" i="17"/>
  <c r="H94" i="15"/>
  <c r="D94" i="15"/>
  <c r="L83" i="5"/>
  <c r="H126" i="17"/>
  <c r="L45" i="17"/>
  <c r="H90" i="15"/>
  <c r="C127" i="17"/>
  <c r="L86" i="5"/>
  <c r="D126" i="17"/>
  <c r="I105" i="15"/>
  <c r="D105" i="15"/>
  <c r="H127" i="17"/>
  <c r="L127" i="17" s="1"/>
  <c r="F93" i="15"/>
  <c r="I126" i="17"/>
  <c r="J105" i="15"/>
  <c r="E105" i="15"/>
  <c r="N83" i="7"/>
  <c r="M93" i="7"/>
  <c r="L93" i="7"/>
  <c r="M86" i="6"/>
  <c r="L83" i="6"/>
  <c r="N86" i="6"/>
  <c r="T86" i="6"/>
  <c r="T87" i="6"/>
  <c r="T88" i="6"/>
  <c r="T85" i="6"/>
  <c r="J93" i="15"/>
  <c r="E126" i="17"/>
  <c r="C105" i="15"/>
  <c r="N86" i="5"/>
  <c r="M86" i="5"/>
  <c r="N83" i="5"/>
  <c r="M83" i="5"/>
  <c r="D83" i="4"/>
  <c r="M83" i="4"/>
  <c r="H51" i="17"/>
  <c r="I51" i="17"/>
  <c r="J51" i="17"/>
  <c r="N51" i="17" s="1"/>
  <c r="L94" i="3"/>
  <c r="C93" i="3"/>
  <c r="E87" i="3"/>
  <c r="M88" i="3"/>
  <c r="L93" i="2"/>
  <c r="M94" i="2"/>
  <c r="D93" i="2"/>
  <c r="L83" i="2"/>
  <c r="L86" i="2"/>
  <c r="I86" i="2"/>
  <c r="F13" i="7"/>
  <c r="H13" i="7"/>
  <c r="J13" i="7"/>
  <c r="E13" i="6"/>
  <c r="F13" i="6"/>
  <c r="H13" i="6"/>
  <c r="J13" i="6"/>
  <c r="C13" i="6"/>
  <c r="D13" i="4"/>
  <c r="E13" i="4"/>
  <c r="F13" i="4"/>
  <c r="H13" i="4"/>
  <c r="J13" i="4"/>
  <c r="K13" i="4"/>
  <c r="C13" i="4"/>
  <c r="E13" i="3"/>
  <c r="F13" i="3"/>
  <c r="H13" i="3"/>
  <c r="J13" i="3"/>
  <c r="C13" i="3"/>
  <c r="F13" i="2"/>
  <c r="H13" i="2"/>
  <c r="J13" i="2"/>
  <c r="C13" i="2"/>
  <c r="L126" i="17" l="1"/>
  <c r="L46" i="17"/>
  <c r="N46" i="17"/>
  <c r="M186" i="17"/>
  <c r="D92" i="15"/>
  <c r="D99" i="17"/>
  <c r="L99" i="17" s="1"/>
  <c r="E73" i="17"/>
  <c r="M73" i="17" s="1"/>
  <c r="E103" i="15"/>
  <c r="C30" i="16"/>
  <c r="C78" i="17"/>
  <c r="M86" i="2"/>
  <c r="I102" i="15"/>
  <c r="I46" i="17"/>
  <c r="M46" i="17" s="1"/>
  <c r="M83" i="2"/>
  <c r="I45" i="17"/>
  <c r="M45" i="17" s="1"/>
  <c r="I90" i="15"/>
  <c r="M126" i="17"/>
  <c r="E83" i="4"/>
  <c r="E86" i="4"/>
  <c r="D29" i="16"/>
  <c r="D51" i="17"/>
  <c r="L51" i="17" s="1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7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H72" i="17"/>
  <c r="F72" i="17"/>
  <c r="E72" i="17"/>
  <c r="D72" i="17"/>
  <c r="C72" i="17"/>
  <c r="J175" i="17"/>
  <c r="H175" i="17"/>
  <c r="F175" i="17"/>
  <c r="J148" i="17"/>
  <c r="H148" i="17"/>
  <c r="F148" i="17"/>
  <c r="E148" i="17"/>
  <c r="C148" i="17"/>
  <c r="J121" i="17"/>
  <c r="H121" i="17"/>
  <c r="F121" i="17"/>
  <c r="E121" i="17"/>
  <c r="C121" i="17"/>
  <c r="J94" i="17"/>
  <c r="H94" i="17"/>
  <c r="F94" i="17"/>
  <c r="E94" i="17"/>
  <c r="D94" i="17"/>
  <c r="C94" i="17"/>
  <c r="J67" i="17"/>
  <c r="H67" i="17"/>
  <c r="F67" i="17"/>
  <c r="E67" i="17"/>
  <c r="C67" i="17"/>
  <c r="J40" i="17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H194" i="17"/>
  <c r="F194" i="17"/>
  <c r="E194" i="17"/>
  <c r="D194" i="17"/>
  <c r="C194" i="17"/>
  <c r="J167" i="17"/>
  <c r="N167" i="17" s="1"/>
  <c r="I167" i="17"/>
  <c r="H167" i="17"/>
  <c r="F167" i="17"/>
  <c r="E167" i="17"/>
  <c r="D167" i="17"/>
  <c r="C167" i="17"/>
  <c r="J140" i="17"/>
  <c r="I140" i="17"/>
  <c r="H140" i="17"/>
  <c r="F140" i="17"/>
  <c r="E140" i="17"/>
  <c r="D140" i="17"/>
  <c r="C140" i="17"/>
  <c r="J113" i="17"/>
  <c r="I113" i="17"/>
  <c r="H113" i="17"/>
  <c r="F113" i="17"/>
  <c r="C113" i="17"/>
  <c r="J86" i="17"/>
  <c r="I86" i="17"/>
  <c r="H86" i="17"/>
  <c r="F86" i="17"/>
  <c r="C86" i="17"/>
  <c r="J59" i="17"/>
  <c r="I59" i="17"/>
  <c r="H59" i="17"/>
  <c r="F59" i="17"/>
  <c r="C59" i="17"/>
  <c r="J32" i="17"/>
  <c r="I32" i="17"/>
  <c r="H32" i="17"/>
  <c r="F32" i="17"/>
  <c r="E32" i="17"/>
  <c r="C32" i="17"/>
  <c r="C135" i="17"/>
  <c r="C159" i="17"/>
  <c r="J132" i="17"/>
  <c r="H132" i="17"/>
  <c r="F132" i="17"/>
  <c r="E132" i="17"/>
  <c r="D132" i="17"/>
  <c r="G24" i="17"/>
  <c r="J1" i="17"/>
  <c r="C68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F130" i="16"/>
  <c r="F129" i="16"/>
  <c r="F128" i="16"/>
  <c r="F127" i="16"/>
  <c r="F126" i="16"/>
  <c r="F125" i="16"/>
  <c r="E130" i="16"/>
  <c r="D130" i="16"/>
  <c r="E129" i="16"/>
  <c r="D129" i="16"/>
  <c r="E128" i="16"/>
  <c r="D128" i="16"/>
  <c r="A132" i="16"/>
  <c r="C130" i="16"/>
  <c r="C129" i="16"/>
  <c r="C128" i="16"/>
  <c r="C127" i="16"/>
  <c r="C126" i="16"/>
  <c r="C125" i="16"/>
  <c r="A120" i="16"/>
  <c r="B99" i="16"/>
  <c r="A108" i="16"/>
  <c r="A96" i="16"/>
  <c r="B87" i="16"/>
  <c r="B75" i="16"/>
  <c r="B63" i="16"/>
  <c r="A84" i="16"/>
  <c r="A72" i="16"/>
  <c r="A36" i="16"/>
  <c r="A48" i="16"/>
  <c r="A60" i="16"/>
  <c r="B51" i="16"/>
  <c r="B39" i="16"/>
  <c r="J32" i="16"/>
  <c r="H32" i="16"/>
  <c r="D32" i="16"/>
  <c r="E32" i="16"/>
  <c r="F32" i="16"/>
  <c r="C33" i="16"/>
  <c r="B27" i="16"/>
  <c r="J142" i="16"/>
  <c r="I142" i="16"/>
  <c r="H142" i="16"/>
  <c r="F142" i="16"/>
  <c r="E142" i="16"/>
  <c r="J141" i="16"/>
  <c r="I141" i="16"/>
  <c r="H141" i="16"/>
  <c r="F141" i="16"/>
  <c r="E141" i="16"/>
  <c r="D141" i="16"/>
  <c r="J140" i="16"/>
  <c r="I140" i="16"/>
  <c r="H140" i="16"/>
  <c r="F140" i="16"/>
  <c r="J139" i="16"/>
  <c r="I139" i="16"/>
  <c r="H139" i="16"/>
  <c r="F139" i="16"/>
  <c r="E139" i="16"/>
  <c r="D139" i="16"/>
  <c r="J138" i="16"/>
  <c r="I138" i="16"/>
  <c r="H138" i="16"/>
  <c r="F138" i="16"/>
  <c r="J137" i="16"/>
  <c r="I137" i="16"/>
  <c r="H137" i="16"/>
  <c r="F137" i="16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R8" i="16"/>
  <c r="P8" i="16"/>
  <c r="J1" i="16"/>
  <c r="J40" i="10"/>
  <c r="I40" i="10"/>
  <c r="H40" i="10"/>
  <c r="D40" i="10"/>
  <c r="F40" i="10"/>
  <c r="C40" i="10"/>
  <c r="J14" i="10"/>
  <c r="I14" i="10"/>
  <c r="I13" i="10" s="1"/>
  <c r="H14" i="10"/>
  <c r="F14" i="10"/>
  <c r="C14" i="10"/>
  <c r="C13" i="10" s="1"/>
  <c r="N72" i="17" l="1"/>
  <c r="N194" i="17"/>
  <c r="N32" i="17"/>
  <c r="N40" i="17"/>
  <c r="N121" i="17"/>
  <c r="N132" i="17"/>
  <c r="N140" i="17"/>
  <c r="N148" i="17"/>
  <c r="N20" i="17"/>
  <c r="L194" i="17"/>
  <c r="N59" i="17"/>
  <c r="N175" i="17"/>
  <c r="N113" i="17"/>
  <c r="N94" i="17"/>
  <c r="E104" i="15"/>
  <c r="E100" i="17"/>
  <c r="M100" i="17" s="1"/>
  <c r="L132" i="17"/>
  <c r="M140" i="17"/>
  <c r="M20" i="17"/>
  <c r="L20" i="17"/>
  <c r="M167" i="17"/>
  <c r="E92" i="15"/>
  <c r="E99" i="17"/>
  <c r="M99" i="17" s="1"/>
  <c r="N86" i="17"/>
  <c r="D30" i="16"/>
  <c r="D78" i="17"/>
  <c r="L78" i="17" s="1"/>
  <c r="N67" i="17"/>
  <c r="L167" i="17"/>
  <c r="L140" i="17"/>
  <c r="L94" i="17"/>
  <c r="L72" i="17"/>
  <c r="M32" i="17"/>
  <c r="E51" i="17"/>
  <c r="M51" i="17" s="1"/>
  <c r="E29" i="16"/>
  <c r="M93" i="3"/>
  <c r="E93" i="3"/>
  <c r="N93" i="3" s="1"/>
  <c r="T94" i="2"/>
  <c r="A11" i="17"/>
  <c r="B105" i="17"/>
  <c r="B132" i="17" s="1"/>
  <c r="B159" i="17" s="1"/>
  <c r="B79" i="17"/>
  <c r="B106" i="17" s="1"/>
  <c r="B133" i="17" s="1"/>
  <c r="B160" i="17" s="1"/>
  <c r="B187" i="17" s="1"/>
  <c r="C132" i="16"/>
  <c r="F132" i="16"/>
  <c r="H132" i="16"/>
  <c r="J132" i="16"/>
  <c r="H143" i="16"/>
  <c r="H21" i="16" s="1"/>
  <c r="I143" i="16"/>
  <c r="I21" i="16" s="1"/>
  <c r="J143" i="16"/>
  <c r="J21" i="16" s="1"/>
  <c r="F143" i="16"/>
  <c r="F21" i="16" s="1"/>
  <c r="F48" i="4"/>
  <c r="C48" i="4"/>
  <c r="J48" i="4"/>
  <c r="H48" i="4"/>
  <c r="E30" i="16" l="1"/>
  <c r="E78" i="17"/>
  <c r="M78" i="17" s="1"/>
  <c r="T94" i="3"/>
  <c r="T93" i="2"/>
  <c r="B186" i="17"/>
  <c r="B84" i="17"/>
  <c r="B111" i="17" s="1"/>
  <c r="B138" i="17" s="1"/>
  <c r="E13" i="2"/>
  <c r="D95" i="7"/>
  <c r="E95" i="7"/>
  <c r="F95" i="7"/>
  <c r="J95" i="7"/>
  <c r="C95" i="7"/>
  <c r="E99" i="7"/>
  <c r="E118" i="16" s="1"/>
  <c r="F99" i="7"/>
  <c r="H99" i="7"/>
  <c r="J99" i="7"/>
  <c r="D99" i="6"/>
  <c r="D117" i="16" s="1"/>
  <c r="E99" i="6"/>
  <c r="E117" i="16" s="1"/>
  <c r="F99" i="6"/>
  <c r="H99" i="6"/>
  <c r="I99" i="6"/>
  <c r="J99" i="6"/>
  <c r="D29" i="6"/>
  <c r="D46" i="15" s="1"/>
  <c r="E29" i="6"/>
  <c r="E149" i="17" s="1"/>
  <c r="F29" i="6"/>
  <c r="H29" i="6"/>
  <c r="J29" i="6"/>
  <c r="C29" i="6"/>
  <c r="D33" i="6"/>
  <c r="F33" i="6"/>
  <c r="H33" i="6"/>
  <c r="J33" i="6"/>
  <c r="C33" i="6"/>
  <c r="E41" i="6"/>
  <c r="F41" i="6"/>
  <c r="H41" i="6"/>
  <c r="I41" i="6"/>
  <c r="J41" i="6"/>
  <c r="C41" i="6"/>
  <c r="D48" i="6"/>
  <c r="E48" i="6"/>
  <c r="F48" i="6"/>
  <c r="H48" i="6"/>
  <c r="J48" i="6"/>
  <c r="C48" i="6"/>
  <c r="D66" i="6"/>
  <c r="E66" i="6"/>
  <c r="F66" i="6"/>
  <c r="J66" i="6"/>
  <c r="C66" i="6"/>
  <c r="E71" i="6"/>
  <c r="F71" i="6"/>
  <c r="H71" i="6"/>
  <c r="J71" i="6"/>
  <c r="C71" i="6"/>
  <c r="D33" i="5"/>
  <c r="E33" i="5"/>
  <c r="F33" i="5"/>
  <c r="H33" i="5"/>
  <c r="J33" i="5"/>
  <c r="C33" i="5"/>
  <c r="E71" i="5"/>
  <c r="F71" i="5"/>
  <c r="H71" i="5"/>
  <c r="J71" i="5"/>
  <c r="C71" i="5"/>
  <c r="D66" i="5"/>
  <c r="E66" i="5"/>
  <c r="F66" i="5"/>
  <c r="H66" i="5"/>
  <c r="J66" i="5"/>
  <c r="C66" i="5"/>
  <c r="D48" i="5"/>
  <c r="E48" i="5"/>
  <c r="F48" i="5"/>
  <c r="H48" i="5"/>
  <c r="J48" i="5"/>
  <c r="C48" i="5"/>
  <c r="D41" i="5"/>
  <c r="E41" i="5"/>
  <c r="F41" i="5"/>
  <c r="H41" i="5"/>
  <c r="J41" i="5"/>
  <c r="C41" i="5"/>
  <c r="D29" i="5"/>
  <c r="D122" i="17" s="1"/>
  <c r="E29" i="5"/>
  <c r="E224" i="9" s="1"/>
  <c r="F29" i="5"/>
  <c r="H29" i="5"/>
  <c r="J29" i="5"/>
  <c r="C29" i="5"/>
  <c r="C45" i="15" s="1"/>
  <c r="F99" i="4"/>
  <c r="H99" i="4"/>
  <c r="I99" i="4"/>
  <c r="J99" i="4"/>
  <c r="F71" i="4"/>
  <c r="H71" i="4"/>
  <c r="J71" i="4"/>
  <c r="C71" i="4"/>
  <c r="D41" i="4"/>
  <c r="E41" i="4"/>
  <c r="F41" i="4"/>
  <c r="H41" i="4"/>
  <c r="J41" i="4"/>
  <c r="C41" i="4"/>
  <c r="J33" i="4"/>
  <c r="H33" i="4"/>
  <c r="E33" i="4"/>
  <c r="F33" i="4"/>
  <c r="C33" i="4"/>
  <c r="J29" i="4"/>
  <c r="J44" i="15" s="1"/>
  <c r="H29" i="4"/>
  <c r="H44" i="15" s="1"/>
  <c r="F29" i="4"/>
  <c r="C29" i="4"/>
  <c r="C44" i="15" s="1"/>
  <c r="J99" i="3"/>
  <c r="J102" i="3" s="1"/>
  <c r="I99" i="3"/>
  <c r="H99" i="3"/>
  <c r="H102" i="3" s="1"/>
  <c r="F99" i="3"/>
  <c r="C95" i="3"/>
  <c r="T95" i="3" s="1"/>
  <c r="J29" i="2"/>
  <c r="J41" i="17" s="1"/>
  <c r="H29" i="2"/>
  <c r="D29" i="2"/>
  <c r="D41" i="17" s="1"/>
  <c r="E29" i="2"/>
  <c r="E42" i="15" s="1"/>
  <c r="F29" i="2"/>
  <c r="F221" i="9" s="1"/>
  <c r="C29" i="2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C42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C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C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H225" i="9"/>
  <c r="F225" i="9"/>
  <c r="D224" i="9"/>
  <c r="C221" i="9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7" i="9"/>
  <c r="C216" i="9"/>
  <c r="C215" i="9"/>
  <c r="C214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J149" i="17" l="1"/>
  <c r="F32" i="5"/>
  <c r="F123" i="17" s="1"/>
  <c r="F150" i="17"/>
  <c r="D221" i="9"/>
  <c r="D42" i="15"/>
  <c r="F149" i="17"/>
  <c r="J150" i="17"/>
  <c r="J157" i="17" s="1"/>
  <c r="J32" i="5"/>
  <c r="J123" i="17" s="1"/>
  <c r="C224" i="9"/>
  <c r="J42" i="15"/>
  <c r="J221" i="9"/>
  <c r="J223" i="9"/>
  <c r="E32" i="6"/>
  <c r="E45" i="15"/>
  <c r="I102" i="3"/>
  <c r="C32" i="6"/>
  <c r="C150" i="17" s="1"/>
  <c r="E32" i="5"/>
  <c r="E123" i="17" s="1"/>
  <c r="E40" i="17"/>
  <c r="C41" i="17"/>
  <c r="C32" i="5"/>
  <c r="C123" i="17" s="1"/>
  <c r="D45" i="15"/>
  <c r="H32" i="5"/>
  <c r="H123" i="17" s="1"/>
  <c r="C189" i="17"/>
  <c r="C70" i="16"/>
  <c r="J193" i="17"/>
  <c r="E193" i="17"/>
  <c r="D70" i="16"/>
  <c r="D189" i="17"/>
  <c r="H118" i="16"/>
  <c r="H193" i="17"/>
  <c r="F102" i="7"/>
  <c r="F70" i="16"/>
  <c r="F189" i="17"/>
  <c r="F193" i="17"/>
  <c r="J102" i="7"/>
  <c r="J189" i="17"/>
  <c r="J70" i="16"/>
  <c r="E102" i="7"/>
  <c r="E189" i="17"/>
  <c r="E70" i="16"/>
  <c r="I117" i="16"/>
  <c r="I166" i="17"/>
  <c r="C225" i="9"/>
  <c r="C149" i="17"/>
  <c r="J166" i="17"/>
  <c r="E166" i="17"/>
  <c r="J46" i="15"/>
  <c r="D225" i="9"/>
  <c r="D149" i="17"/>
  <c r="H166" i="17"/>
  <c r="H117" i="16"/>
  <c r="D166" i="17"/>
  <c r="E225" i="9"/>
  <c r="J225" i="9"/>
  <c r="E46" i="15"/>
  <c r="H46" i="15"/>
  <c r="H149" i="17"/>
  <c r="F166" i="17"/>
  <c r="F45" i="15"/>
  <c r="F122" i="17"/>
  <c r="J224" i="9"/>
  <c r="J122" i="17"/>
  <c r="E122" i="17"/>
  <c r="H45" i="15"/>
  <c r="H122" i="17"/>
  <c r="L122" i="17" s="1"/>
  <c r="H224" i="9"/>
  <c r="C122" i="17"/>
  <c r="C223" i="9"/>
  <c r="J95" i="17"/>
  <c r="N95" i="17" s="1"/>
  <c r="C95" i="17"/>
  <c r="F44" i="15"/>
  <c r="F95" i="17"/>
  <c r="J112" i="17"/>
  <c r="H223" i="9"/>
  <c r="H95" i="17"/>
  <c r="F112" i="17"/>
  <c r="I112" i="17"/>
  <c r="I115" i="16"/>
  <c r="F223" i="9"/>
  <c r="H115" i="16"/>
  <c r="H112" i="17"/>
  <c r="T93" i="3"/>
  <c r="J145" i="15"/>
  <c r="J36" i="11" s="1"/>
  <c r="F85" i="17"/>
  <c r="E66" i="16"/>
  <c r="E81" i="17"/>
  <c r="J66" i="16"/>
  <c r="J81" i="17"/>
  <c r="J85" i="17"/>
  <c r="D81" i="17"/>
  <c r="D66" i="16"/>
  <c r="C81" i="17"/>
  <c r="C66" i="16"/>
  <c r="H81" i="17"/>
  <c r="L81" i="17" s="1"/>
  <c r="H66" i="16"/>
  <c r="H85" i="17"/>
  <c r="H114" i="16"/>
  <c r="F81" i="17"/>
  <c r="F66" i="16"/>
  <c r="I81" i="17"/>
  <c r="I66" i="16"/>
  <c r="I114" i="16"/>
  <c r="I85" i="17"/>
  <c r="H145" i="15"/>
  <c r="H22" i="15" s="1"/>
  <c r="F145" i="15"/>
  <c r="I145" i="15"/>
  <c r="I58" i="17"/>
  <c r="I113" i="16"/>
  <c r="E221" i="9"/>
  <c r="E41" i="17"/>
  <c r="F58" i="17"/>
  <c r="J58" i="17"/>
  <c r="H221" i="9"/>
  <c r="H41" i="17"/>
  <c r="L41" i="17" s="1"/>
  <c r="H58" i="17"/>
  <c r="H113" i="16"/>
  <c r="F42" i="15"/>
  <c r="F41" i="17"/>
  <c r="N41" i="17" s="1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J89" i="5" l="1"/>
  <c r="F130" i="17"/>
  <c r="N166" i="17"/>
  <c r="F157" i="17"/>
  <c r="N157" i="17" s="1"/>
  <c r="F89" i="6"/>
  <c r="N123" i="17"/>
  <c r="J89" i="6"/>
  <c r="F89" i="5"/>
  <c r="N150" i="17"/>
  <c r="N149" i="17"/>
  <c r="L149" i="17"/>
  <c r="N58" i="17"/>
  <c r="N193" i="17"/>
  <c r="J195" i="17"/>
  <c r="N189" i="17"/>
  <c r="N81" i="17"/>
  <c r="J130" i="17"/>
  <c r="N130" i="17" s="1"/>
  <c r="N122" i="17"/>
  <c r="N112" i="17"/>
  <c r="E89" i="5"/>
  <c r="C89" i="5"/>
  <c r="M166" i="17"/>
  <c r="M81" i="17"/>
  <c r="N85" i="17"/>
  <c r="L166" i="17"/>
  <c r="E150" i="17"/>
  <c r="E89" i="6"/>
  <c r="C157" i="17"/>
  <c r="C89" i="6"/>
  <c r="E130" i="17"/>
  <c r="H130" i="17"/>
  <c r="C130" i="17"/>
  <c r="H89" i="5"/>
  <c r="E195" i="17"/>
  <c r="F195" i="17"/>
  <c r="F87" i="17"/>
  <c r="I87" i="17"/>
  <c r="J87" i="17"/>
  <c r="H87" i="17"/>
  <c r="B192" i="17"/>
  <c r="H36" i="11"/>
  <c r="J22" i="15"/>
  <c r="I36" i="11"/>
  <c r="I22" i="15"/>
  <c r="F36" i="11"/>
  <c r="N36" i="11" s="1"/>
  <c r="F22" i="15"/>
  <c r="N195" i="17" l="1"/>
  <c r="N87" i="17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T14" i="7" l="1"/>
  <c r="T16" i="7"/>
  <c r="T17" i="7"/>
  <c r="T20" i="7"/>
  <c r="T22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4" i="7"/>
  <c r="T75" i="7"/>
  <c r="T76" i="7"/>
  <c r="T77" i="7"/>
  <c r="T78" i="7"/>
  <c r="T79" i="7"/>
  <c r="T81" i="7"/>
  <c r="T82" i="7"/>
  <c r="T95" i="7"/>
  <c r="T96" i="7"/>
  <c r="T100" i="7"/>
  <c r="N101" i="7"/>
  <c r="N100" i="7"/>
  <c r="N98" i="7"/>
  <c r="N97" i="7"/>
  <c r="N96" i="7"/>
  <c r="N80" i="7"/>
  <c r="N74" i="7"/>
  <c r="N67" i="7"/>
  <c r="N64" i="7"/>
  <c r="N62" i="7"/>
  <c r="N58" i="7"/>
  <c r="N49" i="7"/>
  <c r="N46" i="7"/>
  <c r="N42" i="7"/>
  <c r="N34" i="7"/>
  <c r="N30" i="7"/>
  <c r="N23" i="7"/>
  <c r="N21" i="7"/>
  <c r="N19" i="7"/>
  <c r="N18" i="7"/>
  <c r="L101" i="7"/>
  <c r="L97" i="7"/>
  <c r="L96" i="7"/>
  <c r="M80" i="7"/>
  <c r="L80" i="7"/>
  <c r="M74" i="7"/>
  <c r="L74" i="7"/>
  <c r="L72" i="7"/>
  <c r="M67" i="7"/>
  <c r="L67" i="7"/>
  <c r="L64" i="7"/>
  <c r="M62" i="7"/>
  <c r="L62" i="7"/>
  <c r="M58" i="7"/>
  <c r="L58" i="7"/>
  <c r="M42" i="7"/>
  <c r="L42" i="7"/>
  <c r="L36" i="7"/>
  <c r="M34" i="7"/>
  <c r="L34" i="7"/>
  <c r="L30" i="7"/>
  <c r="L23" i="7"/>
  <c r="L21" i="7"/>
  <c r="L19" i="7"/>
  <c r="L18" i="7"/>
  <c r="J29" i="7"/>
  <c r="F29" i="7"/>
  <c r="J1" i="7"/>
  <c r="T14" i="6"/>
  <c r="T16" i="6"/>
  <c r="T17" i="6"/>
  <c r="T20" i="6"/>
  <c r="T22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V68" i="6"/>
  <c r="T70" i="6"/>
  <c r="T73" i="6"/>
  <c r="T74" i="6"/>
  <c r="T75" i="6"/>
  <c r="T76" i="6"/>
  <c r="T77" i="6"/>
  <c r="T78" i="6"/>
  <c r="T79" i="6"/>
  <c r="T81" i="6"/>
  <c r="T93" i="6"/>
  <c r="T94" i="6"/>
  <c r="T98" i="6"/>
  <c r="N101" i="6"/>
  <c r="N100" i="6"/>
  <c r="N98" i="6"/>
  <c r="N97" i="6"/>
  <c r="N96" i="6"/>
  <c r="N94" i="6"/>
  <c r="N80" i="6"/>
  <c r="N74" i="6"/>
  <c r="N72" i="6"/>
  <c r="N69" i="6"/>
  <c r="N67" i="6"/>
  <c r="N64" i="6"/>
  <c r="N62" i="6"/>
  <c r="N58" i="6"/>
  <c r="N56" i="6"/>
  <c r="N49" i="6"/>
  <c r="N36" i="6"/>
  <c r="N34" i="6"/>
  <c r="N30" i="6"/>
  <c r="N23" i="6"/>
  <c r="N21" i="6"/>
  <c r="N19" i="6"/>
  <c r="N15" i="6"/>
  <c r="N13" i="6"/>
  <c r="L101" i="6"/>
  <c r="L100" i="6"/>
  <c r="L98" i="6"/>
  <c r="L97" i="6"/>
  <c r="L94" i="6"/>
  <c r="L80" i="6"/>
  <c r="L74" i="6"/>
  <c r="L67" i="6"/>
  <c r="L64" i="6"/>
  <c r="L62" i="6"/>
  <c r="L58" i="6"/>
  <c r="L56" i="6"/>
  <c r="L49" i="6"/>
  <c r="L36" i="6"/>
  <c r="L34" i="6"/>
  <c r="L30" i="6"/>
  <c r="L23" i="6"/>
  <c r="L21" i="6"/>
  <c r="L19" i="6"/>
  <c r="N99" i="6"/>
  <c r="J95" i="6"/>
  <c r="J93" i="6"/>
  <c r="N29" i="6"/>
  <c r="F95" i="6"/>
  <c r="F93" i="6"/>
  <c r="J1" i="5"/>
  <c r="T16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5" i="5"/>
  <c r="T96" i="5"/>
  <c r="T98" i="5"/>
  <c r="F95" i="5"/>
  <c r="N101" i="5"/>
  <c r="L101" i="5"/>
  <c r="N98" i="5"/>
  <c r="L98" i="5"/>
  <c r="N96" i="5"/>
  <c r="L96" i="5"/>
  <c r="N93" i="5"/>
  <c r="N80" i="5"/>
  <c r="L80" i="5"/>
  <c r="N72" i="5"/>
  <c r="L72" i="5"/>
  <c r="N69" i="5"/>
  <c r="L69" i="5"/>
  <c r="N67" i="5"/>
  <c r="L67" i="5"/>
  <c r="N64" i="5"/>
  <c r="L64" i="5"/>
  <c r="N62" i="5"/>
  <c r="L62" i="5"/>
  <c r="N58" i="5"/>
  <c r="L58" i="5"/>
  <c r="N53" i="5"/>
  <c r="L53" i="5"/>
  <c r="N49" i="5"/>
  <c r="L49" i="5"/>
  <c r="N46" i="5"/>
  <c r="L46" i="5"/>
  <c r="N42" i="5"/>
  <c r="L42" i="5"/>
  <c r="N36" i="5"/>
  <c r="L36" i="5"/>
  <c r="N34" i="5"/>
  <c r="L34" i="5"/>
  <c r="N30" i="5"/>
  <c r="L30" i="5"/>
  <c r="N27" i="5"/>
  <c r="L27" i="5"/>
  <c r="N25" i="5"/>
  <c r="L25" i="5"/>
  <c r="N23" i="5"/>
  <c r="L23" i="5"/>
  <c r="N22" i="5"/>
  <c r="L22" i="5"/>
  <c r="N21" i="5"/>
  <c r="L21" i="5"/>
  <c r="N19" i="5"/>
  <c r="L19" i="5"/>
  <c r="N15" i="5"/>
  <c r="L15" i="5"/>
  <c r="M101" i="5"/>
  <c r="J1" i="4"/>
  <c r="T14" i="4"/>
  <c r="T73" i="4"/>
  <c r="T75" i="4"/>
  <c r="J66" i="4"/>
  <c r="N66" i="4" s="1"/>
  <c r="N41" i="4"/>
  <c r="T98" i="4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20" i="4"/>
  <c r="T18" i="4"/>
  <c r="T17" i="4"/>
  <c r="T97" i="3"/>
  <c r="T96" i="3"/>
  <c r="N101" i="4"/>
  <c r="M101" i="4"/>
  <c r="L101" i="4"/>
  <c r="L100" i="4"/>
  <c r="N98" i="4"/>
  <c r="L98" i="4"/>
  <c r="N97" i="4"/>
  <c r="L97" i="4"/>
  <c r="N96" i="4"/>
  <c r="L96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L74" i="4"/>
  <c r="N73" i="4"/>
  <c r="M73" i="4"/>
  <c r="L73" i="4"/>
  <c r="N72" i="4"/>
  <c r="L72" i="4"/>
  <c r="N70" i="4"/>
  <c r="M70" i="4"/>
  <c r="L70" i="4"/>
  <c r="N69" i="4"/>
  <c r="M69" i="4"/>
  <c r="L69" i="4"/>
  <c r="N68" i="4"/>
  <c r="M68" i="4"/>
  <c r="L68" i="4"/>
  <c r="N67" i="4"/>
  <c r="L67" i="4"/>
  <c r="N65" i="4"/>
  <c r="M65" i="4"/>
  <c r="L65" i="4"/>
  <c r="N64" i="4"/>
  <c r="L64" i="4"/>
  <c r="N63" i="4"/>
  <c r="M63" i="4"/>
  <c r="L63" i="4"/>
  <c r="N62" i="4"/>
  <c r="L62" i="4"/>
  <c r="N61" i="4"/>
  <c r="M61" i="4"/>
  <c r="L61" i="4"/>
  <c r="N60" i="4"/>
  <c r="M60" i="4"/>
  <c r="L60" i="4"/>
  <c r="N59" i="4"/>
  <c r="M59" i="4"/>
  <c r="L59" i="4"/>
  <c r="N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L53" i="4"/>
  <c r="N52" i="4"/>
  <c r="M52" i="4"/>
  <c r="L52" i="4"/>
  <c r="N51" i="4"/>
  <c r="M51" i="4"/>
  <c r="L51" i="4"/>
  <c r="N50" i="4"/>
  <c r="M50" i="4"/>
  <c r="L50" i="4"/>
  <c r="N49" i="4"/>
  <c r="L49" i="4"/>
  <c r="N47" i="4"/>
  <c r="M47" i="4"/>
  <c r="L47" i="4"/>
  <c r="N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L36" i="4"/>
  <c r="N35" i="4"/>
  <c r="M35" i="4"/>
  <c r="L35" i="4"/>
  <c r="N34" i="4"/>
  <c r="L34" i="4"/>
  <c r="N30" i="4"/>
  <c r="L30" i="4"/>
  <c r="N27" i="4"/>
  <c r="L27" i="4"/>
  <c r="N26" i="4"/>
  <c r="M26" i="4"/>
  <c r="L26" i="4"/>
  <c r="N25" i="4"/>
  <c r="M25" i="4"/>
  <c r="L25" i="4"/>
  <c r="N24" i="4"/>
  <c r="M24" i="4"/>
  <c r="L24" i="4"/>
  <c r="N23" i="4"/>
  <c r="L23" i="4"/>
  <c r="N22" i="4"/>
  <c r="M22" i="4"/>
  <c r="L22" i="4"/>
  <c r="N21" i="4"/>
  <c r="L21" i="4"/>
  <c r="N20" i="4"/>
  <c r="M20" i="4"/>
  <c r="L20" i="4"/>
  <c r="N19" i="4"/>
  <c r="L19" i="4"/>
  <c r="N18" i="4"/>
  <c r="M18" i="4"/>
  <c r="L18" i="4"/>
  <c r="N17" i="4"/>
  <c r="M17" i="4"/>
  <c r="L17" i="4"/>
  <c r="N16" i="4"/>
  <c r="M16" i="4"/>
  <c r="L16" i="4"/>
  <c r="N15" i="4"/>
  <c r="L15" i="4"/>
  <c r="N14" i="4"/>
  <c r="M14" i="4"/>
  <c r="L14" i="4"/>
  <c r="F95" i="4"/>
  <c r="F102" i="4" s="1"/>
  <c r="F66" i="4"/>
  <c r="F89" i="7" l="1"/>
  <c r="F5" i="7" s="1"/>
  <c r="F184" i="9" s="1"/>
  <c r="J89" i="7"/>
  <c r="J5" i="7" s="1"/>
  <c r="C28" i="16"/>
  <c r="C24" i="17"/>
  <c r="F176" i="17"/>
  <c r="F226" i="9"/>
  <c r="F47" i="15"/>
  <c r="J177" i="17"/>
  <c r="J59" i="15"/>
  <c r="J234" i="9"/>
  <c r="F177" i="17"/>
  <c r="F234" i="9"/>
  <c r="F59" i="15"/>
  <c r="J176" i="17"/>
  <c r="J47" i="15"/>
  <c r="J226" i="9"/>
  <c r="F159" i="17"/>
  <c r="N93" i="6"/>
  <c r="J159" i="17"/>
  <c r="F69" i="16"/>
  <c r="F162" i="17"/>
  <c r="N95" i="6"/>
  <c r="J69" i="16"/>
  <c r="J162" i="17"/>
  <c r="F135" i="17"/>
  <c r="F68" i="16"/>
  <c r="F102" i="5"/>
  <c r="F6" i="5" s="1"/>
  <c r="F139" i="17"/>
  <c r="F67" i="16"/>
  <c r="F108" i="17"/>
  <c r="F114" i="17" s="1"/>
  <c r="N32" i="6"/>
  <c r="J58" i="15"/>
  <c r="J233" i="9"/>
  <c r="F233" i="9"/>
  <c r="F58" i="15"/>
  <c r="F232" i="9"/>
  <c r="F57" i="15"/>
  <c r="J6" i="7"/>
  <c r="F6" i="7"/>
  <c r="J102" i="6"/>
  <c r="F102" i="6"/>
  <c r="F6" i="4"/>
  <c r="F32" i="4"/>
  <c r="N162" i="17" l="1"/>
  <c r="J168" i="17"/>
  <c r="N159" i="17"/>
  <c r="N177" i="17"/>
  <c r="F184" i="17"/>
  <c r="F197" i="17" s="1"/>
  <c r="N176" i="17"/>
  <c r="J184" i="17"/>
  <c r="J7" i="7"/>
  <c r="F168" i="17"/>
  <c r="F170" i="17" s="1"/>
  <c r="F141" i="17"/>
  <c r="F143" i="17" s="1"/>
  <c r="F18" i="11"/>
  <c r="F96" i="17"/>
  <c r="F103" i="17" s="1"/>
  <c r="F116" i="17" s="1"/>
  <c r="F89" i="4"/>
  <c r="F5" i="4" s="1"/>
  <c r="F181" i="9" s="1"/>
  <c r="N5" i="7"/>
  <c r="J184" i="9"/>
  <c r="F7" i="7"/>
  <c r="N6" i="7"/>
  <c r="F231" i="9"/>
  <c r="F56" i="15"/>
  <c r="N89" i="6"/>
  <c r="J5" i="6"/>
  <c r="F5" i="6"/>
  <c r="F183" i="9" s="1"/>
  <c r="F6" i="6"/>
  <c r="N102" i="6"/>
  <c r="J6" i="6"/>
  <c r="F5" i="5"/>
  <c r="V14" i="3"/>
  <c r="J170" i="17" l="1"/>
  <c r="N170" i="17" s="1"/>
  <c r="N168" i="17"/>
  <c r="N184" i="17"/>
  <c r="J197" i="17"/>
  <c r="N197" i="17" s="1"/>
  <c r="N5" i="6"/>
  <c r="J183" i="9"/>
  <c r="F7" i="6"/>
  <c r="F7" i="5"/>
  <c r="F182" i="9"/>
  <c r="F7" i="4"/>
  <c r="J7" i="6"/>
  <c r="N6" i="6"/>
  <c r="L13" i="3"/>
  <c r="N13" i="3"/>
  <c r="K13" i="3"/>
  <c r="O13" i="3"/>
  <c r="N95" i="3"/>
  <c r="M95" i="3"/>
  <c r="T82" i="3"/>
  <c r="T80" i="3"/>
  <c r="T79" i="3"/>
  <c r="T78" i="3"/>
  <c r="T77" i="3"/>
  <c r="T76" i="3"/>
  <c r="T75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9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T32" i="10"/>
  <c r="T34" i="10"/>
  <c r="T36" i="10"/>
  <c r="T37" i="10"/>
  <c r="T38" i="10"/>
  <c r="T95" i="10"/>
  <c r="T94" i="10"/>
  <c r="T93" i="10"/>
  <c r="T92" i="10"/>
  <c r="T91" i="10"/>
  <c r="T90" i="10"/>
  <c r="T89" i="10"/>
  <c r="T86" i="10"/>
  <c r="T85" i="10"/>
  <c r="T84" i="10"/>
  <c r="T83" i="10"/>
  <c r="T82" i="10"/>
  <c r="T81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33" i="10"/>
  <c r="T28" i="10"/>
  <c r="T20" i="10"/>
  <c r="T21" i="10"/>
  <c r="T22" i="10"/>
  <c r="T23" i="10"/>
  <c r="T24" i="10"/>
  <c r="T19" i="10"/>
  <c r="N87" i="10"/>
  <c r="N79" i="10"/>
  <c r="N75" i="10"/>
  <c r="N70" i="10"/>
  <c r="N69" i="10"/>
  <c r="N65" i="10"/>
  <c r="N62" i="10"/>
  <c r="N59" i="10"/>
  <c r="N53" i="10"/>
  <c r="N52" i="10"/>
  <c r="N48" i="10"/>
  <c r="N46" i="10"/>
  <c r="N45" i="10"/>
  <c r="N31" i="10"/>
  <c r="N29" i="10"/>
  <c r="N28" i="10"/>
  <c r="N27" i="10"/>
  <c r="N26" i="10"/>
  <c r="N19" i="10"/>
  <c r="N18" i="10"/>
  <c r="N17" i="10"/>
  <c r="N16" i="10"/>
  <c r="N15" i="10"/>
  <c r="L87" i="10"/>
  <c r="L79" i="10"/>
  <c r="L75" i="10"/>
  <c r="L70" i="10"/>
  <c r="L69" i="10"/>
  <c r="L62" i="10"/>
  <c r="L59" i="10"/>
  <c r="L53" i="10"/>
  <c r="L52" i="10"/>
  <c r="L46" i="10"/>
  <c r="L45" i="10"/>
  <c r="L31" i="10"/>
  <c r="L29" i="10"/>
  <c r="L28" i="10"/>
  <c r="L27" i="10"/>
  <c r="L26" i="10"/>
  <c r="L19" i="10"/>
  <c r="L18" i="10"/>
  <c r="L17" i="10"/>
  <c r="L16" i="10"/>
  <c r="L15" i="10"/>
  <c r="J80" i="10"/>
  <c r="J76" i="10"/>
  <c r="J72" i="10"/>
  <c r="J67" i="10"/>
  <c r="J50" i="10"/>
  <c r="J47" i="10"/>
  <c r="J42" i="10"/>
  <c r="J30" i="10"/>
  <c r="F43" i="10"/>
  <c r="F42" i="10" s="1"/>
  <c r="F80" i="10"/>
  <c r="F76" i="10"/>
  <c r="F72" i="10"/>
  <c r="F67" i="10"/>
  <c r="F50" i="10"/>
  <c r="F30" i="10"/>
  <c r="F88" i="16" l="1"/>
  <c r="F96" i="16" s="1"/>
  <c r="F18" i="16" s="1"/>
  <c r="F15" i="11" s="1"/>
  <c r="F29" i="17"/>
  <c r="J88" i="16"/>
  <c r="J96" i="16" s="1"/>
  <c r="J18" i="16" s="1"/>
  <c r="J29" i="17"/>
  <c r="N29" i="17" s="1"/>
  <c r="J28" i="17"/>
  <c r="J76" i="16"/>
  <c r="J84" i="16" s="1"/>
  <c r="J17" i="16" s="1"/>
  <c r="F25" i="17"/>
  <c r="F40" i="16"/>
  <c r="F48" i="16" s="1"/>
  <c r="F14" i="16" s="1"/>
  <c r="F11" i="11" s="1"/>
  <c r="F100" i="16"/>
  <c r="F108" i="16" s="1"/>
  <c r="F19" i="16" s="1"/>
  <c r="F16" i="11" s="1"/>
  <c r="F30" i="17"/>
  <c r="F120" i="16"/>
  <c r="F20" i="16" s="1"/>
  <c r="F17" i="11" s="1"/>
  <c r="F31" i="17"/>
  <c r="J30" i="17"/>
  <c r="J100" i="16"/>
  <c r="J108" i="16" s="1"/>
  <c r="J19" i="16" s="1"/>
  <c r="J25" i="17"/>
  <c r="N25" i="17" s="1"/>
  <c r="J40" i="16"/>
  <c r="J48" i="16" s="1"/>
  <c r="J14" i="16" s="1"/>
  <c r="F76" i="16"/>
  <c r="F84" i="16" s="1"/>
  <c r="F17" i="16" s="1"/>
  <c r="F14" i="11" s="1"/>
  <c r="F28" i="17"/>
  <c r="J64" i="16"/>
  <c r="J27" i="17"/>
  <c r="J31" i="17"/>
  <c r="F27" i="17"/>
  <c r="F64" i="16"/>
  <c r="L95" i="3"/>
  <c r="J13" i="10"/>
  <c r="J39" i="10"/>
  <c r="F13" i="10"/>
  <c r="F39" i="10"/>
  <c r="T98" i="2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0" i="2"/>
  <c r="T25" i="2"/>
  <c r="T26" i="2"/>
  <c r="T27" i="2"/>
  <c r="T166" i="9"/>
  <c r="T165" i="9"/>
  <c r="T164" i="9"/>
  <c r="T163" i="9"/>
  <c r="T162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3" i="9"/>
  <c r="T142" i="9"/>
  <c r="T141" i="9"/>
  <c r="T140" i="9"/>
  <c r="T139" i="9"/>
  <c r="T138" i="9"/>
  <c r="T137" i="9"/>
  <c r="T136" i="9"/>
  <c r="T135" i="9"/>
  <c r="T133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5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20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7" i="2"/>
  <c r="L18" i="2"/>
  <c r="L19" i="2"/>
  <c r="L15" i="2"/>
  <c r="F95" i="2"/>
  <c r="F102" i="2" s="1"/>
  <c r="R135" i="9"/>
  <c r="Q135" i="9"/>
  <c r="P135" i="9"/>
  <c r="R82" i="9"/>
  <c r="Q82" i="9"/>
  <c r="N107" i="9"/>
  <c r="N108" i="9"/>
  <c r="N109" i="9"/>
  <c r="N110" i="9"/>
  <c r="N111" i="9"/>
  <c r="N166" i="9"/>
  <c r="N165" i="9"/>
  <c r="N164" i="9"/>
  <c r="N163" i="9"/>
  <c r="N162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3" i="9"/>
  <c r="N142" i="9"/>
  <c r="N141" i="9"/>
  <c r="N140" i="9"/>
  <c r="N139" i="9"/>
  <c r="N138" i="9"/>
  <c r="N137" i="9"/>
  <c r="N136" i="9"/>
  <c r="N135" i="9"/>
  <c r="N133" i="9"/>
  <c r="N132" i="9"/>
  <c r="N131" i="9"/>
  <c r="N130" i="9"/>
  <c r="N127" i="9"/>
  <c r="N126" i="9"/>
  <c r="N125" i="9"/>
  <c r="N124" i="9"/>
  <c r="N123" i="9"/>
  <c r="N122" i="9"/>
  <c r="N121" i="9"/>
  <c r="N118" i="9"/>
  <c r="N116" i="9"/>
  <c r="N115" i="9"/>
  <c r="N114" i="9"/>
  <c r="N112" i="9"/>
  <c r="N88" i="9"/>
  <c r="N82" i="9"/>
  <c r="N78" i="9"/>
  <c r="N72" i="9"/>
  <c r="N67" i="9"/>
  <c r="N64" i="9"/>
  <c r="N62" i="9"/>
  <c r="N60" i="9"/>
  <c r="N58" i="9"/>
  <c r="N56" i="9"/>
  <c r="N51" i="9"/>
  <c r="N40" i="9"/>
  <c r="N36" i="9"/>
  <c r="N34" i="9"/>
  <c r="N19" i="9"/>
  <c r="J145" i="9"/>
  <c r="J129" i="9"/>
  <c r="J120" i="9"/>
  <c r="J106" i="9"/>
  <c r="J81" i="9"/>
  <c r="J32" i="9"/>
  <c r="J29" i="9"/>
  <c r="F145" i="9"/>
  <c r="F129" i="9"/>
  <c r="F120" i="9"/>
  <c r="F106" i="9"/>
  <c r="F81" i="9"/>
  <c r="F32" i="9"/>
  <c r="F29" i="9"/>
  <c r="N30" i="17" l="1"/>
  <c r="J11" i="11"/>
  <c r="N14" i="16"/>
  <c r="J15" i="11"/>
  <c r="N18" i="16"/>
  <c r="F28" i="16"/>
  <c r="F36" i="16" s="1"/>
  <c r="F13" i="16" s="1"/>
  <c r="F10" i="11" s="1"/>
  <c r="F24" i="17"/>
  <c r="J26" i="17"/>
  <c r="J52" i="16"/>
  <c r="J60" i="16" s="1"/>
  <c r="J15" i="16" s="1"/>
  <c r="J12" i="11" s="1"/>
  <c r="N31" i="17"/>
  <c r="J16" i="11"/>
  <c r="N16" i="11" s="1"/>
  <c r="N19" i="16"/>
  <c r="J14" i="11"/>
  <c r="N14" i="11" s="1"/>
  <c r="N17" i="16"/>
  <c r="J24" i="17"/>
  <c r="J28" i="16"/>
  <c r="J36" i="16" s="1"/>
  <c r="J13" i="16" s="1"/>
  <c r="N28" i="17"/>
  <c r="F52" i="16"/>
  <c r="F60" i="16" s="1"/>
  <c r="F15" i="16" s="1"/>
  <c r="F26" i="17"/>
  <c r="N27" i="17"/>
  <c r="F54" i="17"/>
  <c r="F60" i="17" s="1"/>
  <c r="F65" i="16"/>
  <c r="F72" i="16" s="1"/>
  <c r="F16" i="16" s="1"/>
  <c r="R29" i="9"/>
  <c r="F14" i="17"/>
  <c r="F41" i="15"/>
  <c r="R32" i="9"/>
  <c r="F15" i="17"/>
  <c r="F53" i="15"/>
  <c r="R13" i="9"/>
  <c r="F13" i="17"/>
  <c r="F29" i="15"/>
  <c r="F37" i="15" s="1"/>
  <c r="F13" i="15" s="1"/>
  <c r="F27" i="11" s="1"/>
  <c r="R106" i="9"/>
  <c r="F17" i="17"/>
  <c r="F77" i="15"/>
  <c r="J13" i="17"/>
  <c r="J29" i="15"/>
  <c r="J37" i="15" s="1"/>
  <c r="J13" i="15" s="1"/>
  <c r="J17" i="17"/>
  <c r="J77" i="15"/>
  <c r="Q20" i="17"/>
  <c r="Q113" i="15"/>
  <c r="Q121" i="15" s="1"/>
  <c r="F18" i="17"/>
  <c r="F89" i="15"/>
  <c r="F97" i="15" s="1"/>
  <c r="F18" i="15" s="1"/>
  <c r="F32" i="11" s="1"/>
  <c r="R20" i="17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N14" i="17" s="1"/>
  <c r="J41" i="15"/>
  <c r="F19" i="17"/>
  <c r="N19" i="17" s="1"/>
  <c r="F101" i="15"/>
  <c r="R81" i="9"/>
  <c r="F16" i="17"/>
  <c r="F65" i="15"/>
  <c r="F21" i="17"/>
  <c r="F125" i="15"/>
  <c r="J16" i="17"/>
  <c r="J65" i="15"/>
  <c r="J21" i="17"/>
  <c r="N21" i="17" s="1"/>
  <c r="J125" i="15"/>
  <c r="P20" i="17"/>
  <c r="P113" i="15"/>
  <c r="P121" i="15" s="1"/>
  <c r="J195" i="9"/>
  <c r="J197" i="9"/>
  <c r="R145" i="9"/>
  <c r="R21" i="17" s="1"/>
  <c r="F197" i="9"/>
  <c r="R120" i="9"/>
  <c r="F194" i="9"/>
  <c r="R129" i="9"/>
  <c r="F195" i="9"/>
  <c r="S135" i="9"/>
  <c r="J96" i="10"/>
  <c r="J9" i="10" s="1"/>
  <c r="F96" i="10"/>
  <c r="F9" i="10" s="1"/>
  <c r="F32" i="2"/>
  <c r="J168" i="9"/>
  <c r="F168" i="9"/>
  <c r="R168" i="9" s="1"/>
  <c r="N15" i="11" l="1"/>
  <c r="N11" i="11"/>
  <c r="N18" i="17"/>
  <c r="N17" i="17"/>
  <c r="N16" i="17"/>
  <c r="N15" i="17"/>
  <c r="N13" i="17"/>
  <c r="N13" i="16"/>
  <c r="J10" i="11"/>
  <c r="N26" i="17"/>
  <c r="N24" i="17"/>
  <c r="J33" i="17"/>
  <c r="F33" i="17"/>
  <c r="F12" i="11"/>
  <c r="N12" i="11" s="1"/>
  <c r="N15" i="16"/>
  <c r="F42" i="17"/>
  <c r="F49" i="17" s="1"/>
  <c r="F62" i="17" s="1"/>
  <c r="F89" i="2"/>
  <c r="F5" i="2" s="1"/>
  <c r="F179" i="9" s="1"/>
  <c r="F13" i="11"/>
  <c r="F19" i="11" s="1"/>
  <c r="F22" i="16"/>
  <c r="R16" i="17"/>
  <c r="R65" i="15"/>
  <c r="R73" i="15" s="1"/>
  <c r="R195" i="9"/>
  <c r="R19" i="17"/>
  <c r="R101" i="15"/>
  <c r="V135" i="9"/>
  <c r="S20" i="17"/>
  <c r="T20" i="17" s="1"/>
  <c r="S113" i="15"/>
  <c r="S121" i="15" s="1"/>
  <c r="J133" i="15"/>
  <c r="J21" i="15" s="1"/>
  <c r="F85" i="15"/>
  <c r="F17" i="15" s="1"/>
  <c r="F31" i="11" s="1"/>
  <c r="F22" i="17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13" i="17"/>
  <c r="R29" i="15"/>
  <c r="F73" i="15"/>
  <c r="F16" i="15" s="1"/>
  <c r="F30" i="11" s="1"/>
  <c r="J85" i="15"/>
  <c r="J17" i="15" s="1"/>
  <c r="J22" i="17"/>
  <c r="R14" i="17"/>
  <c r="R41" i="15"/>
  <c r="R197" i="9"/>
  <c r="R125" i="15"/>
  <c r="R133" i="15" s="1"/>
  <c r="F54" i="15"/>
  <c r="F229" i="9"/>
  <c r="J32" i="2"/>
  <c r="N13" i="2"/>
  <c r="F6" i="2"/>
  <c r="J9" i="9"/>
  <c r="F9" i="9"/>
  <c r="R9" i="9" s="1"/>
  <c r="M79" i="10"/>
  <c r="M70" i="10"/>
  <c r="M69" i="10"/>
  <c r="M65" i="10"/>
  <c r="M62" i="10"/>
  <c r="M21" i="9"/>
  <c r="M34" i="9"/>
  <c r="M36" i="9"/>
  <c r="M40" i="9"/>
  <c r="M44" i="9"/>
  <c r="M47" i="9"/>
  <c r="M51" i="9"/>
  <c r="M54" i="9"/>
  <c r="M56" i="9"/>
  <c r="M60" i="9"/>
  <c r="M62" i="9"/>
  <c r="M67" i="9"/>
  <c r="M72" i="9"/>
  <c r="M78" i="9"/>
  <c r="M83" i="9"/>
  <c r="M87" i="9"/>
  <c r="M88" i="9"/>
  <c r="M91" i="9"/>
  <c r="M92" i="9"/>
  <c r="M112" i="9"/>
  <c r="M118" i="9"/>
  <c r="M122" i="9"/>
  <c r="M124" i="9"/>
  <c r="M125" i="9"/>
  <c r="M126" i="9"/>
  <c r="M132" i="9"/>
  <c r="L30" i="9"/>
  <c r="L34" i="9"/>
  <c r="L36" i="9"/>
  <c r="L40" i="9"/>
  <c r="L44" i="9"/>
  <c r="L47" i="9"/>
  <c r="L51" i="9"/>
  <c r="L56" i="9"/>
  <c r="L58" i="9"/>
  <c r="L60" i="9"/>
  <c r="L62" i="9"/>
  <c r="L67" i="9"/>
  <c r="L70" i="9"/>
  <c r="L78" i="9"/>
  <c r="L82" i="9"/>
  <c r="L112" i="9"/>
  <c r="L114" i="9"/>
  <c r="L116" i="9"/>
  <c r="L122" i="9"/>
  <c r="L124" i="9"/>
  <c r="L125" i="9"/>
  <c r="L126" i="9"/>
  <c r="L130" i="9"/>
  <c r="L132" i="9"/>
  <c r="L15" i="9"/>
  <c r="L16" i="9"/>
  <c r="L19" i="9"/>
  <c r="L21" i="9"/>
  <c r="L27" i="9"/>
  <c r="I32" i="9"/>
  <c r="H129" i="9"/>
  <c r="H120" i="9"/>
  <c r="H106" i="9"/>
  <c r="H81" i="9"/>
  <c r="H32" i="9"/>
  <c r="H29" i="9"/>
  <c r="E84" i="9"/>
  <c r="E85" i="9"/>
  <c r="E86" i="9"/>
  <c r="N10" i="11" l="1"/>
  <c r="F9" i="16"/>
  <c r="F25" i="16"/>
  <c r="N33" i="17"/>
  <c r="F35" i="17"/>
  <c r="J35" i="17"/>
  <c r="N22" i="17"/>
  <c r="J42" i="17"/>
  <c r="J89" i="2"/>
  <c r="R22" i="17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N21" i="9"/>
  <c r="N47" i="9"/>
  <c r="N91" i="9"/>
  <c r="N54" i="9"/>
  <c r="N90" i="9"/>
  <c r="N70" i="9"/>
  <c r="N87" i="9"/>
  <c r="N83" i="9"/>
  <c r="N44" i="9"/>
  <c r="N92" i="9"/>
  <c r="F7" i="2"/>
  <c r="E81" i="9"/>
  <c r="N35" i="17" l="1"/>
  <c r="J49" i="17"/>
  <c r="N49" i="17" s="1"/>
  <c r="N42" i="17"/>
  <c r="H27" i="11"/>
  <c r="H73" i="15"/>
  <c r="H16" i="15" s="1"/>
  <c r="H109" i="15"/>
  <c r="H19" i="15" s="1"/>
  <c r="E16" i="17"/>
  <c r="E65" i="15"/>
  <c r="H85" i="15"/>
  <c r="H17" i="15" s="1"/>
  <c r="H32" i="11"/>
  <c r="E42" i="10"/>
  <c r="N42" i="10" s="1"/>
  <c r="E30" i="10"/>
  <c r="N35" i="10"/>
  <c r="N81" i="9"/>
  <c r="I30" i="10"/>
  <c r="N47" i="10"/>
  <c r="E50" i="10"/>
  <c r="E67" i="10"/>
  <c r="E72" i="10"/>
  <c r="E76" i="10"/>
  <c r="E80" i="10"/>
  <c r="I80" i="10"/>
  <c r="I76" i="10"/>
  <c r="C72" i="10"/>
  <c r="H72" i="10"/>
  <c r="I72" i="10"/>
  <c r="H67" i="10"/>
  <c r="D67" i="10"/>
  <c r="I67" i="10"/>
  <c r="I50" i="10"/>
  <c r="C47" i="10"/>
  <c r="I47" i="10"/>
  <c r="H43" i="10"/>
  <c r="H42" i="10" s="1"/>
  <c r="I42" i="10"/>
  <c r="L40" i="10"/>
  <c r="H80" i="10"/>
  <c r="H76" i="10"/>
  <c r="L25" i="10"/>
  <c r="I31" i="17" l="1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E31" i="17"/>
  <c r="M31" i="17" s="1"/>
  <c r="E30" i="17"/>
  <c r="M30" i="17" s="1"/>
  <c r="E100" i="16"/>
  <c r="E108" i="16" s="1"/>
  <c r="E19" i="16" s="1"/>
  <c r="E29" i="17"/>
  <c r="E88" i="16"/>
  <c r="E96" i="16" s="1"/>
  <c r="E18" i="16" s="1"/>
  <c r="E76" i="16"/>
  <c r="E84" i="16" s="1"/>
  <c r="E17" i="16" s="1"/>
  <c r="E28" i="17"/>
  <c r="N50" i="10"/>
  <c r="E27" i="17"/>
  <c r="E64" i="16"/>
  <c r="E40" i="16"/>
  <c r="E48" i="16" s="1"/>
  <c r="E14" i="16" s="1"/>
  <c r="E25" i="17"/>
  <c r="D76" i="16"/>
  <c r="D84" i="16" s="1"/>
  <c r="D17" i="16" s="1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N80" i="10"/>
  <c r="N25" i="10"/>
  <c r="N14" i="10"/>
  <c r="N40" i="10"/>
  <c r="L72" i="10"/>
  <c r="H13" i="10"/>
  <c r="H50" i="10"/>
  <c r="L65" i="10"/>
  <c r="N67" i="10"/>
  <c r="H30" i="10"/>
  <c r="L35" i="10"/>
  <c r="N76" i="10"/>
  <c r="N30" i="10"/>
  <c r="L47" i="10"/>
  <c r="L48" i="10"/>
  <c r="N72" i="10"/>
  <c r="E39" i="10"/>
  <c r="M67" i="10"/>
  <c r="E13" i="10"/>
  <c r="M25" i="17" l="1"/>
  <c r="M29" i="17"/>
  <c r="M28" i="17"/>
  <c r="M27" i="17"/>
  <c r="L28" i="17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E16" i="11"/>
  <c r="R19" i="16"/>
  <c r="R16" i="11" s="1"/>
  <c r="M19" i="16"/>
  <c r="E15" i="11"/>
  <c r="M18" i="16"/>
  <c r="R18" i="16"/>
  <c r="R15" i="11" s="1"/>
  <c r="E14" i="11"/>
  <c r="R17" i="16"/>
  <c r="R14" i="11" s="1"/>
  <c r="M17" i="16"/>
  <c r="E11" i="11"/>
  <c r="R14" i="16"/>
  <c r="R11" i="11" s="1"/>
  <c r="M14" i="16"/>
  <c r="D14" i="11"/>
  <c r="L14" i="11" s="1"/>
  <c r="L17" i="16"/>
  <c r="H24" i="17"/>
  <c r="H28" i="16"/>
  <c r="I28" i="16"/>
  <c r="I24" i="17"/>
  <c r="E24" i="17"/>
  <c r="E28" i="16"/>
  <c r="E26" i="17"/>
  <c r="E52" i="16"/>
  <c r="E60" i="16" s="1"/>
  <c r="E15" i="16" s="1"/>
  <c r="N13" i="10"/>
  <c r="N39" i="10"/>
  <c r="E96" i="10"/>
  <c r="N99" i="7"/>
  <c r="N95" i="7"/>
  <c r="N72" i="7"/>
  <c r="N36" i="7"/>
  <c r="E29" i="7"/>
  <c r="E13" i="7"/>
  <c r="M101" i="6"/>
  <c r="M80" i="6"/>
  <c r="M74" i="6"/>
  <c r="M67" i="6"/>
  <c r="M62" i="6"/>
  <c r="M58" i="6"/>
  <c r="M56" i="6"/>
  <c r="M34" i="6"/>
  <c r="E95" i="6"/>
  <c r="E93" i="6"/>
  <c r="E95" i="5"/>
  <c r="E71" i="4"/>
  <c r="E66" i="4"/>
  <c r="E48" i="4"/>
  <c r="E72" i="3"/>
  <c r="E49" i="3"/>
  <c r="D48" i="2"/>
  <c r="H96" i="10" l="1"/>
  <c r="H26" i="17"/>
  <c r="H33" i="17" s="1"/>
  <c r="M24" i="17"/>
  <c r="E12" i="11"/>
  <c r="R15" i="16"/>
  <c r="R12" i="11" s="1"/>
  <c r="E33" i="17"/>
  <c r="E175" i="17"/>
  <c r="E35" i="15"/>
  <c r="E218" i="9"/>
  <c r="N29" i="7"/>
  <c r="E176" i="17"/>
  <c r="E47" i="15"/>
  <c r="E226" i="9"/>
  <c r="E69" i="16"/>
  <c r="E162" i="17"/>
  <c r="E159" i="17"/>
  <c r="E33" i="16"/>
  <c r="E36" i="16" s="1"/>
  <c r="E13" i="16" s="1"/>
  <c r="E135" i="17"/>
  <c r="E68" i="16"/>
  <c r="E213" i="9"/>
  <c r="E30" i="15"/>
  <c r="E233" i="9"/>
  <c r="E58" i="15"/>
  <c r="E232" i="9"/>
  <c r="E57" i="15"/>
  <c r="N13" i="7"/>
  <c r="N15" i="7"/>
  <c r="N94" i="5"/>
  <c r="E32" i="4"/>
  <c r="E96" i="17" s="1"/>
  <c r="N41" i="2"/>
  <c r="N66" i="2"/>
  <c r="N71" i="2"/>
  <c r="N33" i="2"/>
  <c r="N96" i="10"/>
  <c r="E9" i="10"/>
  <c r="N9" i="10" s="1"/>
  <c r="E102" i="6"/>
  <c r="E89" i="7"/>
  <c r="H9" i="10" l="1"/>
  <c r="E168" i="17"/>
  <c r="E170" i="17" s="1"/>
  <c r="E177" i="17"/>
  <c r="E59" i="15"/>
  <c r="E234" i="9"/>
  <c r="E219" i="9"/>
  <c r="E10" i="11"/>
  <c r="R13" i="16"/>
  <c r="R10" i="11" s="1"/>
  <c r="E140" i="16"/>
  <c r="E141" i="15"/>
  <c r="N102" i="7"/>
  <c r="E6" i="7"/>
  <c r="E56" i="15"/>
  <c r="E231" i="9"/>
  <c r="N32" i="7"/>
  <c r="E6" i="6"/>
  <c r="E5" i="6"/>
  <c r="E183" i="9" s="1"/>
  <c r="E116" i="16"/>
  <c r="E5" i="5"/>
  <c r="E95" i="4"/>
  <c r="N48" i="2"/>
  <c r="E95" i="2"/>
  <c r="E32" i="2"/>
  <c r="E184" i="17" l="1"/>
  <c r="E42" i="17"/>
  <c r="E89" i="2"/>
  <c r="E139" i="17"/>
  <c r="E141" i="17" s="1"/>
  <c r="E143" i="17" s="1"/>
  <c r="E67" i="16"/>
  <c r="E108" i="17"/>
  <c r="E54" i="17"/>
  <c r="E65" i="16"/>
  <c r="N89" i="7"/>
  <c r="E5" i="7"/>
  <c r="E184" i="9" s="1"/>
  <c r="E182" i="9"/>
  <c r="E54" i="15"/>
  <c r="E229" i="9"/>
  <c r="E7" i="6"/>
  <c r="E102" i="5"/>
  <c r="E6" i="5" s="1"/>
  <c r="E7" i="5" s="1"/>
  <c r="N32" i="2"/>
  <c r="I66" i="6"/>
  <c r="I71" i="6"/>
  <c r="M64" i="6"/>
  <c r="M64" i="4"/>
  <c r="I41" i="4"/>
  <c r="M65" i="3"/>
  <c r="M63" i="3"/>
  <c r="M50" i="3"/>
  <c r="M73" i="3"/>
  <c r="M97" i="4"/>
  <c r="M74" i="4"/>
  <c r="I67" i="4"/>
  <c r="M58" i="4"/>
  <c r="M62" i="4"/>
  <c r="I53" i="4"/>
  <c r="M53" i="4" s="1"/>
  <c r="I71" i="2"/>
  <c r="M64" i="2"/>
  <c r="M53" i="2"/>
  <c r="M46" i="2"/>
  <c r="M80" i="5"/>
  <c r="M69" i="5"/>
  <c r="M64" i="5"/>
  <c r="M36" i="5"/>
  <c r="I66" i="5"/>
  <c r="M62" i="5"/>
  <c r="M58" i="5"/>
  <c r="I53" i="5"/>
  <c r="M53" i="5" s="1"/>
  <c r="E197" i="17" l="1"/>
  <c r="I71" i="5"/>
  <c r="I71" i="4"/>
  <c r="E49" i="17"/>
  <c r="L69" i="6"/>
  <c r="H66" i="6"/>
  <c r="H32" i="6" s="1"/>
  <c r="M36" i="6"/>
  <c r="I33" i="6"/>
  <c r="M49" i="6"/>
  <c r="I48" i="6"/>
  <c r="I41" i="5"/>
  <c r="I33" i="5"/>
  <c r="M49" i="5"/>
  <c r="I48" i="5"/>
  <c r="I189" i="9"/>
  <c r="E72" i="16"/>
  <c r="E16" i="16" s="1"/>
  <c r="E13" i="11" s="1"/>
  <c r="I48" i="4"/>
  <c r="M34" i="4"/>
  <c r="I33" i="4"/>
  <c r="M35" i="3"/>
  <c r="I34" i="3"/>
  <c r="I72" i="17"/>
  <c r="M72" i="17" s="1"/>
  <c r="I91" i="15"/>
  <c r="I187" i="9"/>
  <c r="M49" i="2"/>
  <c r="I48" i="2"/>
  <c r="M42" i="2"/>
  <c r="I41" i="2"/>
  <c r="M36" i="2"/>
  <c r="I33" i="2"/>
  <c r="E7" i="7"/>
  <c r="M49" i="4"/>
  <c r="M96" i="7"/>
  <c r="M64" i="7"/>
  <c r="M97" i="7"/>
  <c r="L49" i="7"/>
  <c r="M46" i="7"/>
  <c r="M49" i="7"/>
  <c r="L46" i="7"/>
  <c r="M42" i="5"/>
  <c r="M67" i="5"/>
  <c r="M34" i="5"/>
  <c r="M46" i="5"/>
  <c r="M46" i="4"/>
  <c r="I66" i="4"/>
  <c r="M67" i="4"/>
  <c r="N33" i="4"/>
  <c r="N71" i="4"/>
  <c r="N84" i="3"/>
  <c r="M84" i="3"/>
  <c r="N37" i="3"/>
  <c r="M37" i="3"/>
  <c r="N59" i="3"/>
  <c r="M59" i="3"/>
  <c r="N81" i="3"/>
  <c r="N35" i="3"/>
  <c r="N63" i="3"/>
  <c r="N65" i="3"/>
  <c r="E5" i="2"/>
  <c r="E179" i="9" s="1"/>
  <c r="M72" i="6"/>
  <c r="M69" i="6"/>
  <c r="I42" i="3"/>
  <c r="I72" i="3"/>
  <c r="I49" i="3"/>
  <c r="M53" i="10"/>
  <c r="M31" i="10"/>
  <c r="M28" i="10"/>
  <c r="M26" i="10"/>
  <c r="M17" i="10"/>
  <c r="M16" i="10"/>
  <c r="I81" i="9"/>
  <c r="H48" i="2"/>
  <c r="I32" i="6" l="1"/>
  <c r="I150" i="17" s="1"/>
  <c r="M150" i="17" s="1"/>
  <c r="H150" i="17"/>
  <c r="H157" i="17" s="1"/>
  <c r="H89" i="6"/>
  <c r="I177" i="17"/>
  <c r="M177" i="17" s="1"/>
  <c r="I234" i="9"/>
  <c r="I59" i="15"/>
  <c r="I32" i="5"/>
  <c r="I123" i="17" s="1"/>
  <c r="M123" i="17" s="1"/>
  <c r="R16" i="16"/>
  <c r="R13" i="11" s="1"/>
  <c r="I32" i="4"/>
  <c r="I96" i="17" s="1"/>
  <c r="M96" i="17" s="1"/>
  <c r="I16" i="17"/>
  <c r="M16" i="17" s="1"/>
  <c r="I65" i="15"/>
  <c r="N48" i="4"/>
  <c r="J72" i="3"/>
  <c r="N72" i="3" s="1"/>
  <c r="N73" i="3"/>
  <c r="J49" i="3"/>
  <c r="N49" i="3" s="1"/>
  <c r="N50" i="3"/>
  <c r="N34" i="3"/>
  <c r="J42" i="3"/>
  <c r="L64" i="2"/>
  <c r="M19" i="10"/>
  <c r="M27" i="10"/>
  <c r="I33" i="3"/>
  <c r="I69" i="17" s="1"/>
  <c r="I129" i="9"/>
  <c r="M29" i="10"/>
  <c r="I106" i="9"/>
  <c r="I120" i="9"/>
  <c r="I32" i="2"/>
  <c r="I42" i="17" s="1"/>
  <c r="M42" i="17" s="1"/>
  <c r="M98" i="5"/>
  <c r="I96" i="5"/>
  <c r="M96" i="5" s="1"/>
  <c r="M96" i="6"/>
  <c r="M98" i="6"/>
  <c r="I18" i="7"/>
  <c r="I29" i="4"/>
  <c r="M23" i="4"/>
  <c r="M27" i="4"/>
  <c r="M21" i="4"/>
  <c r="M19" i="4"/>
  <c r="M22" i="3"/>
  <c r="M20" i="3"/>
  <c r="M17" i="3"/>
  <c r="M27" i="5"/>
  <c r="M25" i="5"/>
  <c r="M23" i="5"/>
  <c r="M21" i="5"/>
  <c r="M19" i="5"/>
  <c r="M21" i="2"/>
  <c r="I29" i="2"/>
  <c r="M23" i="2"/>
  <c r="M19" i="2"/>
  <c r="I57" i="15" l="1"/>
  <c r="I58" i="15"/>
  <c r="I233" i="9"/>
  <c r="M32" i="6"/>
  <c r="I13" i="6"/>
  <c r="I34" i="15" s="1"/>
  <c r="I232" i="9"/>
  <c r="I13" i="7"/>
  <c r="M101" i="7"/>
  <c r="I194" i="17"/>
  <c r="I130" i="16"/>
  <c r="I99" i="7"/>
  <c r="M30" i="6"/>
  <c r="I29" i="6"/>
  <c r="M29" i="6" s="1"/>
  <c r="M15" i="5"/>
  <c r="M30" i="5"/>
  <c r="I29" i="5"/>
  <c r="I95" i="17"/>
  <c r="I44" i="15"/>
  <c r="I223" i="9"/>
  <c r="M15" i="4"/>
  <c r="I13" i="4"/>
  <c r="I89" i="4" s="1"/>
  <c r="I13" i="3"/>
  <c r="I41" i="17"/>
  <c r="M41" i="17" s="1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M18" i="7"/>
  <c r="M19" i="7"/>
  <c r="M21" i="7"/>
  <c r="M23" i="7"/>
  <c r="M30" i="7"/>
  <c r="N32" i="5"/>
  <c r="N29" i="4"/>
  <c r="J95" i="4"/>
  <c r="J102" i="4" s="1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M21" i="6"/>
  <c r="M23" i="6"/>
  <c r="M19" i="6"/>
  <c r="M15" i="6"/>
  <c r="M97" i="6"/>
  <c r="I93" i="6"/>
  <c r="M94" i="6"/>
  <c r="I29" i="7"/>
  <c r="I95" i="6"/>
  <c r="I95" i="4"/>
  <c r="I102" i="4" s="1"/>
  <c r="I95" i="2"/>
  <c r="I102" i="2" s="1"/>
  <c r="I193" i="17" l="1"/>
  <c r="M193" i="17" s="1"/>
  <c r="M194" i="17"/>
  <c r="I89" i="7"/>
  <c r="I5" i="7" s="1"/>
  <c r="I89" i="6"/>
  <c r="I217" i="9"/>
  <c r="I148" i="17"/>
  <c r="M148" i="17" s="1"/>
  <c r="I90" i="3"/>
  <c r="I5" i="3" s="1"/>
  <c r="I180" i="9" s="1"/>
  <c r="I118" i="16"/>
  <c r="I132" i="16"/>
  <c r="I176" i="17"/>
  <c r="M176" i="17" s="1"/>
  <c r="I47" i="15"/>
  <c r="I226" i="9"/>
  <c r="I175" i="17"/>
  <c r="I35" i="15"/>
  <c r="I218" i="9"/>
  <c r="I159" i="17"/>
  <c r="M159" i="17" s="1"/>
  <c r="I33" i="16"/>
  <c r="I149" i="17"/>
  <c r="I225" i="9"/>
  <c r="I46" i="15"/>
  <c r="M95" i="6"/>
  <c r="I162" i="17"/>
  <c r="M162" i="17" s="1"/>
  <c r="I69" i="16"/>
  <c r="I135" i="17"/>
  <c r="M135" i="17" s="1"/>
  <c r="I68" i="16"/>
  <c r="I122" i="17"/>
  <c r="M122" i="17" s="1"/>
  <c r="I45" i="15"/>
  <c r="I224" i="9"/>
  <c r="I89" i="5"/>
  <c r="I121" i="17"/>
  <c r="I216" i="9"/>
  <c r="I33" i="15"/>
  <c r="I108" i="17"/>
  <c r="I67" i="16"/>
  <c r="N95" i="4"/>
  <c r="J67" i="16"/>
  <c r="J108" i="17"/>
  <c r="I94" i="17"/>
  <c r="I32" i="15"/>
  <c r="I215" i="9"/>
  <c r="I68" i="17"/>
  <c r="I43" i="15"/>
  <c r="I222" i="9"/>
  <c r="I67" i="17"/>
  <c r="M67" i="17" s="1"/>
  <c r="I31" i="15"/>
  <c r="I214" i="9"/>
  <c r="I40" i="17"/>
  <c r="I30" i="15"/>
  <c r="I213" i="9"/>
  <c r="I54" i="17"/>
  <c r="I65" i="16"/>
  <c r="I30" i="11"/>
  <c r="M16" i="15"/>
  <c r="I32" i="11"/>
  <c r="I109" i="15"/>
  <c r="I19" i="15" s="1"/>
  <c r="I85" i="15"/>
  <c r="I17" i="15" s="1"/>
  <c r="J55" i="15"/>
  <c r="J230" i="9"/>
  <c r="N29" i="5"/>
  <c r="N13" i="5"/>
  <c r="J30" i="3"/>
  <c r="J90" i="3" s="1"/>
  <c r="N96" i="2"/>
  <c r="J95" i="2"/>
  <c r="J102" i="2" s="1"/>
  <c r="N30" i="2"/>
  <c r="M19" i="9"/>
  <c r="M23" i="9"/>
  <c r="M30" i="9"/>
  <c r="M27" i="9"/>
  <c r="M16" i="9"/>
  <c r="M13" i="6"/>
  <c r="M93" i="6"/>
  <c r="E120" i="9"/>
  <c r="I29" i="9"/>
  <c r="J114" i="17" l="1"/>
  <c r="N114" i="17" s="1"/>
  <c r="N108" i="17"/>
  <c r="I227" i="9"/>
  <c r="I184" i="17"/>
  <c r="M184" i="17" s="1"/>
  <c r="M175" i="17"/>
  <c r="I157" i="17"/>
  <c r="M157" i="17" s="1"/>
  <c r="M149" i="17"/>
  <c r="I130" i="17"/>
  <c r="M130" i="17" s="1"/>
  <c r="M121" i="17"/>
  <c r="I114" i="17"/>
  <c r="M108" i="17"/>
  <c r="I103" i="17"/>
  <c r="M94" i="17"/>
  <c r="I60" i="17"/>
  <c r="M54" i="17"/>
  <c r="I49" i="17"/>
  <c r="M49" i="17" s="1"/>
  <c r="M40" i="17"/>
  <c r="I168" i="17"/>
  <c r="J135" i="17"/>
  <c r="N135" i="17" s="1"/>
  <c r="J68" i="16"/>
  <c r="I219" i="9"/>
  <c r="I76" i="17"/>
  <c r="I89" i="17" s="1"/>
  <c r="J68" i="17"/>
  <c r="J43" i="15"/>
  <c r="J49" i="15" s="1"/>
  <c r="J14" i="15" s="1"/>
  <c r="J222" i="9"/>
  <c r="J227" i="9" s="1"/>
  <c r="N95" i="2"/>
  <c r="J54" i="17"/>
  <c r="J65" i="16"/>
  <c r="I184" i="9"/>
  <c r="I33" i="11"/>
  <c r="I31" i="11"/>
  <c r="I13" i="17"/>
  <c r="I29" i="15"/>
  <c r="I37" i="15" s="1"/>
  <c r="I13" i="15" s="1"/>
  <c r="E18" i="17"/>
  <c r="M18" i="17" s="1"/>
  <c r="E89" i="15"/>
  <c r="E97" i="15" s="1"/>
  <c r="E18" i="15" s="1"/>
  <c r="I14" i="17"/>
  <c r="I41" i="15"/>
  <c r="I49" i="15" s="1"/>
  <c r="I14" i="15" s="1"/>
  <c r="E194" i="9"/>
  <c r="M89" i="6"/>
  <c r="I5" i="6"/>
  <c r="I183" i="9" s="1"/>
  <c r="J5" i="3"/>
  <c r="I5" i="5"/>
  <c r="I182" i="9" s="1"/>
  <c r="N95" i="5"/>
  <c r="N13" i="4"/>
  <c r="N29" i="2"/>
  <c r="N120" i="9"/>
  <c r="I5" i="2"/>
  <c r="I179" i="9" s="1"/>
  <c r="N16" i="9"/>
  <c r="N30" i="9"/>
  <c r="N15" i="9"/>
  <c r="N27" i="9"/>
  <c r="N23" i="9"/>
  <c r="J60" i="17" l="1"/>
  <c r="N54" i="17"/>
  <c r="J76" i="17"/>
  <c r="I170" i="17"/>
  <c r="M170" i="17" s="1"/>
  <c r="M168" i="17"/>
  <c r="I116" i="17"/>
  <c r="I62" i="17"/>
  <c r="J72" i="16"/>
  <c r="J16" i="16" s="1"/>
  <c r="N16" i="16" s="1"/>
  <c r="J28" i="11"/>
  <c r="E32" i="11"/>
  <c r="M18" i="15"/>
  <c r="E13" i="17"/>
  <c r="M13" i="17" s="1"/>
  <c r="E29" i="15"/>
  <c r="E37" i="15" s="1"/>
  <c r="E13" i="15" s="1"/>
  <c r="E27" i="11" s="1"/>
  <c r="I28" i="11"/>
  <c r="I27" i="11"/>
  <c r="N5" i="3"/>
  <c r="J180" i="9"/>
  <c r="J5" i="5"/>
  <c r="J182" i="9" s="1"/>
  <c r="N89" i="5"/>
  <c r="N89" i="2"/>
  <c r="J5" i="2"/>
  <c r="N13" i="9"/>
  <c r="E29" i="9"/>
  <c r="H95" i="7"/>
  <c r="M72" i="7"/>
  <c r="M36" i="7"/>
  <c r="D71" i="6"/>
  <c r="D32" i="6" s="1"/>
  <c r="D13" i="6"/>
  <c r="D93" i="6"/>
  <c r="H93" i="6"/>
  <c r="H95" i="6"/>
  <c r="H95" i="5"/>
  <c r="D95" i="5"/>
  <c r="D102" i="5" s="1"/>
  <c r="C94" i="5"/>
  <c r="D71" i="5"/>
  <c r="D13" i="3"/>
  <c r="P82" i="9"/>
  <c r="S82" i="9" s="1"/>
  <c r="D114" i="9"/>
  <c r="H95" i="4"/>
  <c r="H102" i="4" s="1"/>
  <c r="C95" i="4"/>
  <c r="D48" i="4"/>
  <c r="D33" i="4"/>
  <c r="M33" i="4" s="1"/>
  <c r="L71" i="4"/>
  <c r="D71" i="4"/>
  <c r="D66" i="4"/>
  <c r="M66" i="4" s="1"/>
  <c r="H66" i="4"/>
  <c r="C66" i="4"/>
  <c r="M41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40" i="10"/>
  <c r="D49" i="10"/>
  <c r="D29" i="7"/>
  <c r="H29" i="7"/>
  <c r="H30" i="3"/>
  <c r="L99" i="6"/>
  <c r="M13" i="4"/>
  <c r="D29" i="9"/>
  <c r="D120" i="9"/>
  <c r="C81" i="9"/>
  <c r="C76" i="10"/>
  <c r="C32" i="9"/>
  <c r="C29" i="9"/>
  <c r="C29" i="7"/>
  <c r="C120" i="9"/>
  <c r="C129" i="9"/>
  <c r="L29" i="6"/>
  <c r="L29" i="4"/>
  <c r="C30" i="10"/>
  <c r="C80" i="10"/>
  <c r="C95" i="6"/>
  <c r="C105" i="6" s="1"/>
  <c r="C100" i="6" s="1"/>
  <c r="C67" i="10"/>
  <c r="C51" i="10"/>
  <c r="C50" i="10" s="1"/>
  <c r="C99" i="6" l="1"/>
  <c r="C141" i="16"/>
  <c r="C142" i="15"/>
  <c r="D123" i="17"/>
  <c r="L123" i="17" s="1"/>
  <c r="D32" i="5"/>
  <c r="C30" i="17"/>
  <c r="C100" i="16"/>
  <c r="C108" i="16" s="1"/>
  <c r="C19" i="16" s="1"/>
  <c r="C16" i="11" s="1"/>
  <c r="J13" i="11"/>
  <c r="J62" i="17"/>
  <c r="N62" i="17" s="1"/>
  <c r="N60" i="17"/>
  <c r="T94" i="5"/>
  <c r="C93" i="5"/>
  <c r="C161" i="9" s="1"/>
  <c r="J89" i="17"/>
  <c r="H89" i="7"/>
  <c r="D150" i="17"/>
  <c r="L150" i="17" s="1"/>
  <c r="D89" i="6"/>
  <c r="D100" i="16"/>
  <c r="D108" i="16" s="1"/>
  <c r="D19" i="16" s="1"/>
  <c r="D30" i="17"/>
  <c r="L30" i="17" s="1"/>
  <c r="C112" i="16"/>
  <c r="C31" i="17"/>
  <c r="D32" i="17"/>
  <c r="C28" i="17"/>
  <c r="C76" i="16"/>
  <c r="C84" i="16" s="1"/>
  <c r="C17" i="16" s="1"/>
  <c r="C64" i="16"/>
  <c r="C27" i="17"/>
  <c r="C40" i="16"/>
  <c r="C48" i="16" s="1"/>
  <c r="C14" i="16" s="1"/>
  <c r="C11" i="11" s="1"/>
  <c r="C25" i="17"/>
  <c r="D14" i="10"/>
  <c r="C176" i="17"/>
  <c r="C226" i="9"/>
  <c r="C47" i="15"/>
  <c r="C177" i="17"/>
  <c r="C59" i="15"/>
  <c r="C234" i="9"/>
  <c r="M29" i="7"/>
  <c r="D176" i="17"/>
  <c r="D47" i="15"/>
  <c r="D226" i="9"/>
  <c r="D142" i="16"/>
  <c r="D143" i="15"/>
  <c r="D99" i="7"/>
  <c r="D118" i="16" s="1"/>
  <c r="H177" i="17"/>
  <c r="H234" i="9"/>
  <c r="H59" i="15"/>
  <c r="M15" i="7"/>
  <c r="D13" i="7"/>
  <c r="H102" i="7"/>
  <c r="H189" i="17"/>
  <c r="H70" i="16"/>
  <c r="H176" i="17"/>
  <c r="H184" i="17" s="1"/>
  <c r="H47" i="15"/>
  <c r="H226" i="9"/>
  <c r="C162" i="17"/>
  <c r="C69" i="16"/>
  <c r="H162" i="17"/>
  <c r="H69" i="16"/>
  <c r="D159" i="17"/>
  <c r="D33" i="16"/>
  <c r="D148" i="17"/>
  <c r="D217" i="9"/>
  <c r="D34" i="15"/>
  <c r="H159" i="17"/>
  <c r="H33" i="16"/>
  <c r="H36" i="16" s="1"/>
  <c r="H13" i="16" s="1"/>
  <c r="D89" i="5"/>
  <c r="D121" i="17"/>
  <c r="D216" i="9"/>
  <c r="D33" i="15"/>
  <c r="L95" i="5"/>
  <c r="H135" i="17"/>
  <c r="H68" i="16"/>
  <c r="H139" i="17"/>
  <c r="H116" i="16"/>
  <c r="H120" i="16" s="1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D113" i="17"/>
  <c r="L113" i="17" s="1"/>
  <c r="D99" i="4"/>
  <c r="L66" i="4"/>
  <c r="H32" i="4"/>
  <c r="H68" i="17"/>
  <c r="H43" i="15"/>
  <c r="H222" i="9"/>
  <c r="C68" i="17"/>
  <c r="C222" i="9"/>
  <c r="C43" i="15"/>
  <c r="D86" i="17"/>
  <c r="L86" i="17" s="1"/>
  <c r="D126" i="16"/>
  <c r="D67" i="17"/>
  <c r="L67" i="17" s="1"/>
  <c r="D214" i="9"/>
  <c r="D31" i="15"/>
  <c r="D40" i="17"/>
  <c r="L40" i="17" s="1"/>
  <c r="D30" i="15"/>
  <c r="D213" i="9"/>
  <c r="H54" i="17"/>
  <c r="H60" i="17" s="1"/>
  <c r="H65" i="16"/>
  <c r="N13" i="11"/>
  <c r="D137" i="16"/>
  <c r="D99" i="2"/>
  <c r="D138" i="15"/>
  <c r="D59" i="17"/>
  <c r="L59" i="17" s="1"/>
  <c r="D125" i="16"/>
  <c r="C65" i="16"/>
  <c r="C54" i="17"/>
  <c r="M13" i="15"/>
  <c r="C13" i="17"/>
  <c r="C212" i="9"/>
  <c r="C29" i="15"/>
  <c r="D14" i="17"/>
  <c r="L14" i="17" s="1"/>
  <c r="D41" i="15"/>
  <c r="C194" i="9"/>
  <c r="C18" i="17"/>
  <c r="C89" i="15"/>
  <c r="C97" i="15" s="1"/>
  <c r="C18" i="15" s="1"/>
  <c r="C32" i="11" s="1"/>
  <c r="C195" i="9"/>
  <c r="C19" i="17"/>
  <c r="C101" i="15"/>
  <c r="C15" i="17"/>
  <c r="C53" i="15"/>
  <c r="C16" i="17"/>
  <c r="C65" i="15"/>
  <c r="C14" i="17"/>
  <c r="C41" i="15"/>
  <c r="D18" i="17"/>
  <c r="L18" i="17" s="1"/>
  <c r="D89" i="15"/>
  <c r="D97" i="15" s="1"/>
  <c r="D18" i="15" s="1"/>
  <c r="E14" i="17"/>
  <c r="M14" i="17" s="1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129" i="9"/>
  <c r="L32" i="7"/>
  <c r="L29" i="7"/>
  <c r="I95" i="7"/>
  <c r="L98" i="7"/>
  <c r="L93" i="6"/>
  <c r="L72" i="6"/>
  <c r="L96" i="6"/>
  <c r="L15" i="6"/>
  <c r="M13" i="3"/>
  <c r="M32" i="5"/>
  <c r="L13" i="5"/>
  <c r="M29" i="5"/>
  <c r="M72" i="5"/>
  <c r="M95" i="5"/>
  <c r="M22" i="5"/>
  <c r="L29" i="5"/>
  <c r="L94" i="5"/>
  <c r="L32" i="5"/>
  <c r="N5" i="5"/>
  <c r="L41" i="4"/>
  <c r="M72" i="4"/>
  <c r="D95" i="4"/>
  <c r="M98" i="4"/>
  <c r="E29" i="4"/>
  <c r="E89" i="4" s="1"/>
  <c r="M30" i="4"/>
  <c r="L13" i="4"/>
  <c r="L33" i="4"/>
  <c r="L48" i="4"/>
  <c r="M36" i="4"/>
  <c r="L95" i="4"/>
  <c r="M34" i="3"/>
  <c r="M49" i="3"/>
  <c r="E43" i="3"/>
  <c r="E42" i="3" s="1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M130" i="9"/>
  <c r="L81" i="9"/>
  <c r="T82" i="9"/>
  <c r="V82" i="9"/>
  <c r="L120" i="9"/>
  <c r="L32" i="9"/>
  <c r="L29" i="9"/>
  <c r="L80" i="10"/>
  <c r="M18" i="10"/>
  <c r="M46" i="10"/>
  <c r="M35" i="10"/>
  <c r="L50" i="10"/>
  <c r="M87" i="10"/>
  <c r="L67" i="10"/>
  <c r="L30" i="10"/>
  <c r="L13" i="10"/>
  <c r="L14" i="10"/>
  <c r="L76" i="10"/>
  <c r="M76" i="10"/>
  <c r="Q120" i="9"/>
  <c r="P120" i="9"/>
  <c r="N29" i="9"/>
  <c r="Q29" i="9"/>
  <c r="P29" i="9"/>
  <c r="C102" i="6"/>
  <c r="D47" i="10"/>
  <c r="M45" i="10"/>
  <c r="D43" i="10"/>
  <c r="M15" i="10"/>
  <c r="L13" i="9"/>
  <c r="M29" i="9"/>
  <c r="M161" i="9"/>
  <c r="M70" i="9"/>
  <c r="M114" i="9"/>
  <c r="M58" i="9"/>
  <c r="M82" i="9"/>
  <c r="M15" i="9"/>
  <c r="M116" i="9"/>
  <c r="M120" i="9"/>
  <c r="D32" i="9"/>
  <c r="D80" i="10"/>
  <c r="E30" i="3"/>
  <c r="M100" i="6"/>
  <c r="H6" i="3"/>
  <c r="C33" i="3"/>
  <c r="C69" i="17" s="1"/>
  <c r="D129" i="9"/>
  <c r="D42" i="3"/>
  <c r="M13" i="2"/>
  <c r="D106" i="9"/>
  <c r="M16" i="11"/>
  <c r="D30" i="3"/>
  <c r="H102" i="5"/>
  <c r="H6" i="5" s="1"/>
  <c r="M94" i="5"/>
  <c r="M25" i="10"/>
  <c r="D95" i="6"/>
  <c r="M59" i="10"/>
  <c r="M29" i="4"/>
  <c r="H5" i="7"/>
  <c r="H184" i="9" s="1"/>
  <c r="D81" i="9"/>
  <c r="D145" i="9"/>
  <c r="H32" i="2"/>
  <c r="H33" i="3"/>
  <c r="H69" i="17" s="1"/>
  <c r="H102" i="6"/>
  <c r="C32" i="2"/>
  <c r="C32" i="4"/>
  <c r="M48" i="4"/>
  <c r="D30" i="10"/>
  <c r="M71" i="4"/>
  <c r="L159" i="17" l="1"/>
  <c r="C117" i="16"/>
  <c r="C166" i="17"/>
  <c r="C168" i="17" s="1"/>
  <c r="C170" i="17" s="1"/>
  <c r="C99" i="5"/>
  <c r="C140" i="16"/>
  <c r="C141" i="15"/>
  <c r="L100" i="5"/>
  <c r="L176" i="17"/>
  <c r="C132" i="17"/>
  <c r="C32" i="16"/>
  <c r="C36" i="16" s="1"/>
  <c r="C13" i="16" s="1"/>
  <c r="C10" i="11" s="1"/>
  <c r="T93" i="5"/>
  <c r="L93" i="5"/>
  <c r="C227" i="9"/>
  <c r="H195" i="17"/>
  <c r="H197" i="17" s="1"/>
  <c r="L189" i="17"/>
  <c r="H227" i="9"/>
  <c r="D89" i="7"/>
  <c r="M13" i="7"/>
  <c r="H72" i="16"/>
  <c r="H16" i="16" s="1"/>
  <c r="H13" i="11" s="1"/>
  <c r="D157" i="17"/>
  <c r="L157" i="17" s="1"/>
  <c r="L148" i="17"/>
  <c r="H141" i="17"/>
  <c r="H143" i="17" s="1"/>
  <c r="D130" i="17"/>
  <c r="L130" i="17" s="1"/>
  <c r="L121" i="17"/>
  <c r="D115" i="16"/>
  <c r="D102" i="4"/>
  <c r="D6" i="4" s="1"/>
  <c r="H90" i="3"/>
  <c r="C90" i="3"/>
  <c r="C104" i="3" s="1"/>
  <c r="C110" i="3" s="1"/>
  <c r="H42" i="17"/>
  <c r="H49" i="17" s="1"/>
  <c r="H62" i="17" s="1"/>
  <c r="H89" i="2"/>
  <c r="D113" i="16"/>
  <c r="C42" i="17"/>
  <c r="C49" i="17" s="1"/>
  <c r="C89" i="2"/>
  <c r="D16" i="11"/>
  <c r="L16" i="11" s="1"/>
  <c r="L19" i="16"/>
  <c r="P19" i="16"/>
  <c r="P16" i="11" s="1"/>
  <c r="M80" i="10"/>
  <c r="D112" i="16"/>
  <c r="D31" i="17"/>
  <c r="L31" i="17" s="1"/>
  <c r="L32" i="17"/>
  <c r="C14" i="11"/>
  <c r="P17" i="16"/>
  <c r="P14" i="11" s="1"/>
  <c r="D40" i="16"/>
  <c r="D48" i="16" s="1"/>
  <c r="D14" i="16" s="1"/>
  <c r="D25" i="17"/>
  <c r="L25" i="17" s="1"/>
  <c r="M32" i="7"/>
  <c r="D177" i="17"/>
  <c r="L177" i="17" s="1"/>
  <c r="D234" i="9"/>
  <c r="D59" i="15"/>
  <c r="C49" i="15"/>
  <c r="C14" i="15" s="1"/>
  <c r="C28" i="11" s="1"/>
  <c r="H49" i="15"/>
  <c r="H14" i="15" s="1"/>
  <c r="H28" i="11" s="1"/>
  <c r="D175" i="17"/>
  <c r="D218" i="9"/>
  <c r="D219" i="9" s="1"/>
  <c r="D35" i="15"/>
  <c r="I102" i="7"/>
  <c r="I189" i="17"/>
  <c r="I70" i="16"/>
  <c r="I72" i="16" s="1"/>
  <c r="I16" i="16" s="1"/>
  <c r="D193" i="17"/>
  <c r="D102" i="7"/>
  <c r="D6" i="7" s="1"/>
  <c r="L95" i="6"/>
  <c r="D162" i="17"/>
  <c r="D69" i="16"/>
  <c r="H10" i="11"/>
  <c r="H168" i="17"/>
  <c r="H170" i="17" s="1"/>
  <c r="D116" i="16"/>
  <c r="D140" i="16"/>
  <c r="D141" i="15"/>
  <c r="H17" i="11"/>
  <c r="H18" i="11"/>
  <c r="C96" i="17"/>
  <c r="C103" i="17" s="1"/>
  <c r="C89" i="4"/>
  <c r="H96" i="17"/>
  <c r="H103" i="17" s="1"/>
  <c r="H116" i="17" s="1"/>
  <c r="H89" i="4"/>
  <c r="E113" i="17"/>
  <c r="M113" i="17" s="1"/>
  <c r="E127" i="16"/>
  <c r="E99" i="4"/>
  <c r="M95" i="4"/>
  <c r="D108" i="17"/>
  <c r="L108" i="17" s="1"/>
  <c r="D67" i="16"/>
  <c r="C72" i="16"/>
  <c r="C16" i="16" s="1"/>
  <c r="C13" i="11" s="1"/>
  <c r="E95" i="17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C76" i="17"/>
  <c r="E126" i="16"/>
  <c r="E86" i="17"/>
  <c r="M86" i="17" s="1"/>
  <c r="H76" i="17"/>
  <c r="H89" i="17" s="1"/>
  <c r="E137" i="16"/>
  <c r="E99" i="2"/>
  <c r="E138" i="15"/>
  <c r="D58" i="17"/>
  <c r="L58" i="17" s="1"/>
  <c r="E59" i="17"/>
  <c r="M59" i="17" s="1"/>
  <c r="E125" i="16"/>
  <c r="D132" i="16"/>
  <c r="D16" i="17"/>
  <c r="L16" i="17" s="1"/>
  <c r="D65" i="15"/>
  <c r="D197" i="9"/>
  <c r="D21" i="17"/>
  <c r="D125" i="15"/>
  <c r="D15" i="17"/>
  <c r="L15" i="17" s="1"/>
  <c r="D53" i="15"/>
  <c r="P194" i="9"/>
  <c r="P18" i="17"/>
  <c r="P89" i="15"/>
  <c r="D195" i="9"/>
  <c r="D19" i="17"/>
  <c r="L19" i="17" s="1"/>
  <c r="D101" i="15"/>
  <c r="P14" i="17"/>
  <c r="P41" i="15"/>
  <c r="Q194" i="9"/>
  <c r="Q18" i="17"/>
  <c r="Q89" i="15"/>
  <c r="D32" i="11"/>
  <c r="L32" i="11" s="1"/>
  <c r="L18" i="15"/>
  <c r="C73" i="15"/>
  <c r="C16" i="15" s="1"/>
  <c r="C30" i="11" s="1"/>
  <c r="D17" i="17"/>
  <c r="L17" i="17" s="1"/>
  <c r="D77" i="15"/>
  <c r="Q14" i="17"/>
  <c r="Q41" i="15"/>
  <c r="D13" i="17"/>
  <c r="L13" i="17" s="1"/>
  <c r="D29" i="15"/>
  <c r="C109" i="15"/>
  <c r="C19" i="15" s="1"/>
  <c r="C33" i="11" s="1"/>
  <c r="D58" i="15"/>
  <c r="D233" i="9"/>
  <c r="L32" i="6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M98" i="7"/>
  <c r="M100" i="7"/>
  <c r="L95" i="7"/>
  <c r="M95" i="7"/>
  <c r="H5" i="6"/>
  <c r="H183" i="9" s="1"/>
  <c r="C5" i="6"/>
  <c r="C183" i="9" s="1"/>
  <c r="C6" i="6"/>
  <c r="H6" i="6"/>
  <c r="D102" i="6"/>
  <c r="L13" i="6"/>
  <c r="C5" i="5"/>
  <c r="C182" i="9" s="1"/>
  <c r="M13" i="5"/>
  <c r="L89" i="5"/>
  <c r="H5" i="5"/>
  <c r="H182" i="9" s="1"/>
  <c r="N100" i="5"/>
  <c r="M96" i="4"/>
  <c r="H6" i="4"/>
  <c r="M100" i="4"/>
  <c r="L32" i="4"/>
  <c r="J32" i="4"/>
  <c r="N42" i="3"/>
  <c r="M72" i="3"/>
  <c r="N47" i="3"/>
  <c r="F30" i="3"/>
  <c r="F90" i="3" s="1"/>
  <c r="N31" i="3"/>
  <c r="D33" i="3"/>
  <c r="D69" i="17" s="1"/>
  <c r="M42" i="3"/>
  <c r="M100" i="2"/>
  <c r="M48" i="2"/>
  <c r="L32" i="2"/>
  <c r="H6" i="2"/>
  <c r="M96" i="2"/>
  <c r="M71" i="2"/>
  <c r="P81" i="9"/>
  <c r="Q81" i="9"/>
  <c r="D42" i="10"/>
  <c r="D39" i="10" s="1"/>
  <c r="C42" i="10"/>
  <c r="M30" i="10"/>
  <c r="N100" i="2"/>
  <c r="S29" i="9"/>
  <c r="P129" i="9"/>
  <c r="S120" i="9"/>
  <c r="P13" i="9"/>
  <c r="Q13" i="9"/>
  <c r="D32" i="2"/>
  <c r="M75" i="10"/>
  <c r="D72" i="10"/>
  <c r="M52" i="10"/>
  <c r="D50" i="10"/>
  <c r="M13" i="9"/>
  <c r="M81" i="9"/>
  <c r="M32" i="9"/>
  <c r="M106" i="9"/>
  <c r="M129" i="9"/>
  <c r="M14" i="10"/>
  <c r="D13" i="10"/>
  <c r="M15" i="11"/>
  <c r="M99" i="6"/>
  <c r="I102" i="6"/>
  <c r="I6" i="6" s="1"/>
  <c r="E69" i="17"/>
  <c r="M69" i="17" s="1"/>
  <c r="E5" i="4"/>
  <c r="E181" i="9" s="1"/>
  <c r="M30" i="3"/>
  <c r="M30" i="11"/>
  <c r="M32" i="11"/>
  <c r="I145" i="9"/>
  <c r="M27" i="11"/>
  <c r="M48" i="10"/>
  <c r="I93" i="5"/>
  <c r="L89" i="6"/>
  <c r="D95" i="2"/>
  <c r="D102" i="2" s="1"/>
  <c r="M14" i="11"/>
  <c r="D32" i="4"/>
  <c r="M11" i="11"/>
  <c r="C116" i="16" l="1"/>
  <c r="C102" i="5"/>
  <c r="C139" i="17"/>
  <c r="C141" i="17" s="1"/>
  <c r="C143" i="17" s="1"/>
  <c r="L99" i="5"/>
  <c r="L100" i="2"/>
  <c r="C5" i="3"/>
  <c r="C180" i="9" s="1"/>
  <c r="C137" i="16"/>
  <c r="C99" i="2"/>
  <c r="L99" i="2" s="1"/>
  <c r="C138" i="15"/>
  <c r="C5" i="4"/>
  <c r="C181" i="9" s="1"/>
  <c r="I195" i="17"/>
  <c r="M189" i="17"/>
  <c r="L175" i="17"/>
  <c r="D184" i="17"/>
  <c r="L184" i="17" s="1"/>
  <c r="D195" i="17"/>
  <c r="L193" i="17"/>
  <c r="D168" i="17"/>
  <c r="L162" i="17"/>
  <c r="L14" i="15"/>
  <c r="E132" i="16"/>
  <c r="E115" i="16"/>
  <c r="E102" i="4"/>
  <c r="E6" i="4" s="1"/>
  <c r="E7" i="4" s="1"/>
  <c r="E103" i="17"/>
  <c r="M103" i="17" s="1"/>
  <c r="M95" i="17"/>
  <c r="E49" i="15"/>
  <c r="E14" i="15" s="1"/>
  <c r="M14" i="15" s="1"/>
  <c r="D76" i="17"/>
  <c r="L76" i="17" s="1"/>
  <c r="L69" i="17"/>
  <c r="D90" i="3"/>
  <c r="M90" i="3" s="1"/>
  <c r="E90" i="3"/>
  <c r="D42" i="17"/>
  <c r="D89" i="2"/>
  <c r="D5" i="2" s="1"/>
  <c r="D29" i="17"/>
  <c r="L29" i="17" s="1"/>
  <c r="D88" i="16"/>
  <c r="D96" i="16" s="1"/>
  <c r="D18" i="16" s="1"/>
  <c r="M50" i="10"/>
  <c r="D27" i="17"/>
  <c r="L27" i="17" s="1"/>
  <c r="D64" i="16"/>
  <c r="D26" i="17"/>
  <c r="L26" i="17" s="1"/>
  <c r="D52" i="16"/>
  <c r="D60" i="16" s="1"/>
  <c r="D15" i="16" s="1"/>
  <c r="D11" i="11"/>
  <c r="P14" i="16"/>
  <c r="P11" i="11" s="1"/>
  <c r="L14" i="16"/>
  <c r="D24" i="17"/>
  <c r="D28" i="16"/>
  <c r="D36" i="16" s="1"/>
  <c r="D13" i="16" s="1"/>
  <c r="E102" i="2"/>
  <c r="E113" i="16"/>
  <c r="E58" i="17"/>
  <c r="D37" i="15"/>
  <c r="D13" i="15" s="1"/>
  <c r="D27" i="11" s="1"/>
  <c r="L27" i="11" s="1"/>
  <c r="M16" i="16"/>
  <c r="I13" i="11"/>
  <c r="M13" i="11" s="1"/>
  <c r="D139" i="17"/>
  <c r="D6" i="5"/>
  <c r="I132" i="17"/>
  <c r="M132" i="17" s="1"/>
  <c r="I32" i="16"/>
  <c r="I36" i="16" s="1"/>
  <c r="I13" i="16" s="1"/>
  <c r="J139" i="17"/>
  <c r="J120" i="16"/>
  <c r="H22" i="16"/>
  <c r="H9" i="16" s="1"/>
  <c r="J96" i="17"/>
  <c r="J89" i="4"/>
  <c r="J5" i="4" s="1"/>
  <c r="J181" i="9" s="1"/>
  <c r="D96" i="17"/>
  <c r="D89" i="4"/>
  <c r="H61" i="15"/>
  <c r="H15" i="15" s="1"/>
  <c r="H29" i="11" s="1"/>
  <c r="E227" i="9"/>
  <c r="D114" i="17"/>
  <c r="L114" i="17" s="1"/>
  <c r="E112" i="17"/>
  <c r="C61" i="15"/>
  <c r="C15" i="15" s="1"/>
  <c r="D28" i="11"/>
  <c r="L28" i="11" s="1"/>
  <c r="E76" i="17"/>
  <c r="M76" i="17" s="1"/>
  <c r="F68" i="17"/>
  <c r="F43" i="15"/>
  <c r="F49" i="15" s="1"/>
  <c r="F14" i="15" s="1"/>
  <c r="F222" i="9"/>
  <c r="F227" i="9" s="1"/>
  <c r="F61" i="15"/>
  <c r="F15" i="15" s="1"/>
  <c r="D65" i="16"/>
  <c r="D54" i="17"/>
  <c r="H19" i="11"/>
  <c r="M89" i="7"/>
  <c r="D5" i="7"/>
  <c r="L100" i="3"/>
  <c r="I21" i="17"/>
  <c r="I22" i="17" s="1"/>
  <c r="I125" i="15"/>
  <c r="S194" i="9"/>
  <c r="S18" i="17"/>
  <c r="T18" i="17" s="1"/>
  <c r="S89" i="15"/>
  <c r="T29" i="9"/>
  <c r="S14" i="17"/>
  <c r="T14" i="17" s="1"/>
  <c r="S41" i="15"/>
  <c r="D109" i="15"/>
  <c r="D19" i="15" s="1"/>
  <c r="P16" i="17"/>
  <c r="P65" i="15"/>
  <c r="P73" i="15" s="1"/>
  <c r="P195" i="9"/>
  <c r="P19" i="17"/>
  <c r="P101" i="15"/>
  <c r="D22" i="17"/>
  <c r="D73" i="15"/>
  <c r="D16" i="15" s="1"/>
  <c r="P13" i="17"/>
  <c r="P29" i="15"/>
  <c r="Q13" i="17"/>
  <c r="Q29" i="15"/>
  <c r="Q16" i="17"/>
  <c r="Q65" i="15"/>
  <c r="Q73" i="15" s="1"/>
  <c r="P15" i="17"/>
  <c r="P53" i="15"/>
  <c r="D133" i="15"/>
  <c r="D21" i="15" s="1"/>
  <c r="D35" i="11" s="1"/>
  <c r="D85" i="15"/>
  <c r="D17" i="15" s="1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M100" i="5"/>
  <c r="I171" i="9" s="1"/>
  <c r="I197" i="9"/>
  <c r="S81" i="9"/>
  <c r="M99" i="7"/>
  <c r="H7" i="6"/>
  <c r="L6" i="6"/>
  <c r="I7" i="6"/>
  <c r="D6" i="6"/>
  <c r="C7" i="6"/>
  <c r="D5" i="6"/>
  <c r="L102" i="6"/>
  <c r="L5" i="6"/>
  <c r="F5" i="3"/>
  <c r="F180" i="9" s="1"/>
  <c r="M93" i="5"/>
  <c r="D5" i="5"/>
  <c r="D182" i="9" s="1"/>
  <c r="M89" i="5"/>
  <c r="J102" i="5"/>
  <c r="L5" i="5"/>
  <c r="H7" i="5"/>
  <c r="N99" i="5"/>
  <c r="M32" i="4"/>
  <c r="M99" i="4"/>
  <c r="L89" i="4"/>
  <c r="H5" i="4"/>
  <c r="H7" i="4" s="1"/>
  <c r="N32" i="4"/>
  <c r="N100" i="4"/>
  <c r="L90" i="3"/>
  <c r="H5" i="3"/>
  <c r="H180" i="9" s="1"/>
  <c r="N100" i="3"/>
  <c r="F6" i="3"/>
  <c r="L11" i="11"/>
  <c r="I6" i="2"/>
  <c r="M99" i="2"/>
  <c r="M95" i="2"/>
  <c r="M32" i="2"/>
  <c r="E6" i="2"/>
  <c r="E7" i="2" s="1"/>
  <c r="C5" i="2"/>
  <c r="C179" i="9" s="1"/>
  <c r="V120" i="9"/>
  <c r="T120" i="9"/>
  <c r="L42" i="10"/>
  <c r="M72" i="10"/>
  <c r="N99" i="2"/>
  <c r="V29" i="9"/>
  <c r="H5" i="2"/>
  <c r="H179" i="9" s="1"/>
  <c r="L89" i="2"/>
  <c r="S13" i="9"/>
  <c r="M145" i="9"/>
  <c r="I168" i="9"/>
  <c r="I9" i="9" s="1"/>
  <c r="I5" i="4"/>
  <c r="M102" i="6"/>
  <c r="E106" i="9"/>
  <c r="E129" i="9"/>
  <c r="E32" i="9"/>
  <c r="M13" i="10"/>
  <c r="M47" i="10"/>
  <c r="D96" i="10"/>
  <c r="D9" i="10" s="1"/>
  <c r="D168" i="9"/>
  <c r="D5" i="4"/>
  <c r="J20" i="16" l="1"/>
  <c r="J122" i="16"/>
  <c r="C6" i="5"/>
  <c r="L102" i="5"/>
  <c r="C113" i="16"/>
  <c r="C58" i="17"/>
  <c r="C60" i="17" s="1"/>
  <c r="C62" i="17" s="1"/>
  <c r="C102" i="2"/>
  <c r="C139" i="16"/>
  <c r="C140" i="15"/>
  <c r="C99" i="4"/>
  <c r="L99" i="4" s="1"/>
  <c r="J141" i="17"/>
  <c r="J143" i="17" s="1"/>
  <c r="N143" i="17" s="1"/>
  <c r="N139" i="17"/>
  <c r="J103" i="17"/>
  <c r="N96" i="17"/>
  <c r="E28" i="11"/>
  <c r="M28" i="11" s="1"/>
  <c r="D72" i="16"/>
  <c r="D16" i="16" s="1"/>
  <c r="P16" i="16" s="1"/>
  <c r="F76" i="17"/>
  <c r="N68" i="17"/>
  <c r="I197" i="17"/>
  <c r="M197" i="17" s="1"/>
  <c r="M195" i="17"/>
  <c r="D197" i="17"/>
  <c r="L197" i="17" s="1"/>
  <c r="L195" i="17"/>
  <c r="D170" i="17"/>
  <c r="L170" i="17" s="1"/>
  <c r="L168" i="17"/>
  <c r="D141" i="17"/>
  <c r="L139" i="17"/>
  <c r="E114" i="17"/>
  <c r="M112" i="17"/>
  <c r="D103" i="17"/>
  <c r="L103" i="17" s="1"/>
  <c r="L96" i="17"/>
  <c r="D5" i="3"/>
  <c r="D180" i="9" s="1"/>
  <c r="E60" i="17"/>
  <c r="M60" i="17" s="1"/>
  <c r="M58" i="17"/>
  <c r="D60" i="17"/>
  <c r="L60" i="17" s="1"/>
  <c r="L54" i="17"/>
  <c r="D49" i="17"/>
  <c r="L49" i="17" s="1"/>
  <c r="L42" i="17"/>
  <c r="L13" i="15"/>
  <c r="D15" i="11"/>
  <c r="L18" i="16"/>
  <c r="P18" i="16"/>
  <c r="P15" i="11" s="1"/>
  <c r="D12" i="11"/>
  <c r="L12" i="11" s="1"/>
  <c r="L15" i="16"/>
  <c r="P13" i="16"/>
  <c r="P10" i="11" s="1"/>
  <c r="L13" i="16"/>
  <c r="D10" i="11"/>
  <c r="L10" i="11" s="1"/>
  <c r="L24" i="17"/>
  <c r="D33" i="17"/>
  <c r="L33" i="17" s="1"/>
  <c r="I139" i="17"/>
  <c r="I116" i="16"/>
  <c r="I120" i="16" s="1"/>
  <c r="I20" i="16" s="1"/>
  <c r="I10" i="11"/>
  <c r="M10" i="11" s="1"/>
  <c r="M13" i="16"/>
  <c r="N102" i="5"/>
  <c r="J6" i="5"/>
  <c r="N5" i="4"/>
  <c r="I61" i="15"/>
  <c r="I15" i="15" s="1"/>
  <c r="I29" i="11" s="1"/>
  <c r="J61" i="15"/>
  <c r="J15" i="15" s="1"/>
  <c r="D138" i="16"/>
  <c r="D143" i="16" s="1"/>
  <c r="D21" i="16" s="1"/>
  <c r="F28" i="11"/>
  <c r="N28" i="11" s="1"/>
  <c r="N14" i="15"/>
  <c r="F29" i="11"/>
  <c r="F23" i="15"/>
  <c r="F9" i="15" s="1"/>
  <c r="D61" i="15"/>
  <c r="D15" i="15" s="1"/>
  <c r="D184" i="9"/>
  <c r="M5" i="7"/>
  <c r="D7" i="7"/>
  <c r="D139" i="15"/>
  <c r="D145" i="15" s="1"/>
  <c r="C139" i="15"/>
  <c r="C138" i="16"/>
  <c r="C99" i="3"/>
  <c r="D31" i="11"/>
  <c r="L17" i="15"/>
  <c r="D33" i="11"/>
  <c r="L19" i="15"/>
  <c r="D30" i="11"/>
  <c r="L30" i="11" s="1"/>
  <c r="L16" i="15"/>
  <c r="V81" i="9"/>
  <c r="S16" i="17"/>
  <c r="T16" i="17" s="1"/>
  <c r="S65" i="15"/>
  <c r="S73" i="15" s="1"/>
  <c r="T13" i="9"/>
  <c r="S13" i="17"/>
  <c r="S29" i="15"/>
  <c r="E195" i="9"/>
  <c r="E19" i="17"/>
  <c r="M19" i="17" s="1"/>
  <c r="E101" i="15"/>
  <c r="Q32" i="9"/>
  <c r="E15" i="17"/>
  <c r="M15" i="17" s="1"/>
  <c r="E53" i="15"/>
  <c r="E61" i="15" s="1"/>
  <c r="E15" i="15" s="1"/>
  <c r="E17" i="17"/>
  <c r="M17" i="17" s="1"/>
  <c r="E77" i="15"/>
  <c r="I133" i="15"/>
  <c r="I21" i="15" s="1"/>
  <c r="H7" i="7"/>
  <c r="C29" i="11"/>
  <c r="M5" i="6"/>
  <c r="D183" i="9"/>
  <c r="D7" i="6"/>
  <c r="N89" i="4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D7" i="4"/>
  <c r="D181" i="9"/>
  <c r="M89" i="2"/>
  <c r="F205" i="9"/>
  <c r="F198" i="9"/>
  <c r="F200" i="9" s="1"/>
  <c r="D235" i="9"/>
  <c r="M5" i="2"/>
  <c r="D179" i="9"/>
  <c r="T81" i="9"/>
  <c r="M102" i="7"/>
  <c r="I6" i="7"/>
  <c r="M6" i="6"/>
  <c r="F7" i="3"/>
  <c r="M102" i="2"/>
  <c r="M99" i="5"/>
  <c r="I102" i="5"/>
  <c r="D7" i="5"/>
  <c r="M5" i="5"/>
  <c r="I6" i="4"/>
  <c r="M6" i="4" s="1"/>
  <c r="M89" i="4"/>
  <c r="N99" i="4"/>
  <c r="M100" i="3"/>
  <c r="H145" i="9"/>
  <c r="I6" i="3"/>
  <c r="N90" i="3"/>
  <c r="E5" i="3"/>
  <c r="E180" i="9" s="1"/>
  <c r="E205" i="9" s="1"/>
  <c r="E208" i="9" s="1"/>
  <c r="L5" i="3"/>
  <c r="H7" i="3"/>
  <c r="N99" i="3"/>
  <c r="L15" i="11"/>
  <c r="D6" i="2"/>
  <c r="D7" i="2" s="1"/>
  <c r="Q106" i="9"/>
  <c r="N129" i="9"/>
  <c r="Q129" i="9"/>
  <c r="I7" i="2"/>
  <c r="N102" i="2"/>
  <c r="J6" i="2"/>
  <c r="V13" i="9"/>
  <c r="H7" i="2"/>
  <c r="L5" i="2"/>
  <c r="D9" i="9"/>
  <c r="N106" i="9"/>
  <c r="N32" i="9"/>
  <c r="M168" i="9"/>
  <c r="C7" i="5" l="1"/>
  <c r="L6" i="5"/>
  <c r="N141" i="17"/>
  <c r="C6" i="2"/>
  <c r="L102" i="2"/>
  <c r="C115" i="16"/>
  <c r="C112" i="17"/>
  <c r="C114" i="17" s="1"/>
  <c r="C116" i="17" s="1"/>
  <c r="C102" i="4"/>
  <c r="J116" i="17"/>
  <c r="N116" i="17" s="1"/>
  <c r="N103" i="17"/>
  <c r="D13" i="11"/>
  <c r="L13" i="11" s="1"/>
  <c r="L16" i="16"/>
  <c r="M5" i="3"/>
  <c r="F89" i="17"/>
  <c r="N89" i="17" s="1"/>
  <c r="N76" i="17"/>
  <c r="E62" i="17"/>
  <c r="M62" i="17" s="1"/>
  <c r="I141" i="17"/>
  <c r="I143" i="17" s="1"/>
  <c r="M143" i="17" s="1"/>
  <c r="M139" i="17"/>
  <c r="D143" i="17"/>
  <c r="L143" i="17" s="1"/>
  <c r="L141" i="17"/>
  <c r="D116" i="17"/>
  <c r="L116" i="17" s="1"/>
  <c r="E116" i="17"/>
  <c r="M116" i="17" s="1"/>
  <c r="M114" i="17"/>
  <c r="E138" i="16"/>
  <c r="E143" i="16" s="1"/>
  <c r="E21" i="16" s="1"/>
  <c r="D99" i="3"/>
  <c r="D85" i="17" s="1"/>
  <c r="C114" i="16"/>
  <c r="C102" i="3"/>
  <c r="L102" i="3" s="1"/>
  <c r="D62" i="17"/>
  <c r="L62" i="17" s="1"/>
  <c r="D35" i="17"/>
  <c r="J18" i="11"/>
  <c r="N18" i="11" s="1"/>
  <c r="N21" i="16"/>
  <c r="J17" i="11"/>
  <c r="J22" i="16"/>
  <c r="F37" i="11"/>
  <c r="F41" i="11" s="1"/>
  <c r="N6" i="5"/>
  <c r="J7" i="5"/>
  <c r="I18" i="11"/>
  <c r="I198" i="9"/>
  <c r="I200" i="9" s="1"/>
  <c r="M102" i="4"/>
  <c r="N15" i="15"/>
  <c r="J29" i="11"/>
  <c r="J37" i="11" s="1"/>
  <c r="J23" i="15"/>
  <c r="N23" i="15" s="1"/>
  <c r="D22" i="15"/>
  <c r="P13" i="11"/>
  <c r="C85" i="17"/>
  <c r="C87" i="17" s="1"/>
  <c r="C89" i="17" s="1"/>
  <c r="L99" i="3"/>
  <c r="I35" i="11"/>
  <c r="I37" i="11" s="1"/>
  <c r="I23" i="15"/>
  <c r="I9" i="15" s="1"/>
  <c r="E29" i="11"/>
  <c r="M29" i="11" s="1"/>
  <c r="M15" i="15"/>
  <c r="Q19" i="17"/>
  <c r="Q101" i="15"/>
  <c r="Q17" i="17"/>
  <c r="Q77" i="15"/>
  <c r="Q85" i="15" s="1"/>
  <c r="H197" i="9"/>
  <c r="H209" i="9" s="1"/>
  <c r="H21" i="17"/>
  <c r="H125" i="15"/>
  <c r="E109" i="15"/>
  <c r="E19" i="15" s="1"/>
  <c r="T13" i="17"/>
  <c r="E85" i="15"/>
  <c r="E17" i="15" s="1"/>
  <c r="S32" i="9"/>
  <c r="Q15" i="17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S129" i="9"/>
  <c r="V129" i="9" s="1"/>
  <c r="Q195" i="9"/>
  <c r="M9" i="9"/>
  <c r="I7" i="7"/>
  <c r="M6" i="7"/>
  <c r="M6" i="2"/>
  <c r="M102" i="5"/>
  <c r="I6" i="5"/>
  <c r="J6" i="4"/>
  <c r="N102" i="4"/>
  <c r="M99" i="3"/>
  <c r="H168" i="9"/>
  <c r="I7" i="3"/>
  <c r="J6" i="3"/>
  <c r="L33" i="11"/>
  <c r="L31" i="11"/>
  <c r="N6" i="2"/>
  <c r="J7" i="2"/>
  <c r="M42" i="10"/>
  <c r="I39" i="10"/>
  <c r="C39" i="10"/>
  <c r="C6" i="4" l="1"/>
  <c r="L102" i="4"/>
  <c r="C7" i="2"/>
  <c r="D8" i="2"/>
  <c r="L6" i="2"/>
  <c r="M141" i="17"/>
  <c r="E99" i="3"/>
  <c r="E102" i="3" s="1"/>
  <c r="N102" i="3" s="1"/>
  <c r="C6" i="3"/>
  <c r="C7" i="3" s="1"/>
  <c r="D114" i="16"/>
  <c r="D120" i="16" s="1"/>
  <c r="D20" i="16" s="1"/>
  <c r="D102" i="3"/>
  <c r="D6" i="3" s="1"/>
  <c r="E114" i="16"/>
  <c r="E120" i="16" s="1"/>
  <c r="E20" i="16" s="1"/>
  <c r="D87" i="17"/>
  <c r="L85" i="17"/>
  <c r="D23" i="15"/>
  <c r="D9" i="15" s="1"/>
  <c r="D36" i="11"/>
  <c r="L36" i="11" s="1"/>
  <c r="H22" i="17"/>
  <c r="H35" i="17" s="1"/>
  <c r="L35" i="17" s="1"/>
  <c r="L21" i="17"/>
  <c r="I26" i="17"/>
  <c r="I52" i="16"/>
  <c r="I60" i="16" s="1"/>
  <c r="I15" i="16" s="1"/>
  <c r="C96" i="10"/>
  <c r="C9" i="10" s="1"/>
  <c r="L9" i="10" s="1"/>
  <c r="C52" i="16"/>
  <c r="C60" i="16" s="1"/>
  <c r="C15" i="16" s="1"/>
  <c r="C26" i="17"/>
  <c r="C33" i="17" s="1"/>
  <c r="J9" i="15"/>
  <c r="I17" i="11"/>
  <c r="J9" i="16"/>
  <c r="N22" i="16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S195" i="9"/>
  <c r="S19" i="17"/>
  <c r="T19" i="17" s="1"/>
  <c r="S101" i="15"/>
  <c r="T129" i="9"/>
  <c r="T32" i="9"/>
  <c r="S15" i="17"/>
  <c r="S53" i="15"/>
  <c r="V32" i="9"/>
  <c r="H133" i="15"/>
  <c r="H21" i="15" s="1"/>
  <c r="L29" i="11"/>
  <c r="L6" i="3"/>
  <c r="E145" i="9"/>
  <c r="N161" i="9"/>
  <c r="D208" i="9"/>
  <c r="D209" i="9" s="1"/>
  <c r="D206" i="9"/>
  <c r="M6" i="5"/>
  <c r="I7" i="5"/>
  <c r="J7" i="4"/>
  <c r="N6" i="4"/>
  <c r="H9" i="9"/>
  <c r="J7" i="3"/>
  <c r="L39" i="10"/>
  <c r="I96" i="10"/>
  <c r="M39" i="10"/>
  <c r="C7" i="4" l="1"/>
  <c r="L6" i="4"/>
  <c r="L22" i="17"/>
  <c r="E85" i="17"/>
  <c r="M85" i="17" s="1"/>
  <c r="M102" i="3"/>
  <c r="D37" i="11"/>
  <c r="D89" i="17"/>
  <c r="L89" i="17" s="1"/>
  <c r="L87" i="17"/>
  <c r="I12" i="11"/>
  <c r="I19" i="11" s="1"/>
  <c r="M15" i="16"/>
  <c r="I22" i="16"/>
  <c r="I9" i="16" s="1"/>
  <c r="I33" i="17"/>
  <c r="M26" i="17"/>
  <c r="C12" i="11"/>
  <c r="P15" i="16"/>
  <c r="P12" i="11" s="1"/>
  <c r="N41" i="11"/>
  <c r="J41" i="11"/>
  <c r="E22" i="15"/>
  <c r="E36" i="11" s="1"/>
  <c r="M36" i="11" s="1"/>
  <c r="D18" i="11"/>
  <c r="L18" i="11" s="1"/>
  <c r="L21" i="16"/>
  <c r="D17" i="11"/>
  <c r="D22" i="16"/>
  <c r="H35" i="11"/>
  <c r="L21" i="15"/>
  <c r="H23" i="15"/>
  <c r="T15" i="17"/>
  <c r="Q145" i="9"/>
  <c r="E21" i="17"/>
  <c r="M9" i="15"/>
  <c r="E168" i="9"/>
  <c r="E171" i="9" s="1"/>
  <c r="E125" i="15"/>
  <c r="E6" i="3"/>
  <c r="N145" i="9"/>
  <c r="E197" i="9"/>
  <c r="E206" i="9" s="1"/>
  <c r="H200" i="9"/>
  <c r="D7" i="3"/>
  <c r="M6" i="3"/>
  <c r="M96" i="10"/>
  <c r="F170" i="9" s="1"/>
  <c r="I9" i="10"/>
  <c r="M9" i="10" s="1"/>
  <c r="L96" i="10"/>
  <c r="E7" i="3" l="1"/>
  <c r="N6" i="3"/>
  <c r="E87" i="17"/>
  <c r="E89" i="17" s="1"/>
  <c r="M89" i="17" s="1"/>
  <c r="M12" i="11"/>
  <c r="E22" i="17"/>
  <c r="M22" i="17" s="1"/>
  <c r="M21" i="17"/>
  <c r="M33" i="17"/>
  <c r="I35" i="17"/>
  <c r="Q197" i="9"/>
  <c r="D9" i="16"/>
  <c r="M9" i="16" s="1"/>
  <c r="L22" i="16"/>
  <c r="E17" i="11"/>
  <c r="E22" i="16"/>
  <c r="E18" i="11"/>
  <c r="M18" i="11" s="1"/>
  <c r="M21" i="16"/>
  <c r="L17" i="11"/>
  <c r="D19" i="11"/>
  <c r="N168" i="9"/>
  <c r="E9" i="9"/>
  <c r="N9" i="9" s="1"/>
  <c r="Q125" i="15"/>
  <c r="Q133" i="15" s="1"/>
  <c r="Q21" i="17"/>
  <c r="Q22" i="17" s="1"/>
  <c r="H9" i="15"/>
  <c r="L23" i="15"/>
  <c r="E133" i="15"/>
  <c r="E21" i="15" s="1"/>
  <c r="H37" i="11"/>
  <c r="L35" i="11"/>
  <c r="E198" i="9"/>
  <c r="E209" i="9"/>
  <c r="Q168" i="9"/>
  <c r="M87" i="17" l="1"/>
  <c r="E35" i="17"/>
  <c r="M35" i="17" s="1"/>
  <c r="E200" i="9"/>
  <c r="E19" i="11"/>
  <c r="D41" i="11"/>
  <c r="L19" i="11"/>
  <c r="E9" i="16"/>
  <c r="R9" i="16" s="1"/>
  <c r="M22" i="16"/>
  <c r="Q9" i="9"/>
  <c r="E35" i="11"/>
  <c r="R35" i="11" s="1"/>
  <c r="E23" i="15"/>
  <c r="E9" i="15" s="1"/>
  <c r="R9" i="15" s="1"/>
  <c r="M21" i="15"/>
  <c r="H41" i="11"/>
  <c r="L37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33" i="11"/>
  <c r="P28" i="11"/>
  <c r="P29" i="11"/>
  <c r="R8" i="10"/>
  <c r="R10" i="5"/>
  <c r="R82" i="5" s="1"/>
  <c r="P34" i="11"/>
  <c r="R8" i="9"/>
  <c r="R10" i="4" s="1"/>
  <c r="P8" i="10"/>
  <c r="P8" i="9"/>
  <c r="P88" i="9" s="1"/>
  <c r="Q8" i="10"/>
  <c r="Q51" i="10" s="1"/>
  <c r="S51" i="10" s="1"/>
  <c r="P48" i="10" l="1"/>
  <c r="P13" i="10"/>
  <c r="R10" i="3"/>
  <c r="R98" i="3" s="1"/>
  <c r="R13" i="10"/>
  <c r="Q35" i="11"/>
  <c r="Q37" i="11" s="1"/>
  <c r="R85" i="3"/>
  <c r="R94" i="3"/>
  <c r="R93" i="3"/>
  <c r="Q10" i="5"/>
  <c r="Q82" i="5" s="1"/>
  <c r="Q8" i="16"/>
  <c r="Q13" i="10"/>
  <c r="R88" i="5"/>
  <c r="R87" i="5"/>
  <c r="R86" i="5"/>
  <c r="Q87" i="5"/>
  <c r="Q88" i="5"/>
  <c r="Q86" i="5"/>
  <c r="Q84" i="5"/>
  <c r="Q85" i="5"/>
  <c r="Q83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R87" i="3"/>
  <c r="L41" i="11"/>
  <c r="N9" i="16"/>
  <c r="Q9" i="16"/>
  <c r="M23" i="15"/>
  <c r="R10" i="2"/>
  <c r="R32" i="2" s="1"/>
  <c r="E37" i="11"/>
  <c r="M35" i="11"/>
  <c r="Q9" i="15"/>
  <c r="N9" i="15"/>
  <c r="Q8" i="9"/>
  <c r="Q110" i="9" s="1"/>
  <c r="P57" i="10"/>
  <c r="P15" i="10"/>
  <c r="Q41" i="10"/>
  <c r="Q40" i="10" s="1"/>
  <c r="P10" i="6"/>
  <c r="P76" i="6" s="1"/>
  <c r="Q10" i="3"/>
  <c r="R13" i="3"/>
  <c r="R67" i="17" s="1"/>
  <c r="R30" i="3"/>
  <c r="R68" i="17" s="1"/>
  <c r="R33" i="3"/>
  <c r="R69" i="17" s="1"/>
  <c r="R95" i="3"/>
  <c r="R99" i="3"/>
  <c r="R102" i="3"/>
  <c r="R10" i="6"/>
  <c r="R96" i="6" s="1"/>
  <c r="S32" i="11"/>
  <c r="V32" i="11" s="1"/>
  <c r="S28" i="11"/>
  <c r="T28" i="11" s="1"/>
  <c r="S33" i="11"/>
  <c r="T33" i="11" s="1"/>
  <c r="R37" i="11"/>
  <c r="Q68" i="5"/>
  <c r="Q36" i="5"/>
  <c r="Q64" i="5"/>
  <c r="Q70" i="5"/>
  <c r="Q14" i="5"/>
  <c r="Q62" i="5"/>
  <c r="Q21" i="5"/>
  <c r="Q43" i="5"/>
  <c r="Q72" i="5"/>
  <c r="Q71" i="5"/>
  <c r="Q19" i="5"/>
  <c r="Q24" i="5"/>
  <c r="Q98" i="5"/>
  <c r="Q41" i="5"/>
  <c r="Q53" i="5"/>
  <c r="Q94" i="5"/>
  <c r="Q17" i="5"/>
  <c r="Q55" i="5"/>
  <c r="Q93" i="5"/>
  <c r="Q50" i="5"/>
  <c r="Q15" i="5"/>
  <c r="Q66" i="5"/>
  <c r="Q95" i="5"/>
  <c r="Q23" i="5"/>
  <c r="Q38" i="5"/>
  <c r="Q101" i="5"/>
  <c r="Q80" i="5"/>
  <c r="Q18" i="5"/>
  <c r="Q30" i="5"/>
  <c r="Q22" i="5"/>
  <c r="Q75" i="5"/>
  <c r="Q20" i="5"/>
  <c r="Q40" i="5"/>
  <c r="Q77" i="5"/>
  <c r="Q73" i="5"/>
  <c r="Q47" i="5"/>
  <c r="Q57" i="5"/>
  <c r="Q39" i="5"/>
  <c r="Q52" i="5"/>
  <c r="Q49" i="5"/>
  <c r="Q79" i="5"/>
  <c r="Q33" i="5"/>
  <c r="Q42" i="5"/>
  <c r="Q69" i="5"/>
  <c r="Q63" i="5"/>
  <c r="Q96" i="5"/>
  <c r="Q34" i="5"/>
  <c r="Q48" i="5"/>
  <c r="Q78" i="5"/>
  <c r="Q37" i="5"/>
  <c r="Q16" i="5"/>
  <c r="Q65" i="5"/>
  <c r="Q26" i="5"/>
  <c r="Q59" i="5"/>
  <c r="Q51" i="5"/>
  <c r="Q99" i="5"/>
  <c r="Q27" i="5"/>
  <c r="Q45" i="5"/>
  <c r="Q58" i="5"/>
  <c r="Q35" i="5"/>
  <c r="Q60" i="5"/>
  <c r="Q61" i="5"/>
  <c r="Q100" i="5"/>
  <c r="Q25" i="5"/>
  <c r="Q74" i="5"/>
  <c r="Q76" i="5"/>
  <c r="Q54" i="5"/>
  <c r="Q56" i="5"/>
  <c r="Q67" i="5"/>
  <c r="Q44" i="5"/>
  <c r="Q46" i="5"/>
  <c r="Q29" i="5"/>
  <c r="Q122" i="17" s="1"/>
  <c r="Q13" i="5"/>
  <c r="Q121" i="17" s="1"/>
  <c r="Q81" i="5"/>
  <c r="Q102" i="5"/>
  <c r="Q6" i="5" s="1"/>
  <c r="Q89" i="5"/>
  <c r="Q5" i="5" s="1"/>
  <c r="Q182" i="9" s="1"/>
  <c r="Q32" i="5"/>
  <c r="Q123" i="17" s="1"/>
  <c r="R38" i="3"/>
  <c r="R59" i="3"/>
  <c r="R22" i="3"/>
  <c r="R21" i="3"/>
  <c r="R53" i="3"/>
  <c r="R50" i="3"/>
  <c r="R74" i="3"/>
  <c r="R79" i="3"/>
  <c r="R60" i="3"/>
  <c r="R52" i="3"/>
  <c r="R19" i="3"/>
  <c r="R69" i="3"/>
  <c r="R43" i="3"/>
  <c r="R44" i="3"/>
  <c r="R82" i="3"/>
  <c r="R47" i="3"/>
  <c r="R78" i="3"/>
  <c r="R81" i="3"/>
  <c r="R36" i="3"/>
  <c r="R73" i="3"/>
  <c r="R64" i="3"/>
  <c r="R20" i="3"/>
  <c r="R54" i="3"/>
  <c r="R55" i="3"/>
  <c r="R45" i="3"/>
  <c r="R27" i="3"/>
  <c r="R18" i="3"/>
  <c r="R40" i="3"/>
  <c r="R80" i="3"/>
  <c r="R70" i="3"/>
  <c r="R56" i="3"/>
  <c r="R61" i="3"/>
  <c r="R23" i="3"/>
  <c r="R16" i="3"/>
  <c r="R41" i="3"/>
  <c r="R35" i="3"/>
  <c r="R57" i="3"/>
  <c r="R71" i="3"/>
  <c r="R62" i="3"/>
  <c r="R29" i="3"/>
  <c r="R67" i="3"/>
  <c r="R77" i="3"/>
  <c r="R75" i="3"/>
  <c r="R101" i="3"/>
  <c r="R68" i="3"/>
  <c r="R76" i="3"/>
  <c r="R48" i="3"/>
  <c r="R24" i="3"/>
  <c r="R39" i="3"/>
  <c r="R97" i="3"/>
  <c r="R42" i="3"/>
  <c r="R17" i="3"/>
  <c r="R28" i="3"/>
  <c r="R37" i="3"/>
  <c r="R66" i="3"/>
  <c r="R51" i="3"/>
  <c r="R65" i="3"/>
  <c r="R63" i="3"/>
  <c r="R58" i="3"/>
  <c r="R25" i="3"/>
  <c r="R26" i="3"/>
  <c r="R46" i="3"/>
  <c r="R84" i="3"/>
  <c r="R72" i="17" s="1"/>
  <c r="R49" i="3"/>
  <c r="R100" i="3"/>
  <c r="R138" i="16" s="1"/>
  <c r="R72" i="3"/>
  <c r="R96" i="3"/>
  <c r="R15" i="3"/>
  <c r="R31" i="3"/>
  <c r="R34" i="3"/>
  <c r="Q157" i="9"/>
  <c r="Q75" i="9"/>
  <c r="Q58" i="9"/>
  <c r="Q94" i="9"/>
  <c r="Q130" i="9"/>
  <c r="Q20" i="9"/>
  <c r="Q154" i="9"/>
  <c r="Q56" i="9"/>
  <c r="Q153" i="9"/>
  <c r="Q71" i="9"/>
  <c r="Q116" i="9"/>
  <c r="Q85" i="9"/>
  <c r="Q54" i="9"/>
  <c r="Q98" i="9"/>
  <c r="Q23" i="9"/>
  <c r="Q112" i="9"/>
  <c r="Q16" i="9"/>
  <c r="Q19" i="9"/>
  <c r="Q140" i="9"/>
  <c r="Q21" i="9"/>
  <c r="Q123" i="9"/>
  <c r="Q66" i="9"/>
  <c r="Q165" i="9"/>
  <c r="Q79" i="9"/>
  <c r="Q69" i="9"/>
  <c r="Q121" i="9"/>
  <c r="Q107" i="9"/>
  <c r="Q113" i="9"/>
  <c r="Q51" i="9"/>
  <c r="Q163" i="9"/>
  <c r="Q27" i="9"/>
  <c r="Q102" i="9"/>
  <c r="Q108" i="9"/>
  <c r="Q117" i="9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146" i="9"/>
  <c r="P38" i="9"/>
  <c r="P10" i="7"/>
  <c r="P10" i="2"/>
  <c r="P15" i="9"/>
  <c r="P44" i="9"/>
  <c r="P10" i="5"/>
  <c r="P82" i="5" s="1"/>
  <c r="P107" i="9"/>
  <c r="P64" i="9"/>
  <c r="P10" i="3"/>
  <c r="P98" i="3" s="1"/>
  <c r="S29" i="11"/>
  <c r="P130" i="9"/>
  <c r="P26" i="9"/>
  <c r="R68" i="10"/>
  <c r="P14" i="10"/>
  <c r="R102" i="4"/>
  <c r="R6" i="4" s="1"/>
  <c r="P147" i="9"/>
  <c r="P124" i="9"/>
  <c r="P143" i="9"/>
  <c r="P81" i="10"/>
  <c r="P30" i="9"/>
  <c r="P85" i="9"/>
  <c r="P41" i="9"/>
  <c r="P71" i="10"/>
  <c r="P78" i="10"/>
  <c r="P89" i="9"/>
  <c r="P69" i="10"/>
  <c r="P151" i="9"/>
  <c r="P53" i="9"/>
  <c r="P86" i="9"/>
  <c r="R89" i="6"/>
  <c r="R5" i="6" s="1"/>
  <c r="R183" i="9" s="1"/>
  <c r="P51" i="9"/>
  <c r="P110" i="9"/>
  <c r="P139" i="9"/>
  <c r="R164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166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161" i="9"/>
  <c r="R165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162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163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60" i="9"/>
  <c r="R132" i="9"/>
  <c r="R55" i="9"/>
  <c r="R115" i="9"/>
  <c r="R117" i="9"/>
  <c r="R67" i="9"/>
  <c r="R112" i="9"/>
  <c r="P70" i="9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P60" i="10"/>
  <c r="R14" i="10"/>
  <c r="P19" i="10"/>
  <c r="P89" i="10"/>
  <c r="P160" i="9"/>
  <c r="P26" i="10"/>
  <c r="P20" i="9"/>
  <c r="R48" i="10"/>
  <c r="R47" i="10" s="1"/>
  <c r="P87" i="10"/>
  <c r="S30" i="11"/>
  <c r="R77" i="10"/>
  <c r="P101" i="9"/>
  <c r="P94" i="9"/>
  <c r="P42" i="9"/>
  <c r="P61" i="9"/>
  <c r="P55" i="9"/>
  <c r="P76" i="9"/>
  <c r="P150" i="9"/>
  <c r="P154" i="9"/>
  <c r="P140" i="9"/>
  <c r="P57" i="9"/>
  <c r="P141" i="9"/>
  <c r="P71" i="9"/>
  <c r="P34" i="9"/>
  <c r="P40" i="9"/>
  <c r="P78" i="9"/>
  <c r="P137" i="9"/>
  <c r="P125" i="9"/>
  <c r="P75" i="9"/>
  <c r="P138" i="9"/>
  <c r="P113" i="9"/>
  <c r="P48" i="9"/>
  <c r="P127" i="9"/>
  <c r="P157" i="9"/>
  <c r="P95" i="9"/>
  <c r="P73" i="9"/>
  <c r="P67" i="9"/>
  <c r="P63" i="9"/>
  <c r="P165" i="9"/>
  <c r="P132" i="9"/>
  <c r="P99" i="9"/>
  <c r="P162" i="9"/>
  <c r="P155" i="9"/>
  <c r="P100" i="9"/>
  <c r="P36" i="9"/>
  <c r="P72" i="9"/>
  <c r="P66" i="9"/>
  <c r="P93" i="9"/>
  <c r="P115" i="9"/>
  <c r="P33" i="9"/>
  <c r="P59" i="9"/>
  <c r="P126" i="9"/>
  <c r="P158" i="9"/>
  <c r="P109" i="9"/>
  <c r="P19" i="9"/>
  <c r="P56" i="9"/>
  <c r="P54" i="9"/>
  <c r="P122" i="9"/>
  <c r="P148" i="9"/>
  <c r="P87" i="9"/>
  <c r="P142" i="9"/>
  <c r="P163" i="9"/>
  <c r="P131" i="9"/>
  <c r="P45" i="9"/>
  <c r="P152" i="9"/>
  <c r="P49" i="9"/>
  <c r="P92" i="9"/>
  <c r="P47" i="9"/>
  <c r="P39" i="9"/>
  <c r="P90" i="9"/>
  <c r="P121" i="9"/>
  <c r="P111" i="9"/>
  <c r="P21" i="9"/>
  <c r="P27" i="9"/>
  <c r="P16" i="9"/>
  <c r="P65" i="9"/>
  <c r="P37" i="9"/>
  <c r="P149" i="9"/>
  <c r="P77" i="9"/>
  <c r="P91" i="9"/>
  <c r="P23" i="9"/>
  <c r="P164" i="9"/>
  <c r="P102" i="9"/>
  <c r="P68" i="9"/>
  <c r="P156" i="9"/>
  <c r="P103" i="9"/>
  <c r="P62" i="9"/>
  <c r="P52" i="9"/>
  <c r="P46" i="9"/>
  <c r="P136" i="9"/>
  <c r="P97" i="9"/>
  <c r="P133" i="9"/>
  <c r="P74" i="9"/>
  <c r="P79" i="9"/>
  <c r="P108" i="9"/>
  <c r="P159" i="9"/>
  <c r="P25" i="9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P166" i="9"/>
  <c r="P116" i="9"/>
  <c r="P96" i="9"/>
  <c r="P22" i="9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P21" i="10"/>
  <c r="P91" i="10"/>
  <c r="P86" i="10"/>
  <c r="P61" i="10"/>
  <c r="P92" i="10"/>
  <c r="P63" i="10"/>
  <c r="P74" i="10"/>
  <c r="P59" i="10"/>
  <c r="P64" i="10"/>
  <c r="P32" i="10"/>
  <c r="P58" i="10"/>
  <c r="P66" i="10"/>
  <c r="P20" i="10"/>
  <c r="P54" i="10"/>
  <c r="P65" i="10"/>
  <c r="P29" i="10"/>
  <c r="P94" i="10"/>
  <c r="P84" i="10"/>
  <c r="P55" i="10"/>
  <c r="P23" i="10"/>
  <c r="P24" i="10"/>
  <c r="P16" i="10"/>
  <c r="P77" i="10"/>
  <c r="P88" i="10"/>
  <c r="P37" i="10"/>
  <c r="P36" i="10"/>
  <c r="P82" i="10"/>
  <c r="P93" i="10"/>
  <c r="P79" i="10"/>
  <c r="P85" i="10"/>
  <c r="P95" i="10"/>
  <c r="S95" i="10" s="1"/>
  <c r="V95" i="10" s="1"/>
  <c r="P90" i="10"/>
  <c r="P43" i="10"/>
  <c r="P83" i="10"/>
  <c r="P45" i="10"/>
  <c r="P27" i="10"/>
  <c r="P31" i="10"/>
  <c r="P53" i="10"/>
  <c r="P56" i="10"/>
  <c r="P62" i="10"/>
  <c r="P49" i="10"/>
  <c r="P35" i="10"/>
  <c r="P52" i="10"/>
  <c r="P34" i="10"/>
  <c r="P28" i="10"/>
  <c r="P75" i="10"/>
  <c r="P18" i="10"/>
  <c r="P22" i="10"/>
  <c r="P17" i="10"/>
  <c r="P68" i="10"/>
  <c r="P41" i="10"/>
  <c r="P73" i="10"/>
  <c r="P33" i="10"/>
  <c r="P38" i="10"/>
  <c r="Q10" i="6"/>
  <c r="P83" i="9"/>
  <c r="P98" i="9"/>
  <c r="Q14" i="10"/>
  <c r="P84" i="9"/>
  <c r="P104" i="9"/>
  <c r="P123" i="9"/>
  <c r="P46" i="10"/>
  <c r="P58" i="9"/>
  <c r="P114" i="9"/>
  <c r="P153" i="9"/>
  <c r="P70" i="10"/>
  <c r="P60" i="9"/>
  <c r="P112" i="9"/>
  <c r="P69" i="9"/>
  <c r="P18" i="9"/>
  <c r="P17" i="9"/>
  <c r="P20" i="15"/>
  <c r="P16" i="15"/>
  <c r="P18" i="15"/>
  <c r="P15" i="15"/>
  <c r="P19" i="15"/>
  <c r="R15" i="15"/>
  <c r="R16" i="15"/>
  <c r="R20" i="15"/>
  <c r="R17" i="15"/>
  <c r="R18" i="15"/>
  <c r="R21" i="15"/>
  <c r="R14" i="15"/>
  <c r="R19" i="15"/>
  <c r="R13" i="15"/>
  <c r="S22" i="10" l="1"/>
  <c r="V22" i="10" s="1"/>
  <c r="S61" i="10"/>
  <c r="V61" i="10" s="1"/>
  <c r="R24" i="17"/>
  <c r="R28" i="16"/>
  <c r="S131" i="9"/>
  <c r="V131" i="9" s="1"/>
  <c r="P40" i="6"/>
  <c r="R34" i="6"/>
  <c r="Q30" i="9"/>
  <c r="S30" i="9" s="1"/>
  <c r="Q149" i="9"/>
  <c r="Q67" i="9"/>
  <c r="Q64" i="9"/>
  <c r="Q125" i="9"/>
  <c r="S125" i="9" s="1"/>
  <c r="T125" i="9" s="1"/>
  <c r="Q142" i="9"/>
  <c r="Q143" i="9"/>
  <c r="Q47" i="9"/>
  <c r="Q89" i="9"/>
  <c r="Q17" i="9"/>
  <c r="Q15" i="9"/>
  <c r="Q99" i="9"/>
  <c r="Q59" i="9"/>
  <c r="S59" i="9" s="1"/>
  <c r="V59" i="9" s="1"/>
  <c r="Q46" i="9"/>
  <c r="Q126" i="9"/>
  <c r="Q86" i="9"/>
  <c r="Q42" i="9"/>
  <c r="S42" i="9" s="1"/>
  <c r="V42" i="9" s="1"/>
  <c r="Q25" i="9"/>
  <c r="Q78" i="9"/>
  <c r="Q44" i="9"/>
  <c r="Q65" i="9"/>
  <c r="S65" i="9" s="1"/>
  <c r="V65" i="9" s="1"/>
  <c r="Q33" i="9"/>
  <c r="Q103" i="9"/>
  <c r="Q90" i="9"/>
  <c r="Q41" i="9"/>
  <c r="S41" i="9" s="1"/>
  <c r="V41" i="9" s="1"/>
  <c r="Q18" i="9"/>
  <c r="Q146" i="9"/>
  <c r="Q141" i="9"/>
  <c r="Q37" i="9"/>
  <c r="S37" i="9" s="1"/>
  <c r="V37" i="9" s="1"/>
  <c r="Q26" i="9"/>
  <c r="Q61" i="9"/>
  <c r="Q87" i="9"/>
  <c r="Q49" i="9"/>
  <c r="S49" i="9" s="1"/>
  <c r="V49" i="9" s="1"/>
  <c r="S123" i="9"/>
  <c r="V123" i="9" s="1"/>
  <c r="S33" i="9"/>
  <c r="V33" i="9" s="1"/>
  <c r="Q10" i="4"/>
  <c r="Q10" i="2"/>
  <c r="Q93" i="2" s="1"/>
  <c r="P78" i="6"/>
  <c r="Q70" i="9"/>
  <c r="Q60" i="9"/>
  <c r="Q73" i="9"/>
  <c r="Q43" i="9"/>
  <c r="Q96" i="9"/>
  <c r="Q57" i="9"/>
  <c r="Q88" i="9"/>
  <c r="S88" i="9" s="1"/>
  <c r="V88" i="9" s="1"/>
  <c r="Q93" i="9"/>
  <c r="Q109" i="9"/>
  <c r="Q74" i="9"/>
  <c r="Q166" i="9"/>
  <c r="S166" i="9" s="1"/>
  <c r="V166" i="9" s="1"/>
  <c r="Q152" i="9"/>
  <c r="Q150" i="9"/>
  <c r="Q34" i="9"/>
  <c r="Q127" i="9"/>
  <c r="Q122" i="9"/>
  <c r="Q101" i="9"/>
  <c r="Q38" i="9"/>
  <c r="Q52" i="9"/>
  <c r="S52" i="9" s="1"/>
  <c r="V52" i="9" s="1"/>
  <c r="Q35" i="9"/>
  <c r="Q40" i="9"/>
  <c r="Q53" i="9"/>
  <c r="Q136" i="9"/>
  <c r="S136" i="9" s="1"/>
  <c r="V136" i="9" s="1"/>
  <c r="Q76" i="9"/>
  <c r="Q133" i="9"/>
  <c r="Q115" i="9"/>
  <c r="Q111" i="9"/>
  <c r="S111" i="9" s="1"/>
  <c r="V111" i="9" s="1"/>
  <c r="Q97" i="9"/>
  <c r="Q55" i="9"/>
  <c r="Q137" i="9"/>
  <c r="Q159" i="9"/>
  <c r="S159" i="9" s="1"/>
  <c r="V159" i="9" s="1"/>
  <c r="Q95" i="9"/>
  <c r="Q139" i="9"/>
  <c r="P24" i="17"/>
  <c r="P28" i="16"/>
  <c r="S94" i="10"/>
  <c r="V94" i="10" s="1"/>
  <c r="Q161" i="9"/>
  <c r="Q84" i="9"/>
  <c r="Q36" i="9"/>
  <c r="S36" i="9" s="1"/>
  <c r="V36" i="9" s="1"/>
  <c r="Q92" i="9"/>
  <c r="Q158" i="9"/>
  <c r="Q100" i="9"/>
  <c r="Q148" i="9"/>
  <c r="S148" i="9" s="1"/>
  <c r="V148" i="9" s="1"/>
  <c r="Q72" i="9"/>
  <c r="Q114" i="9"/>
  <c r="Q83" i="9"/>
  <c r="Q91" i="9"/>
  <c r="S91" i="9" s="1"/>
  <c r="V91" i="9" s="1"/>
  <c r="Q50" i="9"/>
  <c r="Q62" i="9"/>
  <c r="Q164" i="9"/>
  <c r="Q48" i="9"/>
  <c r="S48" i="9" s="1"/>
  <c r="V48" i="9" s="1"/>
  <c r="Q22" i="9"/>
  <c r="Q162" i="9"/>
  <c r="Q160" i="9"/>
  <c r="Q63" i="9"/>
  <c r="S63" i="9" s="1"/>
  <c r="V63" i="9" s="1"/>
  <c r="Q155" i="9"/>
  <c r="Q45" i="9"/>
  <c r="Q138" i="9"/>
  <c r="Q118" i="9"/>
  <c r="Q68" i="9"/>
  <c r="Q131" i="9"/>
  <c r="Q104" i="9"/>
  <c r="Q147" i="9"/>
  <c r="S147" i="9" s="1"/>
  <c r="V147" i="9" s="1"/>
  <c r="Q77" i="9"/>
  <c r="S77" i="9" s="1"/>
  <c r="V77" i="9" s="1"/>
  <c r="Q156" i="9"/>
  <c r="Q124" i="9"/>
  <c r="Q39" i="9"/>
  <c r="S39" i="9" s="1"/>
  <c r="V39" i="9" s="1"/>
  <c r="Q132" i="9"/>
  <c r="Q151" i="9"/>
  <c r="Q52" i="3"/>
  <c r="Q98" i="3"/>
  <c r="S98" i="3" s="1"/>
  <c r="V98" i="3" s="1"/>
  <c r="S82" i="5"/>
  <c r="V82" i="5" s="1"/>
  <c r="R100" i="17"/>
  <c r="R104" i="15"/>
  <c r="R105" i="17"/>
  <c r="R31" i="16"/>
  <c r="R92" i="15"/>
  <c r="R99" i="17"/>
  <c r="R78" i="17"/>
  <c r="R30" i="16"/>
  <c r="P85" i="3"/>
  <c r="P94" i="3"/>
  <c r="P93" i="3"/>
  <c r="R103" i="15"/>
  <c r="R73" i="17"/>
  <c r="R76" i="17" s="1"/>
  <c r="R124" i="16"/>
  <c r="R32" i="17"/>
  <c r="Q67" i="10"/>
  <c r="Q76" i="16" s="1"/>
  <c r="Q84" i="16" s="1"/>
  <c r="S28" i="10"/>
  <c r="V28" i="10" s="1"/>
  <c r="S29" i="10"/>
  <c r="P124" i="16"/>
  <c r="P32" i="17"/>
  <c r="Q24" i="3"/>
  <c r="S164" i="9"/>
  <c r="V164" i="9" s="1"/>
  <c r="S72" i="9"/>
  <c r="Q50" i="3"/>
  <c r="Q124" i="16"/>
  <c r="Q32" i="17"/>
  <c r="Q85" i="3"/>
  <c r="Q94" i="3"/>
  <c r="Q93" i="3"/>
  <c r="Q24" i="17"/>
  <c r="Q28" i="16"/>
  <c r="S13" i="10"/>
  <c r="Q15" i="16"/>
  <c r="Q19" i="16"/>
  <c r="Q17" i="16"/>
  <c r="Q14" i="16"/>
  <c r="Q18" i="16"/>
  <c r="Q13" i="16"/>
  <c r="Q16" i="16"/>
  <c r="R127" i="17"/>
  <c r="R105" i="15"/>
  <c r="Q105" i="15"/>
  <c r="Q127" i="17"/>
  <c r="Q87" i="7"/>
  <c r="Q88" i="7"/>
  <c r="Q86" i="7"/>
  <c r="P88" i="7"/>
  <c r="P87" i="7"/>
  <c r="P86" i="7"/>
  <c r="R87" i="7"/>
  <c r="R88" i="7"/>
  <c r="R86" i="7"/>
  <c r="Q84" i="7"/>
  <c r="Q85" i="7"/>
  <c r="Q83" i="7"/>
  <c r="Q94" i="7"/>
  <c r="Q93" i="7"/>
  <c r="P84" i="7"/>
  <c r="P94" i="7"/>
  <c r="P85" i="7"/>
  <c r="P83" i="7"/>
  <c r="P93" i="7"/>
  <c r="R94" i="7"/>
  <c r="R85" i="7"/>
  <c r="R84" i="7"/>
  <c r="R83" i="7"/>
  <c r="R93" i="7"/>
  <c r="R25" i="6"/>
  <c r="R16" i="6"/>
  <c r="R33" i="6"/>
  <c r="P53" i="6"/>
  <c r="P30" i="6"/>
  <c r="R46" i="6"/>
  <c r="R17" i="6"/>
  <c r="P73" i="6"/>
  <c r="R54" i="6"/>
  <c r="R76" i="6"/>
  <c r="P34" i="6"/>
  <c r="R42" i="6"/>
  <c r="P96" i="6"/>
  <c r="P65" i="6"/>
  <c r="P52" i="6"/>
  <c r="P27" i="6"/>
  <c r="P72" i="6"/>
  <c r="P101" i="6"/>
  <c r="P167" i="17" s="1"/>
  <c r="R48" i="6"/>
  <c r="R65" i="6"/>
  <c r="R70" i="6"/>
  <c r="R55" i="6"/>
  <c r="P41" i="6"/>
  <c r="P80" i="6"/>
  <c r="R102" i="6"/>
  <c r="R6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29" i="6"/>
  <c r="R149" i="17" s="1"/>
  <c r="P74" i="6"/>
  <c r="R13" i="6"/>
  <c r="R148" i="17" s="1"/>
  <c r="R23" i="6"/>
  <c r="R18" i="6"/>
  <c r="R100" i="6"/>
  <c r="R141" i="16" s="1"/>
  <c r="R45" i="6"/>
  <c r="P13" i="6"/>
  <c r="P148" i="17" s="1"/>
  <c r="P66" i="6"/>
  <c r="P42" i="6"/>
  <c r="P35" i="6"/>
  <c r="Q88" i="6"/>
  <c r="Q87" i="6"/>
  <c r="Q84" i="6"/>
  <c r="Q82" i="6"/>
  <c r="Q85" i="6"/>
  <c r="Q83" i="6"/>
  <c r="Q86" i="6"/>
  <c r="P67" i="6"/>
  <c r="P37" i="6"/>
  <c r="P71" i="6"/>
  <c r="P20" i="6"/>
  <c r="P26" i="6"/>
  <c r="P44" i="6"/>
  <c r="R59" i="6"/>
  <c r="R95" i="6"/>
  <c r="R31" i="6"/>
  <c r="R66" i="6"/>
  <c r="R19" i="6"/>
  <c r="R37" i="6"/>
  <c r="R20" i="6"/>
  <c r="R99" i="6"/>
  <c r="R51" i="6"/>
  <c r="R38" i="6"/>
  <c r="R69" i="6"/>
  <c r="R97" i="6"/>
  <c r="R64" i="6"/>
  <c r="R43" i="6"/>
  <c r="R74" i="6"/>
  <c r="R77" i="6"/>
  <c r="R21" i="6"/>
  <c r="R44" i="6"/>
  <c r="R57" i="6"/>
  <c r="P97" i="6"/>
  <c r="P39" i="6"/>
  <c r="P99" i="6"/>
  <c r="P23" i="6"/>
  <c r="P36" i="6"/>
  <c r="P16" i="6"/>
  <c r="P89" i="6"/>
  <c r="P5" i="6" s="1"/>
  <c r="P183" i="9" s="1"/>
  <c r="P19" i="6"/>
  <c r="P100" i="6"/>
  <c r="P57" i="6"/>
  <c r="P14" i="6"/>
  <c r="P29" i="6"/>
  <c r="P149" i="17" s="1"/>
  <c r="P50" i="6"/>
  <c r="P61" i="6"/>
  <c r="P25" i="6"/>
  <c r="P54" i="6"/>
  <c r="P24" i="6"/>
  <c r="P60" i="6"/>
  <c r="P94" i="6"/>
  <c r="R32" i="6"/>
  <c r="R150" i="17" s="1"/>
  <c r="R78" i="6"/>
  <c r="R71" i="6"/>
  <c r="R27" i="6"/>
  <c r="R75" i="6"/>
  <c r="R40" i="6"/>
  <c r="R24" i="6"/>
  <c r="R50" i="6"/>
  <c r="R41" i="6"/>
  <c r="R22" i="6"/>
  <c r="R94" i="6"/>
  <c r="R35" i="6"/>
  <c r="R98" i="6"/>
  <c r="R30" i="6"/>
  <c r="R61" i="6"/>
  <c r="R47" i="6"/>
  <c r="R81" i="6"/>
  <c r="R93" i="6"/>
  <c r="R67" i="6"/>
  <c r="P102" i="6"/>
  <c r="P6" i="6" s="1"/>
  <c r="P22" i="6"/>
  <c r="P21" i="6"/>
  <c r="P69" i="6"/>
  <c r="P45" i="6"/>
  <c r="P95" i="6"/>
  <c r="P32" i="6"/>
  <c r="P150" i="17" s="1"/>
  <c r="P58" i="6"/>
  <c r="P17" i="6"/>
  <c r="P49" i="6"/>
  <c r="P28" i="6"/>
  <c r="P98" i="6"/>
  <c r="P51" i="6"/>
  <c r="P38" i="6"/>
  <c r="P64" i="6"/>
  <c r="P47" i="6"/>
  <c r="P79" i="6"/>
  <c r="P43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36" i="6"/>
  <c r="R26" i="6"/>
  <c r="R39" i="6"/>
  <c r="R56" i="6"/>
  <c r="P33" i="6"/>
  <c r="P63" i="6"/>
  <c r="P59" i="6"/>
  <c r="P56" i="6"/>
  <c r="P77" i="6"/>
  <c r="P62" i="6"/>
  <c r="P55" i="6"/>
  <c r="P81" i="6"/>
  <c r="P18" i="6"/>
  <c r="P93" i="6"/>
  <c r="P48" i="6"/>
  <c r="P46" i="6"/>
  <c r="P70" i="6"/>
  <c r="P31" i="6"/>
  <c r="R93" i="15"/>
  <c r="R126" i="17"/>
  <c r="Q93" i="15"/>
  <c r="Q126" i="17"/>
  <c r="P88" i="5"/>
  <c r="S88" i="5" s="1"/>
  <c r="V88" i="5" s="1"/>
  <c r="P87" i="5"/>
  <c r="S87" i="5" s="1"/>
  <c r="V87" i="5" s="1"/>
  <c r="P86" i="5"/>
  <c r="P85" i="5"/>
  <c r="S85" i="5" s="1"/>
  <c r="V85" i="5" s="1"/>
  <c r="P84" i="5"/>
  <c r="S84" i="5" s="1"/>
  <c r="P83" i="5"/>
  <c r="R32" i="16"/>
  <c r="R132" i="17"/>
  <c r="R140" i="17"/>
  <c r="R139" i="17" s="1"/>
  <c r="R128" i="16"/>
  <c r="R116" i="16" s="1"/>
  <c r="Q140" i="17"/>
  <c r="Q139" i="17" s="1"/>
  <c r="Q128" i="16"/>
  <c r="Q116" i="16" s="1"/>
  <c r="R141" i="15"/>
  <c r="R140" i="16"/>
  <c r="R135" i="17"/>
  <c r="R68" i="16"/>
  <c r="Q141" i="15"/>
  <c r="Q140" i="16"/>
  <c r="Q135" i="17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P85" i="4"/>
  <c r="P86" i="4"/>
  <c r="P88" i="4"/>
  <c r="P83" i="4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R48" i="2"/>
  <c r="R94" i="2"/>
  <c r="R93" i="2"/>
  <c r="P94" i="2"/>
  <c r="P93" i="2"/>
  <c r="R42" i="17"/>
  <c r="R29" i="2"/>
  <c r="R41" i="17" s="1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87" i="2"/>
  <c r="R13" i="2"/>
  <c r="R40" i="17" s="1"/>
  <c r="R87" i="2"/>
  <c r="R84" i="2"/>
  <c r="R83" i="2"/>
  <c r="R86" i="2"/>
  <c r="P13" i="2"/>
  <c r="P84" i="2"/>
  <c r="P87" i="2"/>
  <c r="P86" i="2"/>
  <c r="P102" i="15" s="1"/>
  <c r="P83" i="2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9" i="17" s="1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S109" i="9"/>
  <c r="V109" i="9" s="1"/>
  <c r="S122" i="9"/>
  <c r="T122" i="9" s="1"/>
  <c r="S156" i="9"/>
  <c r="V156" i="9" s="1"/>
  <c r="S158" i="9"/>
  <c r="V158" i="9" s="1"/>
  <c r="S99" i="9"/>
  <c r="V99" i="9" s="1"/>
  <c r="S78" i="9"/>
  <c r="T78" i="9" s="1"/>
  <c r="S47" i="9"/>
  <c r="V47" i="9" s="1"/>
  <c r="S56" i="9"/>
  <c r="V56" i="9" s="1"/>
  <c r="S126" i="9"/>
  <c r="V126" i="9" s="1"/>
  <c r="R67" i="16"/>
  <c r="R108" i="17"/>
  <c r="R103" i="17"/>
  <c r="R113" i="17"/>
  <c r="R112" i="17" s="1"/>
  <c r="R127" i="16"/>
  <c r="R115" i="16" s="1"/>
  <c r="E41" i="11"/>
  <c r="M37" i="11"/>
  <c r="R140" i="15"/>
  <c r="R139" i="16"/>
  <c r="T32" i="11"/>
  <c r="S15" i="10"/>
  <c r="T15" i="10" s="1"/>
  <c r="S17" i="10"/>
  <c r="V17" i="10" s="1"/>
  <c r="S79" i="10"/>
  <c r="V79" i="10" s="1"/>
  <c r="S24" i="10"/>
  <c r="V24" i="10" s="1"/>
  <c r="S64" i="10"/>
  <c r="V64" i="10" s="1"/>
  <c r="S21" i="10"/>
  <c r="V21" i="10" s="1"/>
  <c r="Q72" i="10"/>
  <c r="S74" i="10"/>
  <c r="V74" i="10" s="1"/>
  <c r="S69" i="9"/>
  <c r="V69" i="9" s="1"/>
  <c r="S18" i="9"/>
  <c r="S112" i="9"/>
  <c r="V112" i="9" s="1"/>
  <c r="S84" i="9"/>
  <c r="V84" i="9" s="1"/>
  <c r="S34" i="10"/>
  <c r="V34" i="10" s="1"/>
  <c r="S62" i="10"/>
  <c r="V62" i="10" s="1"/>
  <c r="S27" i="10"/>
  <c r="S23" i="10"/>
  <c r="V23" i="10" s="1"/>
  <c r="S59" i="10"/>
  <c r="S44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S25" i="9"/>
  <c r="S23" i="9"/>
  <c r="S21" i="9"/>
  <c r="V21" i="9" s="1"/>
  <c r="S142" i="9"/>
  <c r="V142" i="9" s="1"/>
  <c r="S54" i="9"/>
  <c r="Q100" i="3"/>
  <c r="S70" i="10"/>
  <c r="V70" i="10" s="1"/>
  <c r="S104" i="9"/>
  <c r="V104" i="9" s="1"/>
  <c r="S54" i="10"/>
  <c r="V54" i="10" s="1"/>
  <c r="S32" i="10"/>
  <c r="V32" i="10" s="1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S108" i="9"/>
  <c r="V108" i="9" s="1"/>
  <c r="S62" i="9"/>
  <c r="V62" i="9" s="1"/>
  <c r="S16" i="9"/>
  <c r="T16" i="9" s="1"/>
  <c r="S121" i="9"/>
  <c r="V121" i="9" s="1"/>
  <c r="S92" i="9"/>
  <c r="S19" i="9"/>
  <c r="T19" i="9" s="1"/>
  <c r="S66" i="9"/>
  <c r="V66" i="9" s="1"/>
  <c r="S155" i="9"/>
  <c r="V155" i="9" s="1"/>
  <c r="S165" i="9"/>
  <c r="V165" i="9" s="1"/>
  <c r="S140" i="9"/>
  <c r="V140" i="9" s="1"/>
  <c r="Q31" i="3"/>
  <c r="S153" i="9"/>
  <c r="V153" i="9" s="1"/>
  <c r="S98" i="9"/>
  <c r="V98" i="9" s="1"/>
  <c r="S33" i="10"/>
  <c r="V33" i="10" s="1"/>
  <c r="S49" i="10"/>
  <c r="V49" i="10" s="1"/>
  <c r="S37" i="10"/>
  <c r="V37" i="10" s="1"/>
  <c r="S20" i="10"/>
  <c r="V20" i="10" s="1"/>
  <c r="S92" i="10"/>
  <c r="V92" i="10" s="1"/>
  <c r="Q25" i="10"/>
  <c r="Q50" i="10"/>
  <c r="S116" i="9"/>
  <c r="V116" i="9" s="1"/>
  <c r="Q75" i="3"/>
  <c r="Q63" i="3"/>
  <c r="Q67" i="3"/>
  <c r="Q70" i="3"/>
  <c r="Q29" i="3"/>
  <c r="Q65" i="3"/>
  <c r="Q35" i="3"/>
  <c r="Q74" i="3"/>
  <c r="Q40" i="3"/>
  <c r="Q101" i="3"/>
  <c r="Q79" i="3"/>
  <c r="Q46" i="3"/>
  <c r="Q21" i="3"/>
  <c r="Q22" i="3"/>
  <c r="Q38" i="3"/>
  <c r="Q43" i="3"/>
  <c r="S79" i="9"/>
  <c r="V79" i="9" s="1"/>
  <c r="S27" i="9"/>
  <c r="T27" i="9" s="1"/>
  <c r="S157" i="9"/>
  <c r="V157" i="9" s="1"/>
  <c r="S137" i="9"/>
  <c r="V137" i="9" s="1"/>
  <c r="S71" i="9"/>
  <c r="V71" i="9" s="1"/>
  <c r="S154" i="9"/>
  <c r="V154" i="9" s="1"/>
  <c r="S85" i="10"/>
  <c r="V85" i="10" s="1"/>
  <c r="S96" i="9"/>
  <c r="V96" i="9" s="1"/>
  <c r="S97" i="9"/>
  <c r="V97" i="9" s="1"/>
  <c r="S102" i="9"/>
  <c r="V102" i="9" s="1"/>
  <c r="S95" i="9"/>
  <c r="V95" i="9" s="1"/>
  <c r="S113" i="9"/>
  <c r="V113" i="9" s="1"/>
  <c r="S34" i="9"/>
  <c r="T34" i="9" s="1"/>
  <c r="S55" i="9"/>
  <c r="V55" i="9" s="1"/>
  <c r="S101" i="9"/>
  <c r="V101" i="9" s="1"/>
  <c r="S89" i="10"/>
  <c r="V89" i="10" s="1"/>
  <c r="S35" i="9"/>
  <c r="V35" i="9" s="1"/>
  <c r="R50" i="10"/>
  <c r="S51" i="9"/>
  <c r="V51" i="9" s="1"/>
  <c r="S53" i="9"/>
  <c r="V53" i="9" s="1"/>
  <c r="S26" i="9"/>
  <c r="S146" i="9"/>
  <c r="V146" i="9" s="1"/>
  <c r="P30" i="3"/>
  <c r="P68" i="17" s="1"/>
  <c r="P33" i="3"/>
  <c r="P69" i="17" s="1"/>
  <c r="P95" i="3"/>
  <c r="P13" i="3"/>
  <c r="P67" i="17" s="1"/>
  <c r="P99" i="3"/>
  <c r="P102" i="3"/>
  <c r="S114" i="9"/>
  <c r="V114" i="9" s="1"/>
  <c r="S93" i="10"/>
  <c r="V93" i="10" s="1"/>
  <c r="S88" i="10"/>
  <c r="S66" i="10"/>
  <c r="Q42" i="10"/>
  <c r="Q39" i="10" s="1"/>
  <c r="S57" i="10"/>
  <c r="V57" i="10" s="1"/>
  <c r="S74" i="9"/>
  <c r="V74" i="9" s="1"/>
  <c r="S46" i="9"/>
  <c r="V46" i="9" s="1"/>
  <c r="S152" i="9"/>
  <c r="V152" i="9" s="1"/>
  <c r="S115" i="9"/>
  <c r="V115" i="9" s="1"/>
  <c r="S67" i="9"/>
  <c r="T67" i="9" s="1"/>
  <c r="S127" i="9"/>
  <c r="V127" i="9" s="1"/>
  <c r="S141" i="9"/>
  <c r="V141" i="9" s="1"/>
  <c r="S150" i="9"/>
  <c r="V150" i="9" s="1"/>
  <c r="S143" i="9"/>
  <c r="V143" i="9" s="1"/>
  <c r="S46" i="10"/>
  <c r="V46" i="10" s="1"/>
  <c r="S83" i="9"/>
  <c r="V83" i="9" s="1"/>
  <c r="S17" i="9"/>
  <c r="V17" i="9" s="1"/>
  <c r="S60" i="9"/>
  <c r="V60" i="9" s="1"/>
  <c r="S58" i="9"/>
  <c r="S56" i="10"/>
  <c r="V56" i="10" s="1"/>
  <c r="S82" i="10"/>
  <c r="V82" i="10" s="1"/>
  <c r="S65" i="10"/>
  <c r="S58" i="10"/>
  <c r="V58" i="10" s="1"/>
  <c r="S86" i="10"/>
  <c r="V86" i="10" s="1"/>
  <c r="S22" i="9"/>
  <c r="S133" i="9"/>
  <c r="V133" i="9" s="1"/>
  <c r="S93" i="9"/>
  <c r="S132" i="9"/>
  <c r="S40" i="9"/>
  <c r="V40" i="9" s="1"/>
  <c r="S57" i="9"/>
  <c r="V57" i="9" s="1"/>
  <c r="S76" i="9"/>
  <c r="V76" i="9" s="1"/>
  <c r="S20" i="9"/>
  <c r="V20" i="9" s="1"/>
  <c r="R187" i="9"/>
  <c r="R91" i="15"/>
  <c r="Q15" i="3"/>
  <c r="Q33" i="3"/>
  <c r="Q69" i="17" s="1"/>
  <c r="Q95" i="3"/>
  <c r="Q13" i="3"/>
  <c r="Q30" i="3"/>
  <c r="Q68" i="17" s="1"/>
  <c r="Q99" i="3"/>
  <c r="Q102" i="3"/>
  <c r="V33" i="11"/>
  <c r="V28" i="11"/>
  <c r="R139" i="15"/>
  <c r="V34" i="11"/>
  <c r="T34" i="11"/>
  <c r="R189" i="9"/>
  <c r="P72" i="10"/>
  <c r="S73" i="10"/>
  <c r="Q46" i="6"/>
  <c r="Q76" i="6"/>
  <c r="S76" i="6" s="1"/>
  <c r="V76" i="6" s="1"/>
  <c r="Q41" i="6"/>
  <c r="Q78" i="6"/>
  <c r="S78" i="6" s="1"/>
  <c r="V78" i="6" s="1"/>
  <c r="Q99" i="6"/>
  <c r="Q74" i="6"/>
  <c r="Q37" i="6"/>
  <c r="Q22" i="6"/>
  <c r="S22" i="6" s="1"/>
  <c r="V22" i="6" s="1"/>
  <c r="Q100" i="6"/>
  <c r="Q39" i="6"/>
  <c r="Q20" i="6"/>
  <c r="Q50" i="6"/>
  <c r="S50" i="6" s="1"/>
  <c r="V50" i="6" s="1"/>
  <c r="Q51" i="6"/>
  <c r="S51" i="6" s="1"/>
  <c r="V51" i="6" s="1"/>
  <c r="Q31" i="6"/>
  <c r="Q49" i="6"/>
  <c r="Q62" i="6"/>
  <c r="Q72" i="6"/>
  <c r="Q27" i="6"/>
  <c r="Q66" i="6"/>
  <c r="Q24" i="6"/>
  <c r="Q70" i="6"/>
  <c r="Q38" i="6"/>
  <c r="Q94" i="6"/>
  <c r="S94" i="6" s="1"/>
  <c r="V94" i="6" s="1"/>
  <c r="Q55" i="6"/>
  <c r="Q97" i="6"/>
  <c r="Q36" i="6"/>
  <c r="Q64" i="6"/>
  <c r="Q65" i="6"/>
  <c r="Q79" i="6"/>
  <c r="Q71" i="6"/>
  <c r="S71" i="6" s="1"/>
  <c r="Q95" i="6"/>
  <c r="Q18" i="6"/>
  <c r="Q43" i="6"/>
  <c r="Q30" i="6"/>
  <c r="Q19" i="6"/>
  <c r="Q56" i="6"/>
  <c r="Q98" i="6"/>
  <c r="Q57" i="6"/>
  <c r="Q35" i="6"/>
  <c r="Q63" i="6"/>
  <c r="S63" i="6" s="1"/>
  <c r="V63" i="6" s="1"/>
  <c r="Q25" i="6"/>
  <c r="S25" i="6" s="1"/>
  <c r="V25" i="6" s="1"/>
  <c r="Q23" i="6"/>
  <c r="Q28" i="6"/>
  <c r="Q58" i="6"/>
  <c r="Q101" i="6"/>
  <c r="Q17" i="6"/>
  <c r="Q96" i="6"/>
  <c r="S96" i="6" s="1"/>
  <c r="Q42" i="6"/>
  <c r="Q44" i="6"/>
  <c r="Q45" i="6"/>
  <c r="Q54" i="6"/>
  <c r="Q80" i="6"/>
  <c r="S80" i="6" s="1"/>
  <c r="Q93" i="6"/>
  <c r="Q34" i="6"/>
  <c r="Q40" i="6"/>
  <c r="Q69" i="6"/>
  <c r="S69" i="6" s="1"/>
  <c r="Q73" i="6"/>
  <c r="Q77" i="6"/>
  <c r="Q59" i="6"/>
  <c r="Q21" i="6"/>
  <c r="Q75" i="6"/>
  <c r="Q16" i="6"/>
  <c r="S16" i="6" s="1"/>
  <c r="V16" i="6" s="1"/>
  <c r="Q26" i="6"/>
  <c r="Q53" i="6"/>
  <c r="S53" i="6" s="1"/>
  <c r="V53" i="6" s="1"/>
  <c r="Q81" i="6"/>
  <c r="Q61" i="6"/>
  <c r="S61" i="6" s="1"/>
  <c r="V61" i="6" s="1"/>
  <c r="Q47" i="6"/>
  <c r="Q48" i="6"/>
  <c r="Q33" i="6"/>
  <c r="Q14" i="6"/>
  <c r="Q52" i="6"/>
  <c r="Q60" i="6"/>
  <c r="Q89" i="6"/>
  <c r="Q5" i="6" s="1"/>
  <c r="Q183" i="9" s="1"/>
  <c r="Q67" i="6"/>
  <c r="Q29" i="6"/>
  <c r="Q149" i="17" s="1"/>
  <c r="Q13" i="6"/>
  <c r="Q148" i="17" s="1"/>
  <c r="Q32" i="6"/>
  <c r="Q102" i="6"/>
  <c r="Q6" i="6" s="1"/>
  <c r="S18" i="10"/>
  <c r="S45" i="10"/>
  <c r="S38" i="10"/>
  <c r="V38" i="10" s="1"/>
  <c r="P67" i="10"/>
  <c r="S68" i="10"/>
  <c r="S75" i="10"/>
  <c r="S35" i="10"/>
  <c r="S53" i="10"/>
  <c r="S83" i="10"/>
  <c r="V83" i="10" s="1"/>
  <c r="S36" i="10"/>
  <c r="V36" i="10" s="1"/>
  <c r="S16" i="10"/>
  <c r="S84" i="10"/>
  <c r="V84" i="10" s="1"/>
  <c r="S63" i="10"/>
  <c r="S91" i="10"/>
  <c r="V91" i="10" s="1"/>
  <c r="Q73" i="7"/>
  <c r="Q78" i="7"/>
  <c r="Q35" i="7"/>
  <c r="Q95" i="7"/>
  <c r="Q67" i="7"/>
  <c r="Q65" i="7"/>
  <c r="Q43" i="7"/>
  <c r="Q69" i="7"/>
  <c r="Q36" i="7"/>
  <c r="Q98" i="7"/>
  <c r="Q44" i="7"/>
  <c r="Q82" i="7"/>
  <c r="Q19" i="7"/>
  <c r="Q33" i="7"/>
  <c r="Q76" i="7"/>
  <c r="Q52" i="7"/>
  <c r="Q49" i="7"/>
  <c r="Q48" i="7"/>
  <c r="Q97" i="7"/>
  <c r="Q80" i="7"/>
  <c r="Q77" i="7"/>
  <c r="Q66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71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S43" i="9"/>
  <c r="V43" i="9" s="1"/>
  <c r="R33" i="15"/>
  <c r="R216" i="9"/>
  <c r="S68" i="9"/>
  <c r="V68" i="9" s="1"/>
  <c r="S45" i="9"/>
  <c r="V45" i="9" s="1"/>
  <c r="S87" i="9"/>
  <c r="V87" i="9" s="1"/>
  <c r="T126" i="9"/>
  <c r="S100" i="9"/>
  <c r="V100" i="9" s="1"/>
  <c r="V132" i="9"/>
  <c r="T132" i="9"/>
  <c r="S73" i="9"/>
  <c r="V73" i="9" s="1"/>
  <c r="S94" i="9"/>
  <c r="V94" i="9" s="1"/>
  <c r="T30" i="11"/>
  <c r="V30" i="11"/>
  <c r="S160" i="9"/>
  <c r="V160" i="9" s="1"/>
  <c r="S60" i="10"/>
  <c r="V60" i="10" s="1"/>
  <c r="R80" i="10"/>
  <c r="R72" i="10"/>
  <c r="R30" i="10"/>
  <c r="S70" i="9"/>
  <c r="S110" i="9"/>
  <c r="V110" i="9" s="1"/>
  <c r="S86" i="9"/>
  <c r="V86" i="9" s="1"/>
  <c r="S69" i="10"/>
  <c r="S78" i="10"/>
  <c r="V78" i="10" s="1"/>
  <c r="S124" i="9"/>
  <c r="R67" i="10"/>
  <c r="V29" i="11"/>
  <c r="T29" i="11"/>
  <c r="S64" i="9"/>
  <c r="V64" i="9" s="1"/>
  <c r="S15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P25" i="2"/>
  <c r="P57" i="2"/>
  <c r="P41" i="2"/>
  <c r="P80" i="2"/>
  <c r="P66" i="2"/>
  <c r="P96" i="2"/>
  <c r="P67" i="2"/>
  <c r="P68" i="2"/>
  <c r="P89" i="2"/>
  <c r="P75" i="2"/>
  <c r="P26" i="2"/>
  <c r="P29" i="2"/>
  <c r="P41" i="17" s="1"/>
  <c r="P54" i="2"/>
  <c r="P70" i="2"/>
  <c r="P58" i="2"/>
  <c r="P101" i="2"/>
  <c r="P20" i="2"/>
  <c r="P23" i="2"/>
  <c r="P98" i="2"/>
  <c r="P72" i="2"/>
  <c r="P53" i="2"/>
  <c r="P36" i="2"/>
  <c r="P102" i="2"/>
  <c r="P63" i="2"/>
  <c r="P15" i="2"/>
  <c r="P73" i="2"/>
  <c r="P32" i="2"/>
  <c r="P42" i="17" s="1"/>
  <c r="P78" i="2"/>
  <c r="P46" i="2"/>
  <c r="P35" i="2"/>
  <c r="S117" i="9"/>
  <c r="S50" i="9"/>
  <c r="V50" i="9" s="1"/>
  <c r="P233" i="9"/>
  <c r="R6" i="3"/>
  <c r="Q232" i="9"/>
  <c r="Q57" i="15"/>
  <c r="Q216" i="9"/>
  <c r="Q33" i="15"/>
  <c r="T114" i="9"/>
  <c r="Q80" i="10"/>
  <c r="P25" i="10"/>
  <c r="S26" i="10"/>
  <c r="T26" i="10" s="1"/>
  <c r="S139" i="9"/>
  <c r="V139" i="9" s="1"/>
  <c r="S71" i="10"/>
  <c r="V71" i="10" s="1"/>
  <c r="P80" i="10"/>
  <c r="S81" i="10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S107" i="9"/>
  <c r="V107" i="9" s="1"/>
  <c r="Q76" i="2"/>
  <c r="Q19" i="2"/>
  <c r="Q33" i="2"/>
  <c r="Q73" i="2"/>
  <c r="Q101" i="2"/>
  <c r="Q95" i="2"/>
  <c r="Q99" i="2"/>
  <c r="Q81" i="2"/>
  <c r="Q52" i="2"/>
  <c r="Q62" i="2"/>
  <c r="Q56" i="2"/>
  <c r="Q22" i="2"/>
  <c r="Q17" i="2"/>
  <c r="Q60" i="2"/>
  <c r="Q25" i="2"/>
  <c r="Q54" i="2"/>
  <c r="Q27" i="2"/>
  <c r="Q79" i="2"/>
  <c r="Q16" i="2"/>
  <c r="Q42" i="2"/>
  <c r="Q61" i="2"/>
  <c r="Q20" i="2"/>
  <c r="Q57" i="2"/>
  <c r="Q69" i="2"/>
  <c r="Q48" i="2"/>
  <c r="Q77" i="2"/>
  <c r="Q98" i="2"/>
  <c r="Q78" i="2"/>
  <c r="Q23" i="2"/>
  <c r="Q45" i="2"/>
  <c r="Q80" i="2"/>
  <c r="Q64" i="2"/>
  <c r="Q30" i="2"/>
  <c r="Q35" i="2"/>
  <c r="Q15" i="2"/>
  <c r="Q32" i="2"/>
  <c r="Q42" i="17" s="1"/>
  <c r="R44" i="15"/>
  <c r="R223" i="9"/>
  <c r="S70" i="6"/>
  <c r="V70" i="6" s="1"/>
  <c r="R55" i="15"/>
  <c r="R230" i="9"/>
  <c r="Q189" i="9"/>
  <c r="S90" i="10"/>
  <c r="V90" i="10" s="1"/>
  <c r="Q16" i="15"/>
  <c r="S16" i="15" s="1"/>
  <c r="Q15" i="15"/>
  <c r="S15" i="15" s="1"/>
  <c r="Q18" i="15"/>
  <c r="S18" i="15" s="1"/>
  <c r="Q17" i="15"/>
  <c r="Q20" i="15"/>
  <c r="S20" i="15" s="1"/>
  <c r="Q19" i="15"/>
  <c r="S19" i="15" s="1"/>
  <c r="Q21" i="15"/>
  <c r="Q14" i="15"/>
  <c r="S14" i="15" s="1"/>
  <c r="Q13" i="15"/>
  <c r="R224" i="9"/>
  <c r="R45" i="15"/>
  <c r="S103" i="9"/>
  <c r="V103" i="9" s="1"/>
  <c r="S149" i="9"/>
  <c r="V149" i="9" s="1"/>
  <c r="S90" i="9"/>
  <c r="V90" i="9" s="1"/>
  <c r="S163" i="9"/>
  <c r="V163" i="9" s="1"/>
  <c r="S162" i="9"/>
  <c r="V162" i="9" s="1"/>
  <c r="S138" i="9"/>
  <c r="V138" i="9" s="1"/>
  <c r="S61" i="9"/>
  <c r="V61" i="9" s="1"/>
  <c r="S87" i="10"/>
  <c r="S19" i="10"/>
  <c r="V19" i="10" s="1"/>
  <c r="R25" i="10"/>
  <c r="S151" i="9"/>
  <c r="V151" i="9" s="1"/>
  <c r="S89" i="9"/>
  <c r="V89" i="9" s="1"/>
  <c r="S130" i="9"/>
  <c r="P58" i="3"/>
  <c r="P45" i="3"/>
  <c r="P46" i="3"/>
  <c r="P68" i="3"/>
  <c r="P60" i="3"/>
  <c r="P29" i="3"/>
  <c r="S29" i="3" s="1"/>
  <c r="V29" i="3" s="1"/>
  <c r="P56" i="3"/>
  <c r="S56" i="3" s="1"/>
  <c r="V56" i="3" s="1"/>
  <c r="P57" i="3"/>
  <c r="P76" i="3"/>
  <c r="P55" i="3"/>
  <c r="S55" i="3" s="1"/>
  <c r="V55" i="3" s="1"/>
  <c r="P36" i="3"/>
  <c r="P64" i="3"/>
  <c r="P80" i="3"/>
  <c r="P21" i="3"/>
  <c r="S21" i="3" s="1"/>
  <c r="P53" i="3"/>
  <c r="P40" i="3"/>
  <c r="S40" i="3" s="1"/>
  <c r="V40" i="3" s="1"/>
  <c r="P38" i="3"/>
  <c r="P37" i="3"/>
  <c r="S37" i="3" s="1"/>
  <c r="P63" i="3"/>
  <c r="P50" i="3"/>
  <c r="P59" i="3"/>
  <c r="P62" i="3"/>
  <c r="P26" i="3"/>
  <c r="S26" i="3" s="1"/>
  <c r="V26" i="3" s="1"/>
  <c r="P52" i="3"/>
  <c r="S52" i="3" s="1"/>
  <c r="V52" i="3" s="1"/>
  <c r="P51" i="3"/>
  <c r="P20" i="3"/>
  <c r="P84" i="3"/>
  <c r="P23" i="3"/>
  <c r="P28" i="3"/>
  <c r="P65" i="3"/>
  <c r="P18" i="3"/>
  <c r="P71" i="3"/>
  <c r="P54" i="3"/>
  <c r="S54" i="3" s="1"/>
  <c r="V54" i="3" s="1"/>
  <c r="P82" i="3"/>
  <c r="S82" i="3" s="1"/>
  <c r="V82" i="3" s="1"/>
  <c r="P17" i="3"/>
  <c r="S17" i="3" s="1"/>
  <c r="P25" i="3"/>
  <c r="P70" i="3"/>
  <c r="P77" i="3"/>
  <c r="P16" i="3"/>
  <c r="P24" i="3"/>
  <c r="P75" i="3"/>
  <c r="S75" i="3" s="1"/>
  <c r="V75" i="3" s="1"/>
  <c r="P27" i="3"/>
  <c r="P101" i="3"/>
  <c r="P69" i="3"/>
  <c r="P66" i="3"/>
  <c r="P67" i="3"/>
  <c r="P74" i="3"/>
  <c r="P35" i="3"/>
  <c r="P78" i="3"/>
  <c r="P22" i="3"/>
  <c r="P72" i="3"/>
  <c r="P39" i="3"/>
  <c r="P31" i="3"/>
  <c r="P49" i="3"/>
  <c r="P34" i="3"/>
  <c r="P41" i="3"/>
  <c r="P97" i="3"/>
  <c r="P96" i="3"/>
  <c r="P44" i="3"/>
  <c r="P81" i="3"/>
  <c r="P47" i="3"/>
  <c r="P19" i="3"/>
  <c r="P100" i="3"/>
  <c r="P43" i="3"/>
  <c r="P42" i="3"/>
  <c r="P79" i="3"/>
  <c r="P73" i="3"/>
  <c r="P61" i="3"/>
  <c r="P15" i="3"/>
  <c r="P48" i="3"/>
  <c r="P98" i="5"/>
  <c r="S98" i="5" s="1"/>
  <c r="V98" i="5" s="1"/>
  <c r="P40" i="5"/>
  <c r="S40" i="5" s="1"/>
  <c r="V40" i="5" s="1"/>
  <c r="P96" i="5"/>
  <c r="S96" i="5" s="1"/>
  <c r="V96" i="5" s="1"/>
  <c r="P76" i="5"/>
  <c r="S76" i="5" s="1"/>
  <c r="V76" i="5" s="1"/>
  <c r="P54" i="5"/>
  <c r="S54" i="5" s="1"/>
  <c r="V54" i="5" s="1"/>
  <c r="P50" i="5"/>
  <c r="S50" i="5" s="1"/>
  <c r="V50" i="5" s="1"/>
  <c r="P61" i="5"/>
  <c r="S61" i="5" s="1"/>
  <c r="V61" i="5" s="1"/>
  <c r="P71" i="5"/>
  <c r="S71" i="5" s="1"/>
  <c r="P56" i="5"/>
  <c r="S56" i="5" s="1"/>
  <c r="P32" i="5"/>
  <c r="P123" i="17" s="1"/>
  <c r="P63" i="5"/>
  <c r="S63" i="5" s="1"/>
  <c r="V63" i="5" s="1"/>
  <c r="P33" i="5"/>
  <c r="S33" i="5" s="1"/>
  <c r="P99" i="5"/>
  <c r="P65" i="5"/>
  <c r="S65" i="5" s="1"/>
  <c r="V65" i="5" s="1"/>
  <c r="P20" i="5"/>
  <c r="S20" i="5" s="1"/>
  <c r="P57" i="5"/>
  <c r="S57" i="5" s="1"/>
  <c r="V57" i="5" s="1"/>
  <c r="P44" i="5"/>
  <c r="S44" i="5" s="1"/>
  <c r="V44" i="5" s="1"/>
  <c r="P79" i="5"/>
  <c r="S79" i="5" s="1"/>
  <c r="V79" i="5" s="1"/>
  <c r="P17" i="5"/>
  <c r="S17" i="5" s="1"/>
  <c r="P37" i="5"/>
  <c r="S37" i="5" s="1"/>
  <c r="V37" i="5" s="1"/>
  <c r="P60" i="5"/>
  <c r="S60" i="5" s="1"/>
  <c r="V60" i="5" s="1"/>
  <c r="P95" i="5"/>
  <c r="P29" i="5"/>
  <c r="P122" i="17" s="1"/>
  <c r="P35" i="5"/>
  <c r="S35" i="5" s="1"/>
  <c r="V35" i="5" s="1"/>
  <c r="P14" i="5"/>
  <c r="S14" i="5" s="1"/>
  <c r="P48" i="5"/>
  <c r="S48" i="5" s="1"/>
  <c r="P69" i="5"/>
  <c r="S69" i="5" s="1"/>
  <c r="V69" i="5" s="1"/>
  <c r="P42" i="5"/>
  <c r="S42" i="5" s="1"/>
  <c r="P34" i="5"/>
  <c r="S34" i="5" s="1"/>
  <c r="P21" i="5"/>
  <c r="S21" i="5" s="1"/>
  <c r="P89" i="5"/>
  <c r="P23" i="5"/>
  <c r="S23" i="5" s="1"/>
  <c r="P55" i="5"/>
  <c r="S55" i="5" s="1"/>
  <c r="V55" i="5" s="1"/>
  <c r="P38" i="5"/>
  <c r="S38" i="5" s="1"/>
  <c r="V38" i="5" s="1"/>
  <c r="P13" i="5"/>
  <c r="P121" i="17" s="1"/>
  <c r="P78" i="5"/>
  <c r="S78" i="5" s="1"/>
  <c r="V78" i="5" s="1"/>
  <c r="P67" i="5"/>
  <c r="S67" i="5" s="1"/>
  <c r="P47" i="5"/>
  <c r="S47" i="5" s="1"/>
  <c r="V47" i="5" s="1"/>
  <c r="P51" i="5"/>
  <c r="S51" i="5" s="1"/>
  <c r="V51" i="5" s="1"/>
  <c r="P49" i="5"/>
  <c r="S49" i="5" s="1"/>
  <c r="P58" i="5"/>
  <c r="S58" i="5" s="1"/>
  <c r="P80" i="5"/>
  <c r="S80" i="5" s="1"/>
  <c r="P27" i="5"/>
  <c r="S27" i="5" s="1"/>
  <c r="P70" i="5"/>
  <c r="S70" i="5" s="1"/>
  <c r="V70" i="5" s="1"/>
  <c r="P68" i="5"/>
  <c r="S68" i="5" s="1"/>
  <c r="V68" i="5" s="1"/>
  <c r="P26" i="5"/>
  <c r="S26" i="5" s="1"/>
  <c r="V26" i="5" s="1"/>
  <c r="P19" i="5"/>
  <c r="S19" i="5" s="1"/>
  <c r="P77" i="5"/>
  <c r="S77" i="5" s="1"/>
  <c r="V77" i="5" s="1"/>
  <c r="P62" i="5"/>
  <c r="S62" i="5" s="1"/>
  <c r="P22" i="5"/>
  <c r="S22" i="5" s="1"/>
  <c r="P102" i="5"/>
  <c r="P75" i="5"/>
  <c r="S75" i="5" s="1"/>
  <c r="V75" i="5" s="1"/>
  <c r="P36" i="5"/>
  <c r="S36" i="5" s="1"/>
  <c r="P74" i="5"/>
  <c r="S74" i="5" s="1"/>
  <c r="P45" i="5"/>
  <c r="S45" i="5" s="1"/>
  <c r="V45" i="5" s="1"/>
  <c r="P25" i="5"/>
  <c r="S25" i="5" s="1"/>
  <c r="P52" i="5"/>
  <c r="S52" i="5" s="1"/>
  <c r="V52" i="5" s="1"/>
  <c r="P30" i="5"/>
  <c r="S30" i="5" s="1"/>
  <c r="P64" i="5"/>
  <c r="S64" i="5" s="1"/>
  <c r="P94" i="5"/>
  <c r="S94" i="5" s="1"/>
  <c r="V94" i="5" s="1"/>
  <c r="P59" i="5"/>
  <c r="S59" i="5" s="1"/>
  <c r="V59" i="5" s="1"/>
  <c r="P39" i="5"/>
  <c r="S39" i="5" s="1"/>
  <c r="V39" i="5" s="1"/>
  <c r="P53" i="5"/>
  <c r="S53" i="5" s="1"/>
  <c r="P16" i="5"/>
  <c r="S16" i="5" s="1"/>
  <c r="V16" i="5" s="1"/>
  <c r="P18" i="5"/>
  <c r="S18" i="5" s="1"/>
  <c r="P93" i="5"/>
  <c r="P24" i="5"/>
  <c r="S24" i="5" s="1"/>
  <c r="V24" i="5" s="1"/>
  <c r="P46" i="5"/>
  <c r="S46" i="5" s="1"/>
  <c r="P43" i="5"/>
  <c r="S43" i="5" s="1"/>
  <c r="V43" i="5" s="1"/>
  <c r="P66" i="5"/>
  <c r="S66" i="5" s="1"/>
  <c r="P41" i="5"/>
  <c r="S41" i="5" s="1"/>
  <c r="P72" i="5"/>
  <c r="S72" i="5" s="1"/>
  <c r="P101" i="5"/>
  <c r="P15" i="5"/>
  <c r="S15" i="5" s="1"/>
  <c r="P73" i="5"/>
  <c r="S73" i="5" s="1"/>
  <c r="V73" i="5" s="1"/>
  <c r="P100" i="5"/>
  <c r="P140" i="16" s="1"/>
  <c r="P81" i="5"/>
  <c r="S81" i="5" s="1"/>
  <c r="V81" i="5" s="1"/>
  <c r="P55" i="7"/>
  <c r="P81" i="7"/>
  <c r="P17" i="7"/>
  <c r="P52" i="7"/>
  <c r="P68" i="7"/>
  <c r="P65" i="7"/>
  <c r="P33" i="7"/>
  <c r="P38" i="7"/>
  <c r="P79" i="7"/>
  <c r="P74" i="7"/>
  <c r="P32" i="7"/>
  <c r="P177" i="17" s="1"/>
  <c r="P77" i="7"/>
  <c r="P28" i="7"/>
  <c r="P82" i="7"/>
  <c r="P25" i="7"/>
  <c r="P35" i="7"/>
  <c r="P36" i="7"/>
  <c r="P51" i="7"/>
  <c r="P29" i="7"/>
  <c r="P176" i="17" s="1"/>
  <c r="P49" i="7"/>
  <c r="P31" i="7"/>
  <c r="P73" i="7"/>
  <c r="P63" i="7"/>
  <c r="P75" i="7"/>
  <c r="P18" i="7"/>
  <c r="P69" i="7"/>
  <c r="P67" i="7"/>
  <c r="P27" i="7"/>
  <c r="P53" i="7"/>
  <c r="P101" i="7"/>
  <c r="P50" i="7"/>
  <c r="P78" i="7"/>
  <c r="P46" i="7"/>
  <c r="P48" i="7"/>
  <c r="P54" i="7"/>
  <c r="P56" i="7"/>
  <c r="P58" i="7"/>
  <c r="P62" i="7"/>
  <c r="P71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P44" i="7"/>
  <c r="P47" i="7"/>
  <c r="P60" i="7"/>
  <c r="P14" i="7"/>
  <c r="P80" i="7"/>
  <c r="P98" i="7"/>
  <c r="P23" i="7"/>
  <c r="P37" i="7"/>
  <c r="P42" i="7"/>
  <c r="P39" i="7"/>
  <c r="P66" i="7"/>
  <c r="P20" i="7"/>
  <c r="P45" i="7"/>
  <c r="P61" i="7"/>
  <c r="P70" i="7"/>
  <c r="P57" i="7"/>
  <c r="P72" i="7"/>
  <c r="P30" i="7"/>
  <c r="P34" i="7"/>
  <c r="P64" i="7"/>
  <c r="P21" i="7"/>
  <c r="P70" i="4"/>
  <c r="P16" i="4"/>
  <c r="P28" i="4"/>
  <c r="P68" i="4"/>
  <c r="P20" i="4"/>
  <c r="P45" i="4"/>
  <c r="P25" i="4"/>
  <c r="P46" i="4"/>
  <c r="P29" i="4"/>
  <c r="P95" i="17" s="1"/>
  <c r="P22" i="4"/>
  <c r="P62" i="4"/>
  <c r="P52" i="4"/>
  <c r="P57" i="4"/>
  <c r="P26" i="4"/>
  <c r="P76" i="4"/>
  <c r="P69" i="4"/>
  <c r="P78" i="4"/>
  <c r="P80" i="4"/>
  <c r="P63" i="4"/>
  <c r="P18" i="4"/>
  <c r="P64" i="4"/>
  <c r="P19" i="4"/>
  <c r="P51" i="4"/>
  <c r="P67" i="4"/>
  <c r="P75" i="4"/>
  <c r="P43" i="4"/>
  <c r="P27" i="4"/>
  <c r="P14" i="4"/>
  <c r="P97" i="4"/>
  <c r="P38" i="4"/>
  <c r="P37" i="4"/>
  <c r="P21" i="4"/>
  <c r="P32" i="4"/>
  <c r="P96" i="17" s="1"/>
  <c r="P74" i="4"/>
  <c r="P100" i="4"/>
  <c r="P139" i="16" s="1"/>
  <c r="P13" i="4"/>
  <c r="P94" i="17" s="1"/>
  <c r="P98" i="4"/>
  <c r="P101" i="4"/>
  <c r="P33" i="4"/>
  <c r="P95" i="4"/>
  <c r="P39" i="4"/>
  <c r="P54" i="4"/>
  <c r="P58" i="4"/>
  <c r="P65" i="4"/>
  <c r="P30" i="4"/>
  <c r="P81" i="4"/>
  <c r="P41" i="4"/>
  <c r="P50" i="4"/>
  <c r="P61" i="4"/>
  <c r="P34" i="4"/>
  <c r="P71" i="4"/>
  <c r="P56" i="4"/>
  <c r="P66" i="4"/>
  <c r="P17" i="4"/>
  <c r="P48" i="4"/>
  <c r="P23" i="4"/>
  <c r="P102" i="4"/>
  <c r="P79" i="4"/>
  <c r="P44" i="4"/>
  <c r="P96" i="4"/>
  <c r="P55" i="4"/>
  <c r="P35" i="4"/>
  <c r="P73" i="4"/>
  <c r="P99" i="4"/>
  <c r="P72" i="4"/>
  <c r="P77" i="4"/>
  <c r="P15" i="4"/>
  <c r="P42" i="4"/>
  <c r="P40" i="4"/>
  <c r="P59" i="4"/>
  <c r="P89" i="4"/>
  <c r="P36" i="4"/>
  <c r="P47" i="4"/>
  <c r="P49" i="4"/>
  <c r="P60" i="4"/>
  <c r="P24" i="4"/>
  <c r="P53" i="4"/>
  <c r="S48" i="10"/>
  <c r="R222" i="9"/>
  <c r="R43" i="15"/>
  <c r="Q7" i="5"/>
  <c r="Q224" i="9"/>
  <c r="Q45" i="15"/>
  <c r="R7" i="6"/>
  <c r="P30" i="10"/>
  <c r="S31" i="10"/>
  <c r="P42" i="10"/>
  <c r="S43" i="10"/>
  <c r="R232" i="9"/>
  <c r="R57" i="15"/>
  <c r="V58" i="9"/>
  <c r="T58" i="9"/>
  <c r="R225" i="9"/>
  <c r="R46" i="15"/>
  <c r="S41" i="10"/>
  <c r="P40" i="10"/>
  <c r="P50" i="10"/>
  <c r="S52" i="10"/>
  <c r="P76" i="10"/>
  <c r="S77" i="10"/>
  <c r="T77" i="10" s="1"/>
  <c r="S55" i="10"/>
  <c r="Q76" i="10"/>
  <c r="Q30" i="10"/>
  <c r="S75" i="9"/>
  <c r="V75" i="9" s="1"/>
  <c r="R76" i="10"/>
  <c r="R36" i="7"/>
  <c r="R28" i="7"/>
  <c r="R37" i="7"/>
  <c r="R76" i="7"/>
  <c r="R54" i="7"/>
  <c r="R67" i="7"/>
  <c r="R49" i="7"/>
  <c r="R57" i="7"/>
  <c r="R58" i="7"/>
  <c r="R66" i="7"/>
  <c r="R100" i="7"/>
  <c r="R50" i="7"/>
  <c r="R17" i="7"/>
  <c r="R51" i="7"/>
  <c r="R22" i="7"/>
  <c r="R25" i="7"/>
  <c r="R71" i="7"/>
  <c r="R14" i="7"/>
  <c r="R55" i="7"/>
  <c r="R65" i="7"/>
  <c r="R33" i="7"/>
  <c r="R64" i="7"/>
  <c r="R43" i="7"/>
  <c r="R53" i="7"/>
  <c r="R82" i="7"/>
  <c r="R31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48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R39" i="10" s="1"/>
  <c r="S85" i="9"/>
  <c r="V85" i="9" s="1"/>
  <c r="S14" i="10"/>
  <c r="S44" i="9"/>
  <c r="S38" i="9"/>
  <c r="V38" i="9" s="1"/>
  <c r="R56" i="15"/>
  <c r="R231" i="9"/>
  <c r="R215" i="9"/>
  <c r="R32" i="15"/>
  <c r="R221" i="9"/>
  <c r="P34" i="15"/>
  <c r="P47" i="10"/>
  <c r="R7" i="5"/>
  <c r="T46" i="10" l="1"/>
  <c r="Q29" i="2"/>
  <c r="Q41" i="17" s="1"/>
  <c r="Q63" i="2"/>
  <c r="Q75" i="2"/>
  <c r="Q21" i="2"/>
  <c r="S21" i="2" s="1"/>
  <c r="Q68" i="2"/>
  <c r="Q43" i="2"/>
  <c r="Q41" i="2"/>
  <c r="Q96" i="2"/>
  <c r="Q72" i="2"/>
  <c r="Q36" i="2"/>
  <c r="Q26" i="2"/>
  <c r="Q39" i="2"/>
  <c r="S39" i="2" s="1"/>
  <c r="V39" i="2" s="1"/>
  <c r="Q71" i="2"/>
  <c r="Q67" i="2"/>
  <c r="Q18" i="2"/>
  <c r="Q46" i="2"/>
  <c r="S46" i="2" s="1"/>
  <c r="Q97" i="2"/>
  <c r="Q58" i="2"/>
  <c r="S40" i="6"/>
  <c r="V40" i="6" s="1"/>
  <c r="Q83" i="2"/>
  <c r="Q90" i="15" s="1"/>
  <c r="Q13" i="2"/>
  <c r="Q40" i="17" s="1"/>
  <c r="S77" i="6"/>
  <c r="V77" i="6" s="1"/>
  <c r="S27" i="6"/>
  <c r="V27" i="6" s="1"/>
  <c r="S39" i="6"/>
  <c r="V39" i="6" s="1"/>
  <c r="Q86" i="2"/>
  <c r="S81" i="3"/>
  <c r="R42" i="15"/>
  <c r="Q89" i="2"/>
  <c r="Q5" i="2" s="1"/>
  <c r="Q179" i="9" s="1"/>
  <c r="Q47" i="2"/>
  <c r="Q34" i="2"/>
  <c r="Q102" i="2"/>
  <c r="Q6" i="2" s="1"/>
  <c r="Q65" i="2"/>
  <c r="Q59" i="2"/>
  <c r="Q53" i="2"/>
  <c r="Q66" i="2"/>
  <c r="Q38" i="2"/>
  <c r="Q55" i="2"/>
  <c r="Q51" i="2"/>
  <c r="Q37" i="2"/>
  <c r="Q49" i="2"/>
  <c r="S49" i="2" s="1"/>
  <c r="Q50" i="2"/>
  <c r="Q100" i="2"/>
  <c r="Q40" i="2"/>
  <c r="Q74" i="2"/>
  <c r="S74" i="2" s="1"/>
  <c r="Q44" i="2"/>
  <c r="Q70" i="2"/>
  <c r="S73" i="6"/>
  <c r="V73" i="6" s="1"/>
  <c r="S93" i="6"/>
  <c r="V93" i="6" s="1"/>
  <c r="S44" i="6"/>
  <c r="V44" i="6" s="1"/>
  <c r="Q84" i="2"/>
  <c r="T36" i="9"/>
  <c r="S66" i="6"/>
  <c r="V66" i="6" s="1"/>
  <c r="S34" i="6"/>
  <c r="T34" i="6" s="1"/>
  <c r="V14" i="5"/>
  <c r="T14" i="5"/>
  <c r="S27" i="3"/>
  <c r="V27" i="3" s="1"/>
  <c r="S18" i="6"/>
  <c r="V23" i="5"/>
  <c r="T23" i="5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8" i="10"/>
  <c r="T88" i="10"/>
  <c r="V84" i="5"/>
  <c r="T84" i="5"/>
  <c r="V74" i="5"/>
  <c r="T74" i="5"/>
  <c r="V56" i="5"/>
  <c r="T56" i="5"/>
  <c r="R46" i="17"/>
  <c r="R102" i="15"/>
  <c r="R107" i="15"/>
  <c r="R181" i="17"/>
  <c r="P107" i="15"/>
  <c r="P181" i="17"/>
  <c r="R186" i="17"/>
  <c r="R34" i="16"/>
  <c r="P34" i="16"/>
  <c r="P186" i="17"/>
  <c r="S94" i="3"/>
  <c r="V94" i="3" s="1"/>
  <c r="R130" i="17"/>
  <c r="Q130" i="17"/>
  <c r="S44" i="4"/>
  <c r="V44" i="4" s="1"/>
  <c r="P92" i="15"/>
  <c r="P99" i="17"/>
  <c r="S86" i="4"/>
  <c r="V86" i="4" s="1"/>
  <c r="P104" i="15"/>
  <c r="P100" i="17"/>
  <c r="P31" i="16"/>
  <c r="P105" i="17"/>
  <c r="V21" i="3"/>
  <c r="T21" i="3"/>
  <c r="S67" i="6"/>
  <c r="V67" i="6" s="1"/>
  <c r="S30" i="6"/>
  <c r="T30" i="6" s="1"/>
  <c r="R30" i="15"/>
  <c r="V15" i="10"/>
  <c r="R112" i="16"/>
  <c r="S85" i="3"/>
  <c r="S49" i="3"/>
  <c r="V49" i="3" s="1"/>
  <c r="S42" i="3"/>
  <c r="V42" i="3" s="1"/>
  <c r="S47" i="3"/>
  <c r="T47" i="3" s="1"/>
  <c r="T17" i="10"/>
  <c r="R95" i="15"/>
  <c r="R180" i="17"/>
  <c r="S97" i="6"/>
  <c r="S48" i="6"/>
  <c r="T48" i="6" s="1"/>
  <c r="S73" i="3"/>
  <c r="T73" i="3" s="1"/>
  <c r="S16" i="3"/>
  <c r="V16" i="3" s="1"/>
  <c r="S18" i="3"/>
  <c r="V18" i="3" s="1"/>
  <c r="Q91" i="15"/>
  <c r="P73" i="17"/>
  <c r="P103" i="15"/>
  <c r="P30" i="16"/>
  <c r="P78" i="17"/>
  <c r="P95" i="15"/>
  <c r="P180" i="17"/>
  <c r="R7" i="7"/>
  <c r="S56" i="6"/>
  <c r="V56" i="6" s="1"/>
  <c r="P217" i="9"/>
  <c r="V20" i="5"/>
  <c r="T20" i="5"/>
  <c r="V18" i="5"/>
  <c r="T18" i="5"/>
  <c r="S24" i="3"/>
  <c r="V24" i="3" s="1"/>
  <c r="Q55" i="15"/>
  <c r="S19" i="3"/>
  <c r="V19" i="3" s="1"/>
  <c r="R54" i="17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31" i="17"/>
  <c r="R100" i="16"/>
  <c r="R108" i="16" s="1"/>
  <c r="R30" i="17"/>
  <c r="R29" i="17"/>
  <c r="R88" i="16"/>
  <c r="R96" i="16" s="1"/>
  <c r="Q28" i="17"/>
  <c r="R76" i="16"/>
  <c r="R84" i="16" s="1"/>
  <c r="R28" i="17"/>
  <c r="R64" i="16"/>
  <c r="R27" i="17"/>
  <c r="R25" i="17"/>
  <c r="R40" i="16"/>
  <c r="R48" i="16" s="1"/>
  <c r="P30" i="17"/>
  <c r="P100" i="16"/>
  <c r="P108" i="16" s="1"/>
  <c r="P31" i="17"/>
  <c r="P112" i="16"/>
  <c r="P88" i="16"/>
  <c r="P96" i="16" s="1"/>
  <c r="P29" i="17"/>
  <c r="P76" i="16"/>
  <c r="P84" i="16" s="1"/>
  <c r="P28" i="17"/>
  <c r="V69" i="10"/>
  <c r="T69" i="10"/>
  <c r="V65" i="10"/>
  <c r="T65" i="10"/>
  <c r="V66" i="10"/>
  <c r="T66" i="10"/>
  <c r="V55" i="10"/>
  <c r="T55" i="10"/>
  <c r="P64" i="16"/>
  <c r="P27" i="17"/>
  <c r="P25" i="17"/>
  <c r="P40" i="16"/>
  <c r="P48" i="16" s="1"/>
  <c r="T21" i="9"/>
  <c r="R26" i="17"/>
  <c r="R52" i="16"/>
  <c r="R60" i="16" s="1"/>
  <c r="S50" i="3"/>
  <c r="T50" i="3" s="1"/>
  <c r="T60" i="9"/>
  <c r="S75" i="6"/>
  <c r="V75" i="6" s="1"/>
  <c r="S57" i="6"/>
  <c r="V57" i="6" s="1"/>
  <c r="S31" i="6"/>
  <c r="V31" i="6" s="1"/>
  <c r="V125" i="9"/>
  <c r="V78" i="9"/>
  <c r="Q230" i="9"/>
  <c r="Q88" i="16"/>
  <c r="Q96" i="16" s="1"/>
  <c r="Q29" i="17"/>
  <c r="Q12" i="11"/>
  <c r="S15" i="16"/>
  <c r="S66" i="3"/>
  <c r="V66" i="3" s="1"/>
  <c r="S70" i="3"/>
  <c r="V70" i="3" s="1"/>
  <c r="S28" i="3"/>
  <c r="V28" i="3" s="1"/>
  <c r="S51" i="3"/>
  <c r="V51" i="3" s="1"/>
  <c r="Q26" i="17"/>
  <c r="Q52" i="16"/>
  <c r="Q60" i="16" s="1"/>
  <c r="Q27" i="17"/>
  <c r="Q64" i="16"/>
  <c r="Q92" i="15"/>
  <c r="Q99" i="17"/>
  <c r="S93" i="4"/>
  <c r="Q95" i="15"/>
  <c r="Q180" i="17"/>
  <c r="Q11" i="11"/>
  <c r="S14" i="16"/>
  <c r="S24" i="17"/>
  <c r="S28" i="16"/>
  <c r="V13" i="10"/>
  <c r="T13" i="10"/>
  <c r="Q100" i="16"/>
  <c r="Q108" i="16" s="1"/>
  <c r="Q30" i="17"/>
  <c r="Q100" i="17"/>
  <c r="Q103" i="17" s="1"/>
  <c r="Q104" i="15"/>
  <c r="S54" i="6"/>
  <c r="V54" i="6" s="1"/>
  <c r="Q15" i="11"/>
  <c r="S18" i="16"/>
  <c r="S93" i="3"/>
  <c r="Q30" i="16"/>
  <c r="Q78" i="17"/>
  <c r="S71" i="4"/>
  <c r="V71" i="4" s="1"/>
  <c r="T116" i="9"/>
  <c r="Q46" i="17"/>
  <c r="Q102" i="15"/>
  <c r="Q103" i="15"/>
  <c r="Q73" i="17"/>
  <c r="S88" i="3"/>
  <c r="V88" i="3" s="1"/>
  <c r="Q31" i="16"/>
  <c r="Q105" i="17"/>
  <c r="S94" i="4"/>
  <c r="V94" i="4" s="1"/>
  <c r="S46" i="6"/>
  <c r="Q13" i="11"/>
  <c r="S16" i="16"/>
  <c r="Q14" i="11"/>
  <c r="S17" i="16"/>
  <c r="T17" i="16" s="1"/>
  <c r="S35" i="6"/>
  <c r="V35" i="6" s="1"/>
  <c r="Q31" i="17"/>
  <c r="Q25" i="17"/>
  <c r="Q40" i="16"/>
  <c r="Q48" i="16" s="1"/>
  <c r="S124" i="16"/>
  <c r="S32" i="17"/>
  <c r="Q34" i="16"/>
  <c r="Q186" i="17"/>
  <c r="S86" i="7"/>
  <c r="T86" i="7" s="1"/>
  <c r="Q107" i="15"/>
  <c r="Q181" i="17"/>
  <c r="Q10" i="11"/>
  <c r="S13" i="16"/>
  <c r="Q16" i="11"/>
  <c r="S19" i="16"/>
  <c r="S86" i="5"/>
  <c r="P127" i="17"/>
  <c r="P105" i="15"/>
  <c r="S88" i="7"/>
  <c r="V88" i="7" s="1"/>
  <c r="S87" i="7"/>
  <c r="S83" i="7"/>
  <c r="S84" i="7"/>
  <c r="V84" i="7" s="1"/>
  <c r="S85" i="7"/>
  <c r="V85" i="7" s="1"/>
  <c r="S93" i="7"/>
  <c r="S94" i="7"/>
  <c r="V94" i="7" s="1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3" i="16" s="1"/>
  <c r="R21" i="16" s="1"/>
  <c r="R18" i="11" s="1"/>
  <c r="R217" i="9"/>
  <c r="S85" i="6"/>
  <c r="V85" i="6" s="1"/>
  <c r="P106" i="15"/>
  <c r="P154" i="17"/>
  <c r="R154" i="17"/>
  <c r="R106" i="15"/>
  <c r="R109" i="15" s="1"/>
  <c r="P94" i="15"/>
  <c r="P153" i="17"/>
  <c r="P157" i="17" s="1"/>
  <c r="R153" i="17"/>
  <c r="R157" i="17" s="1"/>
  <c r="R94" i="15"/>
  <c r="S13" i="6"/>
  <c r="S148" i="17" s="1"/>
  <c r="T148" i="17" s="1"/>
  <c r="R233" i="9"/>
  <c r="P46" i="15"/>
  <c r="S52" i="6"/>
  <c r="V52" i="6" s="1"/>
  <c r="S47" i="6"/>
  <c r="V47" i="6" s="1"/>
  <c r="S26" i="6"/>
  <c r="V26" i="6" s="1"/>
  <c r="S19" i="6"/>
  <c r="V19" i="6" s="1"/>
  <c r="S41" i="6"/>
  <c r="S99" i="6"/>
  <c r="V99" i="6" s="1"/>
  <c r="S20" i="6"/>
  <c r="V20" i="6" s="1"/>
  <c r="Q106" i="15"/>
  <c r="Q154" i="17"/>
  <c r="S74" i="6"/>
  <c r="V74" i="6" s="1"/>
  <c r="S87" i="6"/>
  <c r="V87" i="6" s="1"/>
  <c r="S88" i="6"/>
  <c r="V88" i="6" s="1"/>
  <c r="R58" i="15"/>
  <c r="P225" i="9"/>
  <c r="R34" i="15"/>
  <c r="S45" i="6"/>
  <c r="V45" i="6" s="1"/>
  <c r="S17" i="6"/>
  <c r="V17" i="6" s="1"/>
  <c r="S23" i="6"/>
  <c r="S72" i="6"/>
  <c r="T72" i="6" s="1"/>
  <c r="S60" i="6"/>
  <c r="V60" i="6" s="1"/>
  <c r="Q153" i="17"/>
  <c r="Q94" i="15"/>
  <c r="S59" i="6"/>
  <c r="V59" i="6" s="1"/>
  <c r="S28" i="6"/>
  <c r="V28" i="6" s="1"/>
  <c r="S64" i="6"/>
  <c r="T64" i="6" s="1"/>
  <c r="R142" i="15"/>
  <c r="S83" i="6"/>
  <c r="T83" i="6" s="1"/>
  <c r="P129" i="16"/>
  <c r="P117" i="16" s="1"/>
  <c r="S100" i="6"/>
  <c r="V100" i="6" s="1"/>
  <c r="P58" i="15"/>
  <c r="S43" i="6"/>
  <c r="V43" i="6" s="1"/>
  <c r="S38" i="6"/>
  <c r="V38" i="6" s="1"/>
  <c r="S49" i="6"/>
  <c r="V49" i="6" s="1"/>
  <c r="S98" i="6"/>
  <c r="V98" i="6" s="1"/>
  <c r="S82" i="6"/>
  <c r="V82" i="6" s="1"/>
  <c r="S21" i="6"/>
  <c r="T21" i="6" s="1"/>
  <c r="S42" i="6"/>
  <c r="S58" i="6"/>
  <c r="V58" i="6" s="1"/>
  <c r="S65" i="6"/>
  <c r="V65" i="6" s="1"/>
  <c r="S55" i="6"/>
  <c r="V55" i="6" s="1"/>
  <c r="S24" i="6"/>
  <c r="V24" i="6" s="1"/>
  <c r="S62" i="6"/>
  <c r="V62" i="6" s="1"/>
  <c r="S81" i="6"/>
  <c r="V81" i="6" s="1"/>
  <c r="S33" i="6"/>
  <c r="V33" i="6" s="1"/>
  <c r="S36" i="6"/>
  <c r="T36" i="6" s="1"/>
  <c r="S79" i="6"/>
  <c r="V79" i="6" s="1"/>
  <c r="S86" i="6"/>
  <c r="S84" i="6"/>
  <c r="P162" i="17"/>
  <c r="P69" i="16"/>
  <c r="R69" i="16"/>
  <c r="R162" i="17"/>
  <c r="S89" i="6"/>
  <c r="T89" i="6" s="1"/>
  <c r="Q159" i="17"/>
  <c r="Q33" i="16"/>
  <c r="S101" i="6"/>
  <c r="T101" i="6" s="1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32" i="6"/>
  <c r="S150" i="17" s="1"/>
  <c r="T150" i="17" s="1"/>
  <c r="Q150" i="17"/>
  <c r="S14" i="6"/>
  <c r="V14" i="6" s="1"/>
  <c r="Q162" i="17"/>
  <c r="Q69" i="16"/>
  <c r="S37" i="6"/>
  <c r="V37" i="6" s="1"/>
  <c r="P166" i="17"/>
  <c r="S33" i="16"/>
  <c r="S95" i="6"/>
  <c r="T95" i="6" s="1"/>
  <c r="P33" i="16"/>
  <c r="P159" i="17"/>
  <c r="P142" i="15"/>
  <c r="P141" i="16"/>
  <c r="S83" i="5"/>
  <c r="T83" i="5" s="1"/>
  <c r="P126" i="17"/>
  <c r="P93" i="15"/>
  <c r="S99" i="5"/>
  <c r="T99" i="5" s="1"/>
  <c r="S93" i="5"/>
  <c r="P32" i="16"/>
  <c r="P132" i="17"/>
  <c r="S95" i="5"/>
  <c r="P68" i="16"/>
  <c r="P135" i="17"/>
  <c r="R141" i="17"/>
  <c r="R143" i="17" s="1"/>
  <c r="S101" i="5"/>
  <c r="T101" i="5" s="1"/>
  <c r="P140" i="17"/>
  <c r="P139" i="17" s="1"/>
  <c r="P128" i="16"/>
  <c r="P116" i="16" s="1"/>
  <c r="Q141" i="17"/>
  <c r="S83" i="4"/>
  <c r="V83" i="4" s="1"/>
  <c r="S84" i="4"/>
  <c r="V84" i="4" s="1"/>
  <c r="S87" i="4"/>
  <c r="V87" i="4" s="1"/>
  <c r="S59" i="4"/>
  <c r="V59" i="4" s="1"/>
  <c r="S81" i="4"/>
  <c r="V81" i="4" s="1"/>
  <c r="S80" i="4"/>
  <c r="S88" i="4"/>
  <c r="V88" i="4" s="1"/>
  <c r="S47" i="4"/>
  <c r="V47" i="4" s="1"/>
  <c r="S40" i="4"/>
  <c r="V40" i="4" s="1"/>
  <c r="S55" i="4"/>
  <c r="V55" i="4" s="1"/>
  <c r="S98" i="4"/>
  <c r="V98" i="4" s="1"/>
  <c r="S97" i="4"/>
  <c r="T97" i="4" s="1"/>
  <c r="S75" i="4"/>
  <c r="V75" i="4" s="1"/>
  <c r="S34" i="4"/>
  <c r="V34" i="4" s="1"/>
  <c r="S26" i="4"/>
  <c r="S24" i="4"/>
  <c r="V24" i="4" s="1"/>
  <c r="S96" i="4"/>
  <c r="T96" i="4" s="1"/>
  <c r="S56" i="4"/>
  <c r="V56" i="4" s="1"/>
  <c r="S18" i="4"/>
  <c r="V18" i="4" s="1"/>
  <c r="T88" i="4"/>
  <c r="T86" i="4"/>
  <c r="T87" i="4"/>
  <c r="S36" i="4"/>
  <c r="V36" i="4" s="1"/>
  <c r="S23" i="4"/>
  <c r="V23" i="4" s="1"/>
  <c r="S50" i="4"/>
  <c r="V50" i="4" s="1"/>
  <c r="S21" i="4"/>
  <c r="T21" i="4" s="1"/>
  <c r="S69" i="4"/>
  <c r="V69" i="4" s="1"/>
  <c r="S52" i="4"/>
  <c r="V52" i="4" s="1"/>
  <c r="S68" i="4"/>
  <c r="V68" i="4" s="1"/>
  <c r="S85" i="4"/>
  <c r="P103" i="17"/>
  <c r="R138" i="15"/>
  <c r="S87" i="3"/>
  <c r="V87" i="3" s="1"/>
  <c r="S69" i="3"/>
  <c r="V69" i="3" s="1"/>
  <c r="S77" i="3"/>
  <c r="V77" i="3" s="1"/>
  <c r="S59" i="3"/>
  <c r="V59" i="3" s="1"/>
  <c r="S60" i="3"/>
  <c r="V60" i="3" s="1"/>
  <c r="S20" i="3"/>
  <c r="T20" i="3" s="1"/>
  <c r="S62" i="3"/>
  <c r="V62" i="3" s="1"/>
  <c r="S45" i="3"/>
  <c r="V45" i="3" s="1"/>
  <c r="S43" i="3"/>
  <c r="V43" i="3" s="1"/>
  <c r="S41" i="3"/>
  <c r="V41" i="3" s="1"/>
  <c r="S25" i="3"/>
  <c r="V25" i="3" s="1"/>
  <c r="S68" i="3"/>
  <c r="T87" i="3"/>
  <c r="S44" i="3"/>
  <c r="V44" i="3" s="1"/>
  <c r="S74" i="3"/>
  <c r="S36" i="3"/>
  <c r="V36" i="3" s="1"/>
  <c r="S46" i="3"/>
  <c r="V46" i="3" s="1"/>
  <c r="S61" i="3"/>
  <c r="V61" i="3" s="1"/>
  <c r="S39" i="3"/>
  <c r="V39" i="3" s="1"/>
  <c r="S35" i="3"/>
  <c r="V35" i="3" s="1"/>
  <c r="S71" i="3"/>
  <c r="V71" i="3" s="1"/>
  <c r="S79" i="3"/>
  <c r="V79" i="3" s="1"/>
  <c r="S67" i="3"/>
  <c r="V67" i="3" s="1"/>
  <c r="Q187" i="9"/>
  <c r="S38" i="3"/>
  <c r="V38" i="3" s="1"/>
  <c r="S58" i="3"/>
  <c r="V58" i="3" s="1"/>
  <c r="P81" i="17"/>
  <c r="P66" i="16"/>
  <c r="S23" i="3"/>
  <c r="V23" i="3" s="1"/>
  <c r="Q81" i="17"/>
  <c r="Q66" i="16"/>
  <c r="Q86" i="17"/>
  <c r="Q85" i="17" s="1"/>
  <c r="Q126" i="16"/>
  <c r="Q114" i="16" s="1"/>
  <c r="S72" i="3"/>
  <c r="T72" i="3" s="1"/>
  <c r="S101" i="3"/>
  <c r="V101" i="3" s="1"/>
  <c r="P86" i="17"/>
  <c r="P85" i="17" s="1"/>
  <c r="P126" i="16"/>
  <c r="P114" i="16" s="1"/>
  <c r="P91" i="15"/>
  <c r="P72" i="17"/>
  <c r="S63" i="3"/>
  <c r="T63" i="3" s="1"/>
  <c r="S53" i="3"/>
  <c r="V53" i="3" s="1"/>
  <c r="Q43" i="15"/>
  <c r="R87" i="17"/>
  <c r="R89" i="17" s="1"/>
  <c r="R51" i="17"/>
  <c r="R29" i="16"/>
  <c r="Q29" i="16"/>
  <c r="Q51" i="17"/>
  <c r="P51" i="17"/>
  <c r="P29" i="16"/>
  <c r="S93" i="2"/>
  <c r="S94" i="2"/>
  <c r="V94" i="2" s="1"/>
  <c r="S13" i="2"/>
  <c r="S40" i="17" s="1"/>
  <c r="T40" i="17" s="1"/>
  <c r="P90" i="15"/>
  <c r="P45" i="17"/>
  <c r="P40" i="17"/>
  <c r="S86" i="2"/>
  <c r="P46" i="17"/>
  <c r="R213" i="9"/>
  <c r="R58" i="17"/>
  <c r="R90" i="15"/>
  <c r="R45" i="17"/>
  <c r="R49" i="17" s="1"/>
  <c r="Q45" i="17"/>
  <c r="Q49" i="17" s="1"/>
  <c r="R7" i="2"/>
  <c r="S84" i="2"/>
  <c r="T86" i="2"/>
  <c r="S87" i="2"/>
  <c r="R125" i="16"/>
  <c r="Q90" i="3"/>
  <c r="Q5" i="3" s="1"/>
  <c r="Q180" i="9" s="1"/>
  <c r="Q214" i="9"/>
  <c r="Q67" i="17"/>
  <c r="Q76" i="17" s="1"/>
  <c r="P139" i="15"/>
  <c r="P138" i="16"/>
  <c r="Q139" i="15"/>
  <c r="Q138" i="16"/>
  <c r="S66" i="4"/>
  <c r="S42" i="4"/>
  <c r="V42" i="4" s="1"/>
  <c r="S14" i="4"/>
  <c r="V14" i="4" s="1"/>
  <c r="S67" i="4"/>
  <c r="S46" i="4"/>
  <c r="T46" i="4" s="1"/>
  <c r="S35" i="4"/>
  <c r="V35" i="4" s="1"/>
  <c r="S17" i="4"/>
  <c r="V17" i="4" s="1"/>
  <c r="S19" i="4"/>
  <c r="V19" i="4" s="1"/>
  <c r="S45" i="4"/>
  <c r="V45" i="4" s="1"/>
  <c r="T62" i="9"/>
  <c r="T51" i="9"/>
  <c r="V19" i="9"/>
  <c r="S63" i="4"/>
  <c r="V63" i="4" s="1"/>
  <c r="S25" i="4"/>
  <c r="V25" i="4" s="1"/>
  <c r="S49" i="4"/>
  <c r="T49" i="4" s="1"/>
  <c r="S77" i="4"/>
  <c r="V77" i="4" s="1"/>
  <c r="S54" i="4"/>
  <c r="V54" i="4" s="1"/>
  <c r="S74" i="4"/>
  <c r="S38" i="4"/>
  <c r="V38" i="4" s="1"/>
  <c r="S22" i="4"/>
  <c r="V22" i="4" s="1"/>
  <c r="S16" i="4"/>
  <c r="S61" i="4"/>
  <c r="V61" i="4" s="1"/>
  <c r="S39" i="4"/>
  <c r="V39" i="4" s="1"/>
  <c r="S78" i="4"/>
  <c r="V78" i="4" s="1"/>
  <c r="S20" i="4"/>
  <c r="V20" i="4" s="1"/>
  <c r="P127" i="16"/>
  <c r="P115" i="16" s="1"/>
  <c r="P113" i="17"/>
  <c r="P112" i="17" s="1"/>
  <c r="Q54" i="17"/>
  <c r="Q65" i="16"/>
  <c r="Q113" i="17"/>
  <c r="Q112" i="17" s="1"/>
  <c r="Q127" i="16"/>
  <c r="Q115" i="16" s="1"/>
  <c r="Q140" i="15"/>
  <c r="Q139" i="16"/>
  <c r="P138" i="15"/>
  <c r="P137" i="16"/>
  <c r="S99" i="4"/>
  <c r="V99" i="4" s="1"/>
  <c r="S95" i="4"/>
  <c r="V95" i="4" s="1"/>
  <c r="P108" i="17"/>
  <c r="P67" i="16"/>
  <c r="Q125" i="16"/>
  <c r="Q59" i="17"/>
  <c r="Q58" i="17" s="1"/>
  <c r="P59" i="17"/>
  <c r="P58" i="17" s="1"/>
  <c r="P125" i="16"/>
  <c r="R114" i="17"/>
  <c r="R116" i="17" s="1"/>
  <c r="Q138" i="15"/>
  <c r="Q137" i="16"/>
  <c r="Q67" i="16"/>
  <c r="Q108" i="17"/>
  <c r="P54" i="17"/>
  <c r="P65" i="16"/>
  <c r="S102" i="3"/>
  <c r="T102" i="3" s="1"/>
  <c r="S33" i="3"/>
  <c r="S69" i="17" s="1"/>
  <c r="T69" i="17" s="1"/>
  <c r="T49" i="10"/>
  <c r="S48" i="3"/>
  <c r="V48" i="3" s="1"/>
  <c r="S22" i="3"/>
  <c r="S65" i="3"/>
  <c r="V65" i="3" s="1"/>
  <c r="T112" i="9"/>
  <c r="V16" i="9"/>
  <c r="S61" i="7"/>
  <c r="V61" i="7" s="1"/>
  <c r="S46" i="7"/>
  <c r="S69" i="7"/>
  <c r="T69" i="7" s="1"/>
  <c r="S97" i="3"/>
  <c r="V97" i="3" s="1"/>
  <c r="S78" i="3"/>
  <c r="V78" i="3" s="1"/>
  <c r="S80" i="3"/>
  <c r="V80" i="3" s="1"/>
  <c r="S76" i="3"/>
  <c r="V76" i="3" s="1"/>
  <c r="S64" i="3"/>
  <c r="V64" i="3" s="1"/>
  <c r="S57" i="3"/>
  <c r="V57" i="3" s="1"/>
  <c r="Q31" i="15"/>
  <c r="S34" i="7"/>
  <c r="V34" i="7" s="1"/>
  <c r="S37" i="7"/>
  <c r="V37" i="7" s="1"/>
  <c r="S97" i="7"/>
  <c r="V97" i="7" s="1"/>
  <c r="S67" i="7"/>
  <c r="T67" i="7" s="1"/>
  <c r="S49" i="7"/>
  <c r="V49" i="7" s="1"/>
  <c r="S35" i="7"/>
  <c r="V35" i="7" s="1"/>
  <c r="Q222" i="9"/>
  <c r="V34" i="9"/>
  <c r="S27" i="2"/>
  <c r="V27" i="2" s="1"/>
  <c r="S19" i="2"/>
  <c r="T19" i="2" s="1"/>
  <c r="S61" i="2"/>
  <c r="V61" i="2" s="1"/>
  <c r="S56" i="2"/>
  <c r="V56" i="2" s="1"/>
  <c r="S45" i="2"/>
  <c r="V45" i="2" s="1"/>
  <c r="S95" i="3"/>
  <c r="S20" i="2"/>
  <c r="V20" i="2" s="1"/>
  <c r="S54" i="2"/>
  <c r="V54" i="2" s="1"/>
  <c r="S25" i="2"/>
  <c r="V25" i="2" s="1"/>
  <c r="S16" i="2"/>
  <c r="S51" i="2"/>
  <c r="V51" i="2" s="1"/>
  <c r="S37" i="2"/>
  <c r="V37" i="2" s="1"/>
  <c r="S62" i="2"/>
  <c r="V62" i="2" s="1"/>
  <c r="S30" i="2"/>
  <c r="V30" i="2" s="1"/>
  <c r="S44" i="2"/>
  <c r="V44" i="2" s="1"/>
  <c r="S50" i="2"/>
  <c r="V50" i="2" s="1"/>
  <c r="T40" i="9"/>
  <c r="S99" i="3"/>
  <c r="S30" i="3"/>
  <c r="S68" i="17" s="1"/>
  <c r="T68" i="17" s="1"/>
  <c r="Q96" i="10"/>
  <c r="Q9" i="10" s="1"/>
  <c r="S60" i="4"/>
  <c r="V60" i="4" s="1"/>
  <c r="S15" i="4"/>
  <c r="V15" i="4" s="1"/>
  <c r="S73" i="4"/>
  <c r="V73" i="4" s="1"/>
  <c r="S33" i="4"/>
  <c r="V33" i="4" s="1"/>
  <c r="S100" i="4"/>
  <c r="V100" i="4" s="1"/>
  <c r="P140" i="15"/>
  <c r="S37" i="4"/>
  <c r="V37" i="4" s="1"/>
  <c r="S27" i="4"/>
  <c r="T27" i="4" s="1"/>
  <c r="S51" i="4"/>
  <c r="V51" i="4" s="1"/>
  <c r="S76" i="4"/>
  <c r="V76" i="4" s="1"/>
  <c r="S28" i="4"/>
  <c r="S64" i="7"/>
  <c r="T64" i="7" s="1"/>
  <c r="S57" i="7"/>
  <c r="V57" i="7" s="1"/>
  <c r="S42" i="7"/>
  <c r="S80" i="7"/>
  <c r="V80" i="7" s="1"/>
  <c r="S59" i="7"/>
  <c r="V59" i="7" s="1"/>
  <c r="S24" i="7"/>
  <c r="V24" i="7" s="1"/>
  <c r="S76" i="7"/>
  <c r="V76" i="7" s="1"/>
  <c r="S62" i="7"/>
  <c r="V62" i="7" s="1"/>
  <c r="S54" i="7"/>
  <c r="V54" i="7" s="1"/>
  <c r="S50" i="7"/>
  <c r="V50" i="7" s="1"/>
  <c r="S75" i="7"/>
  <c r="V75" i="7" s="1"/>
  <c r="S28" i="7"/>
  <c r="V28" i="7" s="1"/>
  <c r="S65" i="7"/>
  <c r="V65" i="7" s="1"/>
  <c r="S81" i="7"/>
  <c r="V81" i="7" s="1"/>
  <c r="S100" i="5"/>
  <c r="V100" i="5" s="1"/>
  <c r="P141" i="15"/>
  <c r="S13" i="3"/>
  <c r="S67" i="17" s="1"/>
  <c r="S53" i="4"/>
  <c r="V53" i="4" s="1"/>
  <c r="S57" i="4"/>
  <c r="V57" i="4" s="1"/>
  <c r="S58" i="4"/>
  <c r="T58" i="4" s="1"/>
  <c r="S62" i="4"/>
  <c r="S53" i="2"/>
  <c r="V53" i="2" s="1"/>
  <c r="S34" i="2"/>
  <c r="V34" i="2" s="1"/>
  <c r="Q7" i="6"/>
  <c r="V71" i="6"/>
  <c r="T71" i="6"/>
  <c r="V33" i="5"/>
  <c r="T33" i="5"/>
  <c r="V71" i="5"/>
  <c r="T71" i="5"/>
  <c r="V66" i="5"/>
  <c r="T66" i="5"/>
  <c r="V48" i="5"/>
  <c r="T48" i="5"/>
  <c r="V41" i="5"/>
  <c r="T41" i="5"/>
  <c r="S48" i="4"/>
  <c r="V48" i="4" s="1"/>
  <c r="S41" i="4"/>
  <c r="T41" i="4" s="1"/>
  <c r="S100" i="2"/>
  <c r="T100" i="2" s="1"/>
  <c r="S95" i="2"/>
  <c r="V95" i="2" s="1"/>
  <c r="S99" i="2"/>
  <c r="S66" i="2"/>
  <c r="V66" i="2" s="1"/>
  <c r="Q6" i="3"/>
  <c r="V20" i="15"/>
  <c r="T20" i="15"/>
  <c r="T16" i="15"/>
  <c r="V16" i="15"/>
  <c r="V69" i="6"/>
  <c r="T69" i="6"/>
  <c r="V19" i="15"/>
  <c r="T19" i="15"/>
  <c r="V80" i="6"/>
  <c r="T80" i="6"/>
  <c r="V44" i="9"/>
  <c r="T44" i="9"/>
  <c r="T28" i="3"/>
  <c r="Q215" i="9"/>
  <c r="Q32" i="15"/>
  <c r="T62" i="2"/>
  <c r="V53" i="10"/>
  <c r="T53" i="10"/>
  <c r="S26" i="7"/>
  <c r="V26" i="7" s="1"/>
  <c r="S101" i="7"/>
  <c r="S77" i="7"/>
  <c r="V77" i="7" s="1"/>
  <c r="T36" i="5"/>
  <c r="V36" i="5"/>
  <c r="V58" i="5"/>
  <c r="T58" i="5"/>
  <c r="V34" i="5"/>
  <c r="T34" i="5"/>
  <c r="V81" i="3"/>
  <c r="T81" i="3"/>
  <c r="V130" i="9"/>
  <c r="T130" i="9"/>
  <c r="M17" i="11"/>
  <c r="S78" i="2"/>
  <c r="V78" i="2" s="1"/>
  <c r="S63" i="2"/>
  <c r="V63" i="2" s="1"/>
  <c r="S72" i="2"/>
  <c r="S101" i="2"/>
  <c r="P221" i="9"/>
  <c r="P42" i="15"/>
  <c r="S29" i="2"/>
  <c r="S41" i="17" s="1"/>
  <c r="T41" i="17" s="1"/>
  <c r="S68" i="2"/>
  <c r="V68" i="2" s="1"/>
  <c r="S80" i="2"/>
  <c r="S79" i="2"/>
  <c r="V79" i="2" s="1"/>
  <c r="S64" i="2"/>
  <c r="S38" i="2"/>
  <c r="V38" i="2" s="1"/>
  <c r="S47" i="2"/>
  <c r="V47" i="2" s="1"/>
  <c r="S40" i="2"/>
  <c r="S55" i="2"/>
  <c r="V55" i="2" s="1"/>
  <c r="S59" i="2"/>
  <c r="V59" i="2" s="1"/>
  <c r="S22" i="2"/>
  <c r="S52" i="2"/>
  <c r="V52" i="2" s="1"/>
  <c r="T124" i="9"/>
  <c r="V124" i="9"/>
  <c r="Q47" i="15"/>
  <c r="Q226" i="9"/>
  <c r="Q7" i="7"/>
  <c r="V16" i="10"/>
  <c r="T16" i="10"/>
  <c r="V35" i="10"/>
  <c r="T35" i="10"/>
  <c r="Q233" i="9"/>
  <c r="Q58" i="15"/>
  <c r="V73" i="10"/>
  <c r="S72" i="10"/>
  <c r="V15" i="15"/>
  <c r="T15" i="15"/>
  <c r="P5" i="4"/>
  <c r="P181" i="9" s="1"/>
  <c r="S89" i="4"/>
  <c r="S44" i="7"/>
  <c r="V44" i="7" s="1"/>
  <c r="S36" i="7"/>
  <c r="V47" i="3"/>
  <c r="V81" i="10"/>
  <c r="S80" i="10"/>
  <c r="S112" i="16" s="1"/>
  <c r="V26" i="10"/>
  <c r="S25" i="10"/>
  <c r="V18" i="15"/>
  <c r="T18" i="15"/>
  <c r="V34" i="6"/>
  <c r="S79" i="4"/>
  <c r="V79" i="4" s="1"/>
  <c r="S101" i="4"/>
  <c r="S48" i="7"/>
  <c r="S63" i="7"/>
  <c r="V63" i="7" s="1"/>
  <c r="S68" i="7"/>
  <c r="V68" i="7" s="1"/>
  <c r="P232" i="9"/>
  <c r="S32" i="5"/>
  <c r="S123" i="17" s="1"/>
  <c r="T123" i="17" s="1"/>
  <c r="P57" i="15"/>
  <c r="S102" i="6"/>
  <c r="V77" i="10"/>
  <c r="S76" i="10"/>
  <c r="T76" i="10" s="1"/>
  <c r="S72" i="4"/>
  <c r="S102" i="4"/>
  <c r="P6" i="4"/>
  <c r="S64" i="4"/>
  <c r="S60" i="7"/>
  <c r="V60" i="7" s="1"/>
  <c r="S96" i="7"/>
  <c r="V96" i="7" s="1"/>
  <c r="P226" i="9"/>
  <c r="P47" i="15"/>
  <c r="S29" i="7"/>
  <c r="S176" i="17" s="1"/>
  <c r="T176" i="17" s="1"/>
  <c r="S25" i="7"/>
  <c r="V25" i="7" s="1"/>
  <c r="P234" i="9"/>
  <c r="P59" i="15"/>
  <c r="S32" i="7"/>
  <c r="S177" i="17" s="1"/>
  <c r="T177" i="17" s="1"/>
  <c r="S38" i="7"/>
  <c r="V38" i="7" s="1"/>
  <c r="S52" i="7"/>
  <c r="V52" i="7" s="1"/>
  <c r="V72" i="5"/>
  <c r="T72" i="5"/>
  <c r="V46" i="5"/>
  <c r="T46" i="5"/>
  <c r="T25" i="5"/>
  <c r="V25" i="5"/>
  <c r="V49" i="5"/>
  <c r="T49" i="5"/>
  <c r="V42" i="5"/>
  <c r="T42" i="5"/>
  <c r="P189" i="9"/>
  <c r="S100" i="3"/>
  <c r="S34" i="3"/>
  <c r="T17" i="3"/>
  <c r="V17" i="3"/>
  <c r="S84" i="3"/>
  <c r="P187" i="9"/>
  <c r="V87" i="10"/>
  <c r="T87" i="10"/>
  <c r="V14" i="15"/>
  <c r="T14" i="15"/>
  <c r="Q44" i="15"/>
  <c r="Q223" i="9"/>
  <c r="P229" i="9"/>
  <c r="P54" i="15"/>
  <c r="S32" i="2"/>
  <c r="S42" i="17" s="1"/>
  <c r="T42" i="17" s="1"/>
  <c r="S102" i="2"/>
  <c r="P6" i="2"/>
  <c r="S98" i="2"/>
  <c r="V98" i="2" s="1"/>
  <c r="S58" i="2"/>
  <c r="S26" i="2"/>
  <c r="V26" i="2" s="1"/>
  <c r="S67" i="2"/>
  <c r="S41" i="2"/>
  <c r="S48" i="2"/>
  <c r="S43" i="2"/>
  <c r="V43" i="2" s="1"/>
  <c r="S97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S50" i="10"/>
  <c r="V52" i="10"/>
  <c r="T52" i="10"/>
  <c r="V43" i="10"/>
  <c r="S42" i="10"/>
  <c r="T43" i="10"/>
  <c r="S20" i="7"/>
  <c r="V20" i="7" s="1"/>
  <c r="V15" i="5"/>
  <c r="T15" i="5"/>
  <c r="V30" i="5"/>
  <c r="T30" i="5"/>
  <c r="V22" i="5"/>
  <c r="T22" i="5"/>
  <c r="T80" i="5"/>
  <c r="V80" i="5"/>
  <c r="T21" i="5"/>
  <c r="V21" i="5"/>
  <c r="S15" i="3"/>
  <c r="S31" i="3"/>
  <c r="Q42" i="15"/>
  <c r="Q221" i="9"/>
  <c r="S15" i="2"/>
  <c r="S89" i="2"/>
  <c r="P5" i="2"/>
  <c r="P179" i="9" s="1"/>
  <c r="T34" i="2"/>
  <c r="S18" i="2"/>
  <c r="T30" i="2"/>
  <c r="T15" i="9"/>
  <c r="V15" i="9"/>
  <c r="Q46" i="15"/>
  <c r="Q225" i="9"/>
  <c r="S43" i="4"/>
  <c r="V43" i="4" s="1"/>
  <c r="S70" i="7"/>
  <c r="V70" i="7" s="1"/>
  <c r="S14" i="7"/>
  <c r="V14" i="7" s="1"/>
  <c r="S40" i="7"/>
  <c r="V40" i="7" s="1"/>
  <c r="S58" i="7"/>
  <c r="V67" i="7"/>
  <c r="S79" i="7"/>
  <c r="V79" i="7" s="1"/>
  <c r="V62" i="5"/>
  <c r="T62" i="5"/>
  <c r="V67" i="5"/>
  <c r="T67" i="5"/>
  <c r="T96" i="6"/>
  <c r="V96" i="6"/>
  <c r="R47" i="15"/>
  <c r="R49" i="15" s="1"/>
  <c r="R226" i="9"/>
  <c r="R227" i="9" s="1"/>
  <c r="R234" i="9"/>
  <c r="R59" i="15"/>
  <c r="R96" i="10"/>
  <c r="R9" i="10" s="1"/>
  <c r="U9" i="10" s="1"/>
  <c r="P39" i="10"/>
  <c r="V31" i="10"/>
  <c r="T31" i="10"/>
  <c r="S30" i="10"/>
  <c r="S30" i="4"/>
  <c r="P231" i="9"/>
  <c r="P56" i="15"/>
  <c r="S32" i="4"/>
  <c r="S96" i="17" s="1"/>
  <c r="T96" i="17" s="1"/>
  <c r="P44" i="15"/>
  <c r="P223" i="9"/>
  <c r="S29" i="4"/>
  <c r="S95" i="17" s="1"/>
  <c r="T95" i="17" s="1"/>
  <c r="S70" i="4"/>
  <c r="V70" i="4" s="1"/>
  <c r="S30" i="7"/>
  <c r="S66" i="7"/>
  <c r="S23" i="7"/>
  <c r="S16" i="7"/>
  <c r="V16" i="7" s="1"/>
  <c r="S19" i="7"/>
  <c r="S22" i="7"/>
  <c r="V22" i="7" s="1"/>
  <c r="S56" i="7"/>
  <c r="S53" i="7"/>
  <c r="V53" i="7" s="1"/>
  <c r="S73" i="7"/>
  <c r="V73" i="7" s="1"/>
  <c r="S55" i="7"/>
  <c r="V55" i="7" s="1"/>
  <c r="R31" i="15"/>
  <c r="R214" i="9"/>
  <c r="R90" i="3"/>
  <c r="R5" i="3" s="1"/>
  <c r="R180" i="9" s="1"/>
  <c r="P7" i="6"/>
  <c r="R218" i="9"/>
  <c r="R35" i="15"/>
  <c r="T41" i="10"/>
  <c r="V41" i="10"/>
  <c r="S40" i="10"/>
  <c r="V48" i="10"/>
  <c r="S47" i="10"/>
  <c r="T48" i="10"/>
  <c r="S29" i="6"/>
  <c r="S149" i="17" s="1"/>
  <c r="T149" i="17" s="1"/>
  <c r="V36" i="6"/>
  <c r="T42" i="4"/>
  <c r="S65" i="4"/>
  <c r="V65" i="4" s="1"/>
  <c r="P215" i="9"/>
  <c r="P32" i="15"/>
  <c r="S13" i="4"/>
  <c r="S94" i="17" s="1"/>
  <c r="V46" i="4"/>
  <c r="S21" i="7"/>
  <c r="S72" i="7"/>
  <c r="S45" i="7"/>
  <c r="V45" i="7" s="1"/>
  <c r="S39" i="7"/>
  <c r="V39" i="7" s="1"/>
  <c r="S98" i="7"/>
  <c r="S47" i="7"/>
  <c r="V47" i="7" s="1"/>
  <c r="S43" i="7"/>
  <c r="V43" i="7" s="1"/>
  <c r="S41" i="7"/>
  <c r="S95" i="7"/>
  <c r="S71" i="7"/>
  <c r="S78" i="7"/>
  <c r="V78" i="7" s="1"/>
  <c r="S27" i="7"/>
  <c r="V27" i="7" s="1"/>
  <c r="S18" i="7"/>
  <c r="S31" i="7"/>
  <c r="V31" i="7" s="1"/>
  <c r="S51" i="7"/>
  <c r="V51" i="7" s="1"/>
  <c r="S82" i="7"/>
  <c r="V82" i="7" s="1"/>
  <c r="S74" i="7"/>
  <c r="V74" i="7" s="1"/>
  <c r="S33" i="7"/>
  <c r="S17" i="7"/>
  <c r="V17" i="7" s="1"/>
  <c r="T53" i="5"/>
  <c r="V53" i="5"/>
  <c r="T64" i="5"/>
  <c r="V64" i="5"/>
  <c r="P6" i="5"/>
  <c r="S102" i="5"/>
  <c r="V19" i="5"/>
  <c r="T19" i="5"/>
  <c r="T27" i="5"/>
  <c r="V27" i="5"/>
  <c r="P216" i="9"/>
  <c r="S13" i="5"/>
  <c r="S121" i="17" s="1"/>
  <c r="P33" i="15"/>
  <c r="P5" i="5"/>
  <c r="P182" i="9" s="1"/>
  <c r="S89" i="5"/>
  <c r="P45" i="15"/>
  <c r="S29" i="5"/>
  <c r="S122" i="17" s="1"/>
  <c r="T122" i="17" s="1"/>
  <c r="P224" i="9"/>
  <c r="V17" i="5"/>
  <c r="T17" i="5"/>
  <c r="P6" i="3"/>
  <c r="S96" i="3"/>
  <c r="V20" i="3"/>
  <c r="T37" i="3"/>
  <c r="V37" i="3"/>
  <c r="Q229" i="9"/>
  <c r="Q54" i="15"/>
  <c r="Q7" i="4"/>
  <c r="Q231" i="9"/>
  <c r="Q56" i="15"/>
  <c r="S35" i="2"/>
  <c r="V35" i="2" s="1"/>
  <c r="S73" i="2"/>
  <c r="V73" i="2" s="1"/>
  <c r="S36" i="2"/>
  <c r="S23" i="2"/>
  <c r="S70" i="2"/>
  <c r="V70" i="2" s="1"/>
  <c r="S75" i="2"/>
  <c r="V75" i="2" s="1"/>
  <c r="S96" i="2"/>
  <c r="S57" i="2"/>
  <c r="V57" i="2" s="1"/>
  <c r="S42" i="2"/>
  <c r="S76" i="2"/>
  <c r="V76" i="2" s="1"/>
  <c r="S60" i="2"/>
  <c r="V60" i="2" s="1"/>
  <c r="S77" i="2"/>
  <c r="V77" i="2" s="1"/>
  <c r="S33" i="2"/>
  <c r="S65" i="2"/>
  <c r="V65" i="2" s="1"/>
  <c r="S71" i="2"/>
  <c r="S17" i="2"/>
  <c r="V17" i="2" s="1"/>
  <c r="S69" i="2"/>
  <c r="V69" i="2" s="1"/>
  <c r="S81" i="2"/>
  <c r="V81" i="2" s="1"/>
  <c r="T70" i="9"/>
  <c r="V70" i="9"/>
  <c r="Q234" i="9"/>
  <c r="Q59" i="15"/>
  <c r="V68" i="10"/>
  <c r="S67" i="10"/>
  <c r="T67" i="10" s="1"/>
  <c r="T18" i="10"/>
  <c r="V18" i="10"/>
  <c r="T84" i="4" l="1"/>
  <c r="Q7" i="2"/>
  <c r="T101" i="3"/>
  <c r="S159" i="17"/>
  <c r="T27" i="3"/>
  <c r="T67" i="6"/>
  <c r="T66" i="6"/>
  <c r="S83" i="2"/>
  <c r="V87" i="7"/>
  <c r="T87" i="7"/>
  <c r="R184" i="17"/>
  <c r="P130" i="17"/>
  <c r="Q143" i="17"/>
  <c r="V18" i="7"/>
  <c r="T18" i="7"/>
  <c r="V23" i="7"/>
  <c r="T23" i="7"/>
  <c r="P76" i="17"/>
  <c r="T88" i="3"/>
  <c r="T49" i="3"/>
  <c r="V73" i="3"/>
  <c r="V74" i="3"/>
  <c r="T74" i="3"/>
  <c r="V18" i="6"/>
  <c r="T18" i="6"/>
  <c r="V30" i="6"/>
  <c r="T10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R62" i="17" s="1"/>
  <c r="V42" i="7"/>
  <c r="T42" i="7"/>
  <c r="V46" i="7"/>
  <c r="T46" i="7"/>
  <c r="V41" i="7"/>
  <c r="T41" i="7"/>
  <c r="P109" i="15"/>
  <c r="T43" i="3"/>
  <c r="T67" i="3"/>
  <c r="T24" i="3"/>
  <c r="S104" i="15"/>
  <c r="S100" i="17"/>
  <c r="T100" i="17" s="1"/>
  <c r="S142" i="15"/>
  <c r="V97" i="6"/>
  <c r="T97" i="6"/>
  <c r="T56" i="6"/>
  <c r="V48" i="6"/>
  <c r="T62" i="6"/>
  <c r="V46" i="6"/>
  <c r="T46" i="6"/>
  <c r="V42" i="6"/>
  <c r="T42" i="6"/>
  <c r="V41" i="6"/>
  <c r="T41" i="6"/>
  <c r="V23" i="6"/>
  <c r="T23" i="6"/>
  <c r="V26" i="4"/>
  <c r="T26" i="4"/>
  <c r="T42" i="3"/>
  <c r="R145" i="15"/>
  <c r="R22" i="15" s="1"/>
  <c r="R23" i="15" s="1"/>
  <c r="V85" i="3"/>
  <c r="T85" i="3"/>
  <c r="Q7" i="3"/>
  <c r="T19" i="3"/>
  <c r="R72" i="16"/>
  <c r="R33" i="17"/>
  <c r="R35" i="17" s="1"/>
  <c r="T19" i="6"/>
  <c r="V41" i="4"/>
  <c r="P87" i="17"/>
  <c r="Q87" i="17"/>
  <c r="V50" i="3"/>
  <c r="R235" i="9"/>
  <c r="V13" i="6"/>
  <c r="V72" i="6"/>
  <c r="T58" i="6"/>
  <c r="T32" i="6"/>
  <c r="S233" i="9"/>
  <c r="S58" i="15"/>
  <c r="V32" i="6"/>
  <c r="T100" i="5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96" i="10"/>
  <c r="P9" i="10" s="1"/>
  <c r="P26" i="17"/>
  <c r="P33" i="17" s="1"/>
  <c r="P52" i="16"/>
  <c r="P60" i="16" s="1"/>
  <c r="T49" i="6"/>
  <c r="S34" i="15"/>
  <c r="Q205" i="9"/>
  <c r="Q206" i="9" s="1"/>
  <c r="T99" i="6"/>
  <c r="T13" i="6"/>
  <c r="S217" i="9"/>
  <c r="T59" i="3"/>
  <c r="Q33" i="17"/>
  <c r="Q35" i="17" s="1"/>
  <c r="S46" i="17"/>
  <c r="T46" i="17" s="1"/>
  <c r="S102" i="15"/>
  <c r="S99" i="17"/>
  <c r="T99" i="17" s="1"/>
  <c r="S92" i="15"/>
  <c r="S27" i="17"/>
  <c r="T27" i="17" s="1"/>
  <c r="S64" i="16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S31" i="16"/>
  <c r="V67" i="10"/>
  <c r="S76" i="16"/>
  <c r="S84" i="16" s="1"/>
  <c r="S28" i="17"/>
  <c r="T28" i="17" s="1"/>
  <c r="V76" i="10"/>
  <c r="S100" i="16"/>
  <c r="S108" i="16" s="1"/>
  <c r="S30" i="17"/>
  <c r="T30" i="17" s="1"/>
  <c r="V86" i="2"/>
  <c r="S31" i="17"/>
  <c r="T31" i="17" s="1"/>
  <c r="T32" i="17"/>
  <c r="V18" i="16"/>
  <c r="S15" i="11"/>
  <c r="T18" i="16"/>
  <c r="T15" i="16"/>
  <c r="S12" i="11"/>
  <c r="V15" i="16"/>
  <c r="V95" i="6"/>
  <c r="S25" i="17"/>
  <c r="T25" i="17" s="1"/>
  <c r="S40" i="16"/>
  <c r="S48" i="16" s="1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S88" i="16"/>
  <c r="S96" i="16" s="1"/>
  <c r="S29" i="17"/>
  <c r="T29" i="17" s="1"/>
  <c r="T16" i="16"/>
  <c r="V16" i="16"/>
  <c r="S13" i="11"/>
  <c r="V101" i="6"/>
  <c r="T95" i="4"/>
  <c r="T33" i="4"/>
  <c r="V93" i="7"/>
  <c r="S34" i="16"/>
  <c r="S186" i="17"/>
  <c r="T186" i="17" s="1"/>
  <c r="S30" i="16"/>
  <c r="S78" i="17"/>
  <c r="T78" i="17" s="1"/>
  <c r="V93" i="3"/>
  <c r="V14" i="16"/>
  <c r="S11" i="11"/>
  <c r="T14" i="16"/>
  <c r="Q184" i="17"/>
  <c r="V99" i="5"/>
  <c r="V86" i="5"/>
  <c r="S127" i="17"/>
  <c r="T127" i="17" s="1"/>
  <c r="S105" i="15"/>
  <c r="T97" i="7"/>
  <c r="T62" i="7"/>
  <c r="Q195" i="17"/>
  <c r="T83" i="7"/>
  <c r="V83" i="7"/>
  <c r="R195" i="17"/>
  <c r="R197" i="17" s="1"/>
  <c r="R61" i="15"/>
  <c r="V95" i="7"/>
  <c r="S189" i="17"/>
  <c r="S70" i="16"/>
  <c r="S130" i="16"/>
  <c r="S194" i="17"/>
  <c r="V21" i="6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V89" i="6"/>
  <c r="S141" i="16"/>
  <c r="P168" i="17"/>
  <c r="P170" i="17" s="1"/>
  <c r="Q168" i="17"/>
  <c r="T159" i="17"/>
  <c r="S5" i="6"/>
  <c r="S183" i="9" s="1"/>
  <c r="S167" i="17"/>
  <c r="S129" i="16"/>
  <c r="S117" i="16" s="1"/>
  <c r="P36" i="16"/>
  <c r="S162" i="17"/>
  <c r="T162" i="17" s="1"/>
  <c r="S69" i="16"/>
  <c r="R168" i="17"/>
  <c r="R170" i="17" s="1"/>
  <c r="V83" i="5"/>
  <c r="S126" i="17"/>
  <c r="T126" i="17" s="1"/>
  <c r="S93" i="15"/>
  <c r="P141" i="17"/>
  <c r="P143" i="17" s="1"/>
  <c r="V93" i="5"/>
  <c r="S32" i="16"/>
  <c r="S132" i="17"/>
  <c r="S141" i="15"/>
  <c r="S140" i="16"/>
  <c r="V101" i="5"/>
  <c r="S140" i="17"/>
  <c r="S128" i="16"/>
  <c r="S116" i="16" s="1"/>
  <c r="V95" i="5"/>
  <c r="S68" i="16"/>
  <c r="S135" i="17"/>
  <c r="T135" i="17" s="1"/>
  <c r="P97" i="15"/>
  <c r="T23" i="4"/>
  <c r="T19" i="4"/>
  <c r="T15" i="4"/>
  <c r="T36" i="4"/>
  <c r="T85" i="4"/>
  <c r="V85" i="4"/>
  <c r="Q114" i="17"/>
  <c r="Q116" i="17" s="1"/>
  <c r="P114" i="17"/>
  <c r="P116" i="17" s="1"/>
  <c r="V102" i="3"/>
  <c r="V33" i="3"/>
  <c r="T33" i="3"/>
  <c r="Q198" i="9"/>
  <c r="Q200" i="9" s="1"/>
  <c r="T35" i="3"/>
  <c r="V63" i="3"/>
  <c r="V95" i="3"/>
  <c r="S66" i="16"/>
  <c r="S81" i="17"/>
  <c r="T81" i="17" s="1"/>
  <c r="S91" i="15"/>
  <c r="S72" i="17"/>
  <c r="T72" i="17" s="1"/>
  <c r="S126" i="16"/>
  <c r="S114" i="16" s="1"/>
  <c r="S86" i="17"/>
  <c r="T86" i="17" s="1"/>
  <c r="T13" i="2"/>
  <c r="S29" i="16"/>
  <c r="S51" i="17"/>
  <c r="T51" i="17" s="1"/>
  <c r="V93" i="2"/>
  <c r="V13" i="2"/>
  <c r="P49" i="17"/>
  <c r="S90" i="15"/>
  <c r="S45" i="17"/>
  <c r="T45" i="17" s="1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89" i="17"/>
  <c r="S139" i="15"/>
  <c r="S138" i="16"/>
  <c r="T67" i="17"/>
  <c r="Q143" i="16"/>
  <c r="Q21" i="16" s="1"/>
  <c r="Q18" i="11" s="1"/>
  <c r="T99" i="4"/>
  <c r="T100" i="4"/>
  <c r="Q49" i="15"/>
  <c r="V49" i="4"/>
  <c r="P72" i="16"/>
  <c r="P132" i="16"/>
  <c r="P113" i="16"/>
  <c r="Q145" i="15"/>
  <c r="Q22" i="15" s="1"/>
  <c r="Q23" i="15" s="1"/>
  <c r="P7" i="4"/>
  <c r="Q61" i="15"/>
  <c r="S59" i="17"/>
  <c r="S125" i="16"/>
  <c r="S113" i="16" s="1"/>
  <c r="S54" i="17"/>
  <c r="S65" i="16"/>
  <c r="Q72" i="16"/>
  <c r="S138" i="15"/>
  <c r="S137" i="16"/>
  <c r="Q60" i="17"/>
  <c r="Q62" i="17" s="1"/>
  <c r="S113" i="17"/>
  <c r="S127" i="16"/>
  <c r="S115" i="16" s="1"/>
  <c r="S140" i="15"/>
  <c r="S139" i="16"/>
  <c r="Q113" i="16"/>
  <c r="Q120" i="16" s="1"/>
  <c r="Q20" i="16" s="1"/>
  <c r="Q132" i="16"/>
  <c r="S108" i="17"/>
  <c r="S67" i="16"/>
  <c r="T94" i="17"/>
  <c r="T66" i="2"/>
  <c r="V99" i="2"/>
  <c r="M19" i="11"/>
  <c r="M41" i="11" s="1"/>
  <c r="I41" i="11"/>
  <c r="T49" i="7"/>
  <c r="T34" i="7"/>
  <c r="V58" i="4"/>
  <c r="V66" i="7"/>
  <c r="T66" i="7"/>
  <c r="V48" i="7"/>
  <c r="T48" i="7"/>
  <c r="V99" i="3"/>
  <c r="T99" i="3"/>
  <c r="T80" i="7"/>
  <c r="V19" i="2"/>
  <c r="V71" i="7"/>
  <c r="T71" i="7"/>
  <c r="V13" i="3"/>
  <c r="T13" i="3"/>
  <c r="W13" i="3" s="1"/>
  <c r="V30" i="3"/>
  <c r="T30" i="3"/>
  <c r="V33" i="7"/>
  <c r="T33" i="7"/>
  <c r="R219" i="9"/>
  <c r="V100" i="2"/>
  <c r="P7" i="5"/>
  <c r="Q235" i="9"/>
  <c r="T99" i="2"/>
  <c r="T33" i="2"/>
  <c r="V33" i="2"/>
  <c r="V96" i="3"/>
  <c r="S216" i="9"/>
  <c r="T13" i="5"/>
  <c r="V13" i="5"/>
  <c r="S33" i="15"/>
  <c r="V13" i="4"/>
  <c r="T13" i="4"/>
  <c r="S32" i="15"/>
  <c r="S215" i="9"/>
  <c r="T29" i="6"/>
  <c r="V29" i="6"/>
  <c r="S225" i="9"/>
  <c r="S46" i="15"/>
  <c r="T40" i="10"/>
  <c r="V40" i="10"/>
  <c r="S39" i="10"/>
  <c r="R198" i="9"/>
  <c r="R200" i="9" s="1"/>
  <c r="R205" i="9"/>
  <c r="V19" i="7"/>
  <c r="T19" i="7"/>
  <c r="T30" i="7"/>
  <c r="V30" i="7"/>
  <c r="T30" i="4"/>
  <c r="V30" i="4"/>
  <c r="V15" i="2"/>
  <c r="T15" i="2"/>
  <c r="P214" i="9"/>
  <c r="P31" i="15"/>
  <c r="P90" i="3"/>
  <c r="P5" i="3" s="1"/>
  <c r="P180" i="9" s="1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T101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T102" i="6"/>
  <c r="V102" i="6"/>
  <c r="S6" i="6"/>
  <c r="V80" i="10"/>
  <c r="T80" i="10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T102" i="5"/>
  <c r="V102" i="5"/>
  <c r="S6" i="5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100" i="3"/>
  <c r="V100" i="3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S76" i="17" l="1"/>
  <c r="T76" i="17" s="1"/>
  <c r="V83" i="2"/>
  <c r="T83" i="2"/>
  <c r="S85" i="17"/>
  <c r="S87" i="17" s="1"/>
  <c r="P89" i="17"/>
  <c r="P62" i="17"/>
  <c r="V16" i="11"/>
  <c r="T16" i="11"/>
  <c r="S157" i="17"/>
  <c r="T157" i="17" s="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S26" i="17"/>
  <c r="T26" i="17" s="1"/>
  <c r="S52" i="16"/>
  <c r="S60" i="16" s="1"/>
  <c r="Q197" i="17"/>
  <c r="V13" i="11"/>
  <c r="T13" i="11"/>
  <c r="V10" i="11"/>
  <c r="T10" i="11"/>
  <c r="Q170" i="17"/>
  <c r="T11" i="11"/>
  <c r="V11" i="11"/>
  <c r="T180" i="17"/>
  <c r="V12" i="11"/>
  <c r="T12" i="11"/>
  <c r="S96" i="10"/>
  <c r="S9" i="10" s="1"/>
  <c r="T15" i="11"/>
  <c r="V15" i="11"/>
  <c r="S130" i="17"/>
  <c r="T130" i="17" s="1"/>
  <c r="S109" i="15"/>
  <c r="T189" i="17"/>
  <c r="T194" i="17"/>
  <c r="T5" i="6"/>
  <c r="V5" i="6"/>
  <c r="S166" i="17"/>
  <c r="T166" i="17" s="1"/>
  <c r="T167" i="17"/>
  <c r="S139" i="17"/>
  <c r="T139" i="17" s="1"/>
  <c r="T140" i="17"/>
  <c r="T132" i="17"/>
  <c r="S97" i="15"/>
  <c r="S36" i="16"/>
  <c r="S49" i="17"/>
  <c r="T49" i="17" s="1"/>
  <c r="T85" i="17"/>
  <c r="S132" i="16"/>
  <c r="S58" i="17"/>
  <c r="T58" i="17" s="1"/>
  <c r="T59" i="17"/>
  <c r="T108" i="17"/>
  <c r="S112" i="17"/>
  <c r="T112" i="17" s="1"/>
  <c r="T113" i="17"/>
  <c r="S72" i="16"/>
  <c r="T54" i="17"/>
  <c r="V5" i="5"/>
  <c r="T5" i="5"/>
  <c r="S182" i="9"/>
  <c r="S213" i="9"/>
  <c r="S30" i="15"/>
  <c r="R206" i="9"/>
  <c r="R208" i="9"/>
  <c r="R209" i="9" s="1"/>
  <c r="S214" i="9"/>
  <c r="S90" i="3"/>
  <c r="S5" i="3" s="1"/>
  <c r="S31" i="15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V6" i="5"/>
  <c r="T6" i="5"/>
  <c r="S7" i="5"/>
  <c r="S181" i="9"/>
  <c r="T5" i="4"/>
  <c r="V5" i="4"/>
  <c r="V6" i="6"/>
  <c r="T6" i="6"/>
  <c r="S7" i="6"/>
  <c r="S222" i="9"/>
  <c r="S227" i="9" s="1"/>
  <c r="S43" i="15"/>
  <c r="S49" i="15" s="1"/>
  <c r="T39" i="10"/>
  <c r="V39" i="10"/>
  <c r="P7" i="3"/>
  <c r="S141" i="17" l="1"/>
  <c r="T141" i="17" s="1"/>
  <c r="V7" i="4"/>
  <c r="T7" i="4"/>
  <c r="S33" i="17"/>
  <c r="T33" i="17" s="1"/>
  <c r="T96" i="10"/>
  <c r="V96" i="10"/>
  <c r="S168" i="17"/>
  <c r="T87" i="17"/>
  <c r="S89" i="17"/>
  <c r="S114" i="17"/>
  <c r="S60" i="17"/>
  <c r="V7" i="6"/>
  <c r="T7" i="6"/>
  <c r="V7" i="5"/>
  <c r="T7" i="5"/>
  <c r="V7" i="2"/>
  <c r="T7" i="2"/>
  <c r="S6" i="3"/>
  <c r="V9" i="10"/>
  <c r="T9" i="10"/>
  <c r="T90" i="3"/>
  <c r="S180" i="9"/>
  <c r="T5" i="3"/>
  <c r="V5" i="3"/>
  <c r="S143" i="17" l="1"/>
  <c r="T168" i="17"/>
  <c r="S170" i="17"/>
  <c r="T60" i="17"/>
  <c r="S62" i="17"/>
  <c r="T114" i="17"/>
  <c r="S116" i="17"/>
  <c r="T6" i="3"/>
  <c r="V6" i="3"/>
  <c r="S7" i="3"/>
  <c r="V7" i="3" l="1"/>
  <c r="T7" i="3"/>
  <c r="L118" i="9"/>
  <c r="P118" i="9"/>
  <c r="S118" i="9" s="1"/>
  <c r="V118" i="9" s="1"/>
  <c r="C106" i="9"/>
  <c r="P106" i="9" l="1"/>
  <c r="T118" i="9"/>
  <c r="C17" i="17"/>
  <c r="L106" i="9"/>
  <c r="C77" i="15"/>
  <c r="C85" i="15" s="1"/>
  <c r="C17" i="15" s="1"/>
  <c r="P17" i="17" l="1"/>
  <c r="P77" i="15"/>
  <c r="P85" i="15" s="1"/>
  <c r="S106" i="9"/>
  <c r="C31" i="11"/>
  <c r="P17" i="15"/>
  <c r="S77" i="15" l="1"/>
  <c r="S85" i="15" s="1"/>
  <c r="S17" i="17"/>
  <c r="V106" i="9"/>
  <c r="T106" i="9"/>
  <c r="S17" i="15"/>
  <c r="P31" i="11"/>
  <c r="T17" i="17" l="1"/>
  <c r="V17" i="15"/>
  <c r="T17" i="15"/>
  <c r="S31" i="11"/>
  <c r="V31" i="11" l="1"/>
  <c r="T31" i="11"/>
  <c r="L15" i="7"/>
  <c r="P15" i="7"/>
  <c r="S15" i="7" s="1"/>
  <c r="C13" i="7"/>
  <c r="P13" i="7" s="1"/>
  <c r="V15" i="7" l="1"/>
  <c r="T15" i="7"/>
  <c r="P218" i="9"/>
  <c r="P219" i="9" s="1"/>
  <c r="S13" i="7"/>
  <c r="P35" i="15"/>
  <c r="P37" i="15" s="1"/>
  <c r="P175" i="17"/>
  <c r="P184" i="17" s="1"/>
  <c r="C175" i="17"/>
  <c r="C184" i="17" s="1"/>
  <c r="L13" i="7"/>
  <c r="C35" i="15"/>
  <c r="C37" i="15" s="1"/>
  <c r="C13" i="15" s="1"/>
  <c r="C89" i="7"/>
  <c r="C218" i="9"/>
  <c r="C219" i="9" s="1"/>
  <c r="C237" i="9" s="1"/>
  <c r="P13" i="15" l="1"/>
  <c r="C27" i="11"/>
  <c r="T13" i="7"/>
  <c r="S35" i="15"/>
  <c r="S37" i="15" s="1"/>
  <c r="V13" i="7"/>
  <c r="S175" i="17"/>
  <c r="S218" i="9"/>
  <c r="S219" i="9" s="1"/>
  <c r="C5" i="7"/>
  <c r="L5" i="7" s="1"/>
  <c r="L89" i="7"/>
  <c r="P89" i="7"/>
  <c r="S13" i="15" l="1"/>
  <c r="C142" i="16"/>
  <c r="C143" i="16" s="1"/>
  <c r="C21" i="16" s="1"/>
  <c r="C99" i="7"/>
  <c r="L100" i="7"/>
  <c r="C143" i="15"/>
  <c r="C145" i="15" s="1"/>
  <c r="C22" i="15" s="1"/>
  <c r="P100" i="7"/>
  <c r="S184" i="17"/>
  <c r="T184" i="17" s="1"/>
  <c r="T175" i="17"/>
  <c r="P5" i="7"/>
  <c r="P184" i="9" s="1"/>
  <c r="S89" i="7"/>
  <c r="C184" i="9"/>
  <c r="P27" i="11"/>
  <c r="S27" i="11" l="1"/>
  <c r="T89" i="7"/>
  <c r="S5" i="7"/>
  <c r="V89" i="7"/>
  <c r="P161" i="9"/>
  <c r="S161" i="9" s="1"/>
  <c r="V161" i="9" s="1"/>
  <c r="C145" i="9"/>
  <c r="P145" i="9" s="1"/>
  <c r="L161" i="9"/>
  <c r="C118" i="16"/>
  <c r="C120" i="16" s="1"/>
  <c r="C20" i="16" s="1"/>
  <c r="C193" i="17"/>
  <c r="C195" i="17" s="1"/>
  <c r="C197" i="17" s="1"/>
  <c r="L99" i="7"/>
  <c r="C102" i="7"/>
  <c r="P99" i="7"/>
  <c r="P198" i="9"/>
  <c r="P205" i="9"/>
  <c r="P142" i="16"/>
  <c r="P143" i="16" s="1"/>
  <c r="P21" i="16" s="1"/>
  <c r="P18" i="11" s="1"/>
  <c r="S100" i="7"/>
  <c r="P143" i="15"/>
  <c r="P145" i="15" s="1"/>
  <c r="P22" i="15" s="1"/>
  <c r="C18" i="11"/>
  <c r="C198" i="9"/>
  <c r="C205" i="9"/>
  <c r="C36" i="11"/>
  <c r="P36" i="11" s="1"/>
  <c r="S36" i="11" s="1"/>
  <c r="V13" i="15"/>
  <c r="T13" i="15"/>
  <c r="P21" i="17" l="1"/>
  <c r="P22" i="17" s="1"/>
  <c r="P35" i="17" s="1"/>
  <c r="P125" i="15"/>
  <c r="P133" i="15" s="1"/>
  <c r="P197" i="9"/>
  <c r="P206" i="9" s="1"/>
  <c r="S145" i="9"/>
  <c r="V145" i="9" s="1"/>
  <c r="C6" i="7"/>
  <c r="L6" i="7" s="1"/>
  <c r="P102" i="7"/>
  <c r="L102" i="7"/>
  <c r="P208" i="9"/>
  <c r="P209" i="9" s="1"/>
  <c r="C21" i="17"/>
  <c r="C22" i="17" s="1"/>
  <c r="L145" i="9"/>
  <c r="C125" i="15"/>
  <c r="C133" i="15" s="1"/>
  <c r="C21" i="15" s="1"/>
  <c r="C197" i="9"/>
  <c r="C206" i="9" s="1"/>
  <c r="C168" i="9"/>
  <c r="P168" i="9" s="1"/>
  <c r="S168" i="9" s="1"/>
  <c r="V5" i="7"/>
  <c r="S184" i="9"/>
  <c r="T5" i="7"/>
  <c r="C208" i="9"/>
  <c r="S143" i="15"/>
  <c r="S145" i="15" s="1"/>
  <c r="S22" i="15" s="1"/>
  <c r="S142" i="16"/>
  <c r="S143" i="16" s="1"/>
  <c r="S21" i="16" s="1"/>
  <c r="V100" i="7"/>
  <c r="P193" i="17"/>
  <c r="P195" i="17" s="1"/>
  <c r="P197" i="17" s="1"/>
  <c r="S99" i="7"/>
  <c r="P118" i="16"/>
  <c r="P120" i="16" s="1"/>
  <c r="P20" i="16" s="1"/>
  <c r="C22" i="16"/>
  <c r="C17" i="11"/>
  <c r="C19" i="11" s="1"/>
  <c r="T161" i="9"/>
  <c r="V27" i="11"/>
  <c r="T27" i="11"/>
  <c r="T145" i="9" l="1"/>
  <c r="S21" i="17"/>
  <c r="S197" i="9"/>
  <c r="S125" i="15"/>
  <c r="S133" i="15" s="1"/>
  <c r="C35" i="17"/>
  <c r="C209" i="9"/>
  <c r="C35" i="11"/>
  <c r="P21" i="15"/>
  <c r="C23" i="15"/>
  <c r="P17" i="11"/>
  <c r="P19" i="11" s="1"/>
  <c r="P22" i="16"/>
  <c r="S18" i="11"/>
  <c r="V18" i="11" s="1"/>
  <c r="V21" i="16"/>
  <c r="T21" i="16"/>
  <c r="L168" i="9"/>
  <c r="T168" i="9"/>
  <c r="C9" i="9"/>
  <c r="P9" i="9" s="1"/>
  <c r="V168" i="9"/>
  <c r="C9" i="16"/>
  <c r="P9" i="16" s="1"/>
  <c r="S9" i="16" s="1"/>
  <c r="T99" i="7"/>
  <c r="V99" i="7"/>
  <c r="S193" i="17"/>
  <c r="S118" i="16"/>
  <c r="S120" i="16" s="1"/>
  <c r="S20" i="16" s="1"/>
  <c r="V22" i="15"/>
  <c r="T22" i="15"/>
  <c r="S205" i="9"/>
  <c r="S198" i="9"/>
  <c r="P6" i="7"/>
  <c r="P7" i="7" s="1"/>
  <c r="S102" i="7"/>
  <c r="C7" i="7"/>
  <c r="T21" i="17" l="1"/>
  <c r="S22" i="17"/>
  <c r="S9" i="9"/>
  <c r="S200" i="9" s="1"/>
  <c r="P200" i="9"/>
  <c r="S206" i="9"/>
  <c r="S208" i="9"/>
  <c r="S209" i="9" s="1"/>
  <c r="S195" i="17"/>
  <c r="T193" i="17"/>
  <c r="L9" i="16"/>
  <c r="T9" i="16"/>
  <c r="V9" i="16"/>
  <c r="L9" i="9"/>
  <c r="C200" i="9"/>
  <c r="C9" i="15"/>
  <c r="P9" i="15" s="1"/>
  <c r="S9" i="15" s="1"/>
  <c r="S21" i="15"/>
  <c r="P23" i="15"/>
  <c r="S6" i="7"/>
  <c r="T102" i="7"/>
  <c r="V102" i="7"/>
  <c r="P35" i="11"/>
  <c r="C37" i="11"/>
  <c r="C41" i="11" s="1"/>
  <c r="V20" i="16"/>
  <c r="S17" i="11"/>
  <c r="S22" i="16"/>
  <c r="T20" i="16"/>
  <c r="S35" i="17" l="1"/>
  <c r="T22" i="17"/>
  <c r="V9" i="9"/>
  <c r="T9" i="9"/>
  <c r="V17" i="11"/>
  <c r="S19" i="11"/>
  <c r="T17" i="11"/>
  <c r="T9" i="15"/>
  <c r="V9" i="15"/>
  <c r="L9" i="15"/>
  <c r="V6" i="7"/>
  <c r="S7" i="7"/>
  <c r="T6" i="7"/>
  <c r="S197" i="17"/>
  <c r="T195" i="17"/>
  <c r="V22" i="16"/>
  <c r="T22" i="16"/>
  <c r="S35" i="11"/>
  <c r="P37" i="11"/>
  <c r="P41" i="11" s="1"/>
  <c r="V21" i="15"/>
  <c r="S23" i="15"/>
  <c r="T21" i="15"/>
  <c r="V7" i="7" l="1"/>
  <c r="T7" i="7"/>
  <c r="V35" i="11"/>
  <c r="S37" i="11"/>
  <c r="S41" i="11" s="1"/>
  <c r="T35" i="11"/>
  <c r="V19" i="11"/>
  <c r="T19" i="11"/>
  <c r="V23" i="15"/>
  <c r="T23" i="15"/>
  <c r="V41" i="11" l="1"/>
  <c r="T41" i="11"/>
  <c r="V37" i="11"/>
  <c r="T37" i="11"/>
</calcChain>
</file>

<file path=xl/comments1.xml><?xml version="1.0" encoding="utf-8"?>
<comments xmlns="http://schemas.openxmlformats.org/spreadsheetml/2006/main">
  <authors>
    <author>Smidtné Nagy Terézia</author>
  </authors>
  <commentList>
    <comment ref="D16" author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Hatlaczkiné 4 havi helyettesítési díja, de már nem lesz több helyettesítés</t>
        </r>
      </text>
    </comment>
  </commentList>
</comments>
</file>

<file path=xl/comments2.xml><?xml version="1.0" encoding="utf-8"?>
<comments xmlns="http://schemas.openxmlformats.org/spreadsheetml/2006/main">
  <authors>
    <author>Smidtné Nagy Terézia</author>
  </authors>
  <commentList>
    <comment ref="H85" author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ÉV végén volt sok beszerzés tavaly.
</t>
        </r>
      </text>
    </comment>
  </commentList>
</comments>
</file>

<file path=xl/sharedStrings.xml><?xml version="1.0" encoding="utf-8"?>
<sst xmlns="http://schemas.openxmlformats.org/spreadsheetml/2006/main" count="1808" uniqueCount="521">
  <si>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</si>
  <si>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</si>
  <si>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</si>
  <si>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</si>
  <si>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</si>
  <si>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</si>
  <si>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</si>
  <si>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</si>
  <si>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</si>
  <si>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</si>
  <si>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</si>
  <si>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</si>
  <si>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</si>
  <si>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</si>
  <si>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</si>
  <si>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</si>
  <si>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</si>
  <si>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</si>
  <si>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</si>
  <si>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</si>
  <si>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</si>
  <si>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</si>
  <si>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</si>
  <si>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</si>
  <si>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</si>
  <si>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</si>
  <si>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</si>
  <si>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</si>
  <si>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</si>
  <si>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</si>
  <si>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</si>
  <si>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</si>
  <si>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</si>
  <si>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</si>
  <si>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</si>
  <si>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</si>
  <si>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</si>
  <si>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</si>
  <si>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</si>
  <si>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</si>
  <si>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</si>
  <si>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</si>
  <si>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</si>
  <si>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</si>
  <si>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</si>
  <si>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</si>
  <si>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</si>
  <si>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</si>
  <si>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</si>
  <si>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</si>
  <si>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</si>
  <si>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</si>
  <si>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</si>
  <si>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</si>
  <si>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</si>
  <si>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</si>
  <si>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</si>
  <si>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</si>
  <si>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</si>
  <si>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</si>
  <si>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</si>
  <si>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</si>
  <si>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</si>
  <si>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</si>
  <si>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</si>
  <si>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</si>
  <si>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</si>
  <si>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</si>
  <si>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</si>
  <si>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</si>
  <si>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</si>
  <si>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</si>
  <si>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</si>
  <si>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</si>
  <si>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</si>
  <si>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</si>
  <si>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</si>
  <si>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</si>
  <si>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</si>
  <si>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</si>
  <si>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</si>
  <si>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</si>
  <si>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</si>
  <si>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</si>
  <si>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</si>
  <si>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</si>
  <si>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</si>
  <si>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</si>
  <si>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</si>
  <si>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</si>
  <si>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</si>
  <si>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</si>
  <si>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</si>
  <si>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</si>
  <si>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</si>
  <si>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</si>
  <si>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</si>
  <si>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</si>
  <si>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</si>
  <si>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</si>
  <si>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</si>
  <si>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</si>
  <si>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</si>
  <si>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</si>
  <si>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</si>
  <si>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</si>
  <si>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</si>
  <si>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</si>
  <si>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</si>
  <si>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</si>
  <si>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</si>
  <si>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</si>
  <si>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</si>
  <si>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</si>
  <si>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</si>
  <si>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</si>
  <si>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</si>
  <si>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</si>
  <si>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</si>
  <si>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</si>
  <si>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</si>
  <si>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</si>
  <si>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</si>
  <si>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</si>
  <si>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</si>
  <si>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</si>
  <si>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</si>
  <si>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</si>
  <si>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</si>
  <si>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</si>
  <si>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</si>
  <si>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</si>
  <si>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</si>
  <si>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</si>
  <si>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</si>
  <si>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</si>
  <si>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</si>
  <si>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</si>
  <si>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</si>
  <si>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</si>
  <si>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</si>
  <si>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</si>
  <si>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</si>
  <si>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</si>
  <si>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</si>
  <si>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</si>
  <si>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</si>
  <si>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</si>
  <si>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</si>
  <si>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</si>
  <si>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</si>
  <si>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</si>
  <si>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</si>
  <si>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</si>
  <si>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</si>
  <si>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</si>
  <si>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</si>
  <si>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</si>
  <si>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</si>
  <si>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</si>
  <si>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</si>
  <si>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</si>
  <si>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</si>
  <si>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</si>
  <si>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</si>
  <si>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</si>
  <si>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</si>
  <si>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</si>
  <si>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</si>
  <si>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</si>
  <si>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</si>
  <si>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</si>
  <si>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</si>
  <si>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</si>
  <si>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</si>
  <si>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</si>
  <si>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</si>
  <si>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</si>
  <si>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</si>
  <si>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</si>
  <si>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</si>
  <si>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</si>
  <si>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</si>
  <si>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</si>
  <si>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</si>
  <si>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</si>
  <si>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</si>
  <si>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</si>
  <si>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</si>
  <si>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</si>
  <si>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</si>
  <si>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</si>
  <si>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</si>
  <si>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</si>
  <si>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</si>
  <si>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</si>
  <si>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</si>
  <si>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</si>
  <si>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</si>
  <si>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</si>
  <si>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</si>
  <si>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</si>
  <si>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</si>
  <si>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</si>
  <si>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</si>
  <si>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</si>
  <si>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</si>
  <si>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</si>
  <si>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</si>
  <si>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</si>
  <si>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</si>
  <si>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</si>
  <si>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</si>
  <si>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</si>
  <si>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</si>
  <si>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</si>
  <si>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</si>
  <si>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</si>
  <si>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</si>
  <si>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</si>
  <si>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</si>
  <si>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</si>
  <si>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</si>
  <si>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</si>
  <si>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</si>
  <si>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</si>
  <si>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</si>
  <si>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</si>
  <si>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</si>
  <si>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</si>
  <si>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</si>
  <si>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</si>
  <si>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</si>
  <si>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</si>
  <si>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</si>
  <si>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</si>
  <si>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</si>
  <si>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</si>
  <si>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</si>
  <si>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</si>
  <si>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</si>
  <si>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</si>
  <si>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</si>
  <si>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</si>
  <si>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</si>
  <si>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</si>
  <si>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</si>
  <si>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</si>
  <si>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</si>
  <si>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</si>
  <si>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</si>
  <si>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</si>
  <si>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</si>
  <si>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</si>
  <si>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</si>
  <si>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</si>
  <si>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</si>
  <si>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</si>
  <si>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</si>
  <si>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</si>
  <si>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</si>
  <si>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</si>
  <si>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</si>
  <si>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</si>
  <si>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</si>
  <si>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</si>
  <si>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</si>
  <si>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</si>
  <si>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</si>
  <si>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</si>
  <si>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</si>
  <si>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</si>
  <si>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</si>
  <si>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</si>
  <si>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</si>
  <si>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</si>
  <si>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</si>
  <si>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</si>
  <si>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</si>
  <si>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</si>
  <si>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</si>
  <si>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</si>
  <si>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</si>
  <si>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</si>
  <si>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</si>
  <si>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</si>
  <si>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</si>
  <si>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Árú és készletértékesítés ellenértéke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</si>
  <si>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</si>
  <si>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</si>
  <si>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</si>
  <si>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</si>
  <si>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</si>
  <si>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</si>
  <si>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</si>
  <si>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</si>
  <si>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</si>
  <si>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</si>
  <si>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</si>
  <si>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</si>
  <si>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</si>
  <si>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</si>
  <si>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</si>
  <si>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</si>
  <si>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</si>
  <si>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</si>
  <si>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</si>
  <si>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</si>
  <si>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</si>
  <si>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</si>
  <si>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</si>
  <si>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</si>
  <si>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</si>
  <si>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</si>
  <si>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</si>
  <si>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</si>
  <si>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</si>
  <si>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</si>
  <si>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</si>
  <si>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</si>
  <si>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</si>
  <si>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</si>
  <si>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</si>
  <si>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</si>
  <si>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</si>
  <si>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Egyéb működési célú átvett pénzeszközök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</si>
  <si>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</si>
  <si>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</si>
  <si>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</si>
  <si>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</si>
  <si>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</si>
  <si>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</si>
  <si>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</si>
  <si>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</si>
  <si>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</si>
  <si>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</si>
  <si>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</si>
  <si>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</si>
  <si>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</si>
  <si>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</si>
  <si>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</si>
  <si>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</si>
  <si>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</si>
  <si>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</si>
  <si>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</si>
  <si>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</si>
  <si>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</si>
  <si>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</si>
  <si>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</si>
  <si>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</si>
  <si>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</si>
  <si>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</si>
  <si>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</si>
  <si>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</si>
  <si>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</si>
  <si>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</si>
  <si>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</si>
  <si>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</si>
  <si>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</si>
  <si>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</si>
  <si>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</si>
  <si>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</si>
  <si>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</si>
  <si>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</si>
  <si>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</si>
  <si>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</si>
  <si>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</si>
  <si>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</si>
  <si>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</si>
  <si>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</si>
  <si>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Tartalékok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</si>
  <si>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</si>
  <si>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</si>
  <si>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</si>
  <si>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</si>
  <si>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</si>
  <si>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</si>
  <si>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</si>
  <si>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</si>
  <si>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</si>
  <si>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</si>
  <si>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</si>
  <si>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</si>
  <si>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</si>
  <si>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</si>
  <si>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</si>
  <si>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</si>
  <si>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</si>
  <si>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</si>
  <si>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Központi, irányító szervi támogatás</t>
  </si>
  <si>
    <t>K513</t>
  </si>
  <si>
    <t>B16-01</t>
  </si>
  <si>
    <t>Egyéb működési támogatás</t>
  </si>
  <si>
    <t>B16-02</t>
  </si>
  <si>
    <t>B16-03</t>
  </si>
  <si>
    <t>B16-04</t>
  </si>
  <si>
    <t>Egyéb működési célú átvett pénzeszközök (Tám. visszafizetése)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</si>
  <si>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</si>
  <si>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</si>
  <si>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</si>
  <si>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</si>
  <si>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</si>
  <si>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</si>
  <si>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</si>
  <si>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</si>
  <si>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</si>
  <si>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</si>
  <si>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</si>
  <si>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</si>
  <si>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</si>
  <si>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</si>
  <si>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</si>
  <si>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</si>
  <si>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</si>
  <si>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r>
      <t xml:space="preserve">Egyéb műk. c. tám kozponti kezelésű ei-tól </t>
    </r>
    <r>
      <rPr>
        <sz val="8"/>
        <rFont val="Arial"/>
        <family val="2"/>
        <charset val="238"/>
      </rPr>
      <t>(mezőőr)</t>
    </r>
  </si>
  <si>
    <r>
      <t xml:space="preserve">Egyéb műk c. tám. </t>
    </r>
    <r>
      <rPr>
        <sz val="8"/>
        <rFont val="Arial"/>
        <family val="2"/>
        <charset val="238"/>
      </rPr>
      <t>(EU-s programok: TÁMOP)</t>
    </r>
  </si>
  <si>
    <r>
      <t>Egéyb műk c. tám. fejezet kez. ei-tól</t>
    </r>
    <r>
      <rPr>
        <sz val="8"/>
        <rFont val="Arial"/>
        <family val="2"/>
        <charset val="238"/>
      </rPr>
      <t xml:space="preserve"> (Közfoglalkoztatottakra kapott tám.)</t>
    </r>
  </si>
  <si>
    <t>Felhalmozási célú visszatérítendő támogatások, kölcsönök igénybevétele államháztartáson belülről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</si>
  <si>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(KMOP, ÁROP)</t>
    </r>
  </si>
  <si>
    <t>REALIZÁLÁS</t>
  </si>
  <si>
    <t>%-ban</t>
  </si>
  <si>
    <t>Ft-ban</t>
  </si>
  <si>
    <r>
      <t xml:space="preserve">előirányzatok változása az </t>
    </r>
    <r>
      <rPr>
        <b/>
        <u/>
        <sz val="9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</si>
  <si>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rovat</t>
  </si>
  <si>
    <t>Sülysáp Város Önkormányzatának</t>
  </si>
  <si>
    <t>Sülysáp Város Önkormányzatának és Intézményeinek</t>
  </si>
  <si>
    <t>BEVÉTELEI</t>
  </si>
  <si>
    <t>KIADÁSAI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</si>
  <si>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</si>
  <si>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</si>
  <si>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</si>
  <si>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</si>
  <si>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</si>
  <si>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</si>
  <si>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</si>
  <si>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</si>
  <si>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</si>
  <si>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</si>
  <si>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</si>
  <si>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</si>
  <si>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</si>
  <si>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</si>
  <si>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</si>
  <si>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</si>
  <si>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</si>
  <si>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</si>
  <si>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</si>
  <si>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</si>
  <si>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</si>
  <si>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Sülysáp Város Önkormányzat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</si>
  <si>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</si>
  <si>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</si>
  <si>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</si>
  <si>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</si>
  <si>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</si>
  <si>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</si>
  <si>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</si>
  <si>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</si>
  <si>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</si>
  <si>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</si>
  <si>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</si>
  <si>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</si>
  <si>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</si>
  <si>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</si>
  <si>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Sülysáp Város Önkormányzatának és intézményeinek</t>
  </si>
  <si>
    <t>Csicsergő Napköziotthonos Óvoda</t>
  </si>
  <si>
    <t>Gólyahír Bőlcsőde</t>
  </si>
  <si>
    <t>BEVÉTELI SEGÉDTÁBLA</t>
  </si>
  <si>
    <t>B63</t>
  </si>
  <si>
    <t>Dr. Gáspár István HSZK</t>
  </si>
  <si>
    <t>Egyéb működési bevételek és kapott kamatok</t>
  </si>
  <si>
    <t>B411,B408</t>
  </si>
  <si>
    <t>SÜLYSÁPI CSICSERGŐ ÓVODA</t>
  </si>
  <si>
    <t>B405,B402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</si>
  <si>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</si>
  <si>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</si>
  <si>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</si>
  <si>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 </t>
  </si>
  <si>
    <t xml:space="preserve">Felhalmozási célú önkormányzati támogatások 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</si>
  <si>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2017.01.01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</si>
  <si>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2017.06.30</t>
    </r>
  </si>
  <si>
    <r>
      <t xml:space="preserve">Módosított előirányzat </t>
    </r>
    <r>
      <rPr>
        <b/>
        <sz val="12"/>
        <rFont val="Arial"/>
        <family val="2"/>
        <charset val="238"/>
      </rPr>
      <t>2017.09.30</t>
    </r>
  </si>
  <si>
    <r>
      <t xml:space="preserve">Módosított előirányzat </t>
    </r>
    <r>
      <rPr>
        <b/>
        <sz val="12"/>
        <rFont val="Arial"/>
        <family val="2"/>
        <charset val="238"/>
      </rPr>
      <t>2017.12.31</t>
    </r>
  </si>
  <si>
    <r>
      <rPr>
        <b/>
        <sz val="12"/>
        <rFont val="Arial"/>
        <family val="2"/>
        <charset val="238"/>
      </rPr>
      <t>2017.06.30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</si>
  <si>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2017.09.30-ig tényleges felhasználás</t>
  </si>
  <si>
    <t>2017.12.31-ig tényleges felhasználás</t>
  </si>
  <si>
    <r>
      <t>2017.06.30-i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</si>
  <si>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2017.06.30-i</t>
    </r>
    <r>
      <rPr>
        <b/>
        <sz val="10"/>
        <rFont val="Arial"/>
        <family val="2"/>
        <charset val="238"/>
      </rPr>
      <t xml:space="preserve"> az eredetihez képest</t>
    </r>
  </si>
  <si>
    <t>a 2017.12.31-i a 2017.09.30-ihoz képest</t>
  </si>
  <si>
    <t>a 2017.09.30-i a 2017.06.30-ihoz képest</t>
  </si>
  <si>
    <r>
      <t xml:space="preserve">2017.09.30-i felhasználás </t>
    </r>
    <r>
      <rPr>
        <b/>
        <u/>
        <sz val="8"/>
        <rFont val="Arial"/>
        <family val="2"/>
        <charset val="238"/>
      </rPr>
      <t>2017.07.30-i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</si>
  <si>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2017.12.31-i felhasználás </t>
    </r>
    <r>
      <rPr>
        <b/>
        <u/>
        <sz val="8"/>
        <rFont val="Arial"/>
        <family val="2"/>
        <charset val="238"/>
      </rPr>
      <t>2017.09.30-i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</si>
  <si>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rPr>
        <b/>
        <sz val="12"/>
        <rFont val="Arial"/>
        <family val="2"/>
        <charset val="238"/>
      </rPr>
      <t>2017.06.30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</si>
  <si>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2017.09.30-ig tényleges realizálás</t>
  </si>
  <si>
    <t>2017.12.31-ig tényleges realizálás</t>
  </si>
  <si>
    <r>
      <t>2017.06.30-i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</si>
  <si>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2017.09.30-i frealizálás </t>
    </r>
    <r>
      <rPr>
        <b/>
        <u/>
        <sz val="8"/>
        <rFont val="Arial"/>
        <family val="2"/>
        <charset val="238"/>
      </rPr>
      <t>2017.06.30-i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</si>
  <si>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2017.12.31-i realizálás </t>
    </r>
    <r>
      <rPr>
        <b/>
        <u/>
        <sz val="8"/>
        <rFont val="Arial"/>
        <family val="2"/>
        <charset val="238"/>
      </rPr>
      <t>2017.09.30-i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</si>
  <si>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</si>
  <si>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r>
      <t xml:space="preserve">2017.09.30-i felhasználás </t>
    </r>
    <r>
      <rPr>
        <b/>
        <u/>
        <sz val="8"/>
        <rFont val="Arial"/>
        <family val="2"/>
        <charset val="238"/>
      </rPr>
      <t>2017.06.30-i módosított</t>
    </r>
    <r>
      <rPr>
        <b/>
        <sz val="8"/>
        <rFont val="Arial"/>
        <family val="2"/>
        <charset val="238"/>
      </rPr>
      <t xml:space="preserve"> előir-hoz képest</t>
    </r>
  </si>
  <si>
    <t>Dr Gáspár HSZK</t>
  </si>
  <si>
    <t>Sülysápi Csicsergő Óvoda</t>
  </si>
  <si>
    <t>Önkormányzatnál kapott támogatás (B113)</t>
  </si>
  <si>
    <t>Önkormányzatnál kapott támogatás (B112)</t>
  </si>
  <si>
    <t>Ellátási díjak, Szolgáltatások ellenértéke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</si>
  <si>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háziorvos)</t>
    </r>
  </si>
  <si>
    <t>KEHOP</t>
  </si>
  <si>
    <t>VEKOP</t>
  </si>
  <si>
    <r>
      <t xml:space="preserve">ebrendészeti hozzájárulás, építésügyi bírság,szabálysértési pénz és helyszíni bírság, a közlekedési szabályszegések után az önkormányhatot megillető rész, </t>
    </r>
    <r>
      <rPr>
        <sz val="10"/>
        <rFont val="Arial"/>
        <family val="2"/>
        <charset val="238"/>
      </rPr>
      <t>mezőőri járulék</t>
    </r>
  </si>
  <si>
    <t>Működési célú visszatérítendő támogatások, kölcsönök visszatérülése államháztartáson kívülről</t>
  </si>
  <si>
    <t>B64</t>
  </si>
  <si>
    <t>B408 B411</t>
  </si>
  <si>
    <t>B65</t>
  </si>
  <si>
    <t>Egyéb műk. c. tám. Átvett pénzeszköz</t>
  </si>
  <si>
    <t>Működési c. támogatások államháztartáson kívülről</t>
  </si>
  <si>
    <t>Egyéb műk. C. tám bev ÁH belűlről</t>
  </si>
  <si>
    <t>K1103</t>
  </si>
  <si>
    <t>Céljuttatás, projektprémium</t>
  </si>
  <si>
    <t>Közvetített szolg. Ellenértéke</t>
  </si>
  <si>
    <t>B411 B410</t>
  </si>
  <si>
    <t>2017. ÉVES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</si>
</sst>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7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Arial CE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1" borderId="0" applyNumberFormat="0" applyBorder="0" applyAlignment="0" applyProtection="0"/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55" fillId="33" borderId="0" applyNumberFormat="0" applyBorder="0" applyAlignment="0" applyProtection="0"/>
    <xf numFmtId="0" fontId="56" fillId="23" borderId="41" applyNumberForma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45" applyNumberFormat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53" fillId="35" borderId="47" applyNumberFormat="0" applyFont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29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4" fillId="20" borderId="0" applyNumberFormat="0" applyBorder="0" applyAlignment="0" applyProtection="0"/>
    <xf numFmtId="0" fontId="65" fillId="36" borderId="48" applyNumberFormat="0" applyAlignment="0" applyProtection="0"/>
    <xf numFmtId="0" fontId="66" fillId="0" borderId="0" applyNumberFormat="0" applyFill="0" applyBorder="0" applyAlignment="0" applyProtection="0"/>
    <xf numFmtId="0" fontId="54" fillId="0" borderId="0"/>
    <xf numFmtId="0" fontId="67" fillId="0" borderId="49" applyNumberFormat="0" applyFill="0" applyAlignment="0" applyProtection="0"/>
    <xf numFmtId="0" fontId="68" fillId="19" borderId="0" applyNumberFormat="0" applyBorder="0" applyAlignment="0" applyProtection="0"/>
    <xf numFmtId="0" fontId="69" fillId="37" borderId="0" applyNumberFormat="0" applyBorder="0" applyAlignment="0" applyProtection="0"/>
    <xf numFmtId="0" fontId="70" fillId="36" borderId="41" applyNumberFormat="0" applyAlignment="0" applyProtection="0"/>
    <xf numFmtId="0" fontId="73" fillId="0" borderId="0"/>
  </cellStyleXfs>
  <cellXfs count="66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/>
    <xf numFmtId="0" fontId="3" fillId="2" borderId="1" xfId="0" applyFont="1" applyFill="1" applyBorder="1"/>
    <xf numFmtId="0" fontId="0" fillId="0" borderId="0" xfId="0" applyFill="1"/>
    <xf numFmtId="164" fontId="0" fillId="0" borderId="0" xfId="1" applyNumberFormat="1" applyFont="1" applyBorder="1"/>
    <xf numFmtId="164" fontId="3" fillId="2" borderId="2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164" fontId="7" fillId="0" borderId="1" xfId="1" applyNumberFormat="1" applyFont="1" applyBorder="1"/>
    <xf numFmtId="164" fontId="7" fillId="0" borderId="0" xfId="1" applyNumberFormat="1" applyFont="1"/>
    <xf numFmtId="0" fontId="8" fillId="0" borderId="1" xfId="0" applyFont="1" applyFill="1" applyBorder="1" applyAlignment="1">
      <alignment wrapText="1"/>
    </xf>
    <xf numFmtId="164" fontId="7" fillId="0" borderId="0" xfId="0" applyNumberFormat="1" applyFont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0" applyFont="1" applyBorder="1"/>
    <xf numFmtId="164" fontId="7" fillId="0" borderId="0" xfId="1" applyNumberFormat="1" applyFont="1" applyBorder="1"/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9" fontId="7" fillId="0" borderId="1" xfId="3" applyFont="1" applyBorder="1"/>
    <xf numFmtId="9" fontId="3" fillId="2" borderId="1" xfId="3" applyFont="1" applyFill="1" applyBorder="1"/>
    <xf numFmtId="164" fontId="4" fillId="2" borderId="2" xfId="1" applyNumberFormat="1" applyFont="1" applyFill="1" applyBorder="1"/>
    <xf numFmtId="9" fontId="3" fillId="0" borderId="1" xfId="3" applyFont="1" applyFill="1" applyBorder="1"/>
    <xf numFmtId="0" fontId="7" fillId="0" borderId="1" xfId="0" applyFont="1" applyFill="1" applyBorder="1"/>
    <xf numFmtId="9" fontId="7" fillId="0" borderId="1" xfId="3" applyFont="1" applyFill="1" applyBorder="1"/>
    <xf numFmtId="9" fontId="3" fillId="0" borderId="0" xfId="3" applyFont="1" applyFill="1" applyBorder="1"/>
    <xf numFmtId="9" fontId="0" fillId="0" borderId="0" xfId="3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3" applyFont="1" applyBorder="1"/>
    <xf numFmtId="164" fontId="7" fillId="4" borderId="1" xfId="1" applyNumberFormat="1" applyFont="1" applyFill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9" fontId="7" fillId="4" borderId="1" xfId="3" applyFont="1" applyFill="1" applyBorder="1"/>
    <xf numFmtId="0" fontId="0" fillId="0" borderId="0" xfId="0" applyBorder="1"/>
    <xf numFmtId="0" fontId="7" fillId="0" borderId="0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164" fontId="8" fillId="4" borderId="2" xfId="1" applyNumberFormat="1" applyFont="1" applyFill="1" applyBorder="1"/>
    <xf numFmtId="0" fontId="5" fillId="4" borderId="0" xfId="0" applyFont="1" applyFill="1"/>
    <xf numFmtId="0" fontId="3" fillId="5" borderId="1" xfId="0" applyFont="1" applyFill="1" applyBorder="1" applyAlignment="1">
      <alignment wrapText="1"/>
    </xf>
    <xf numFmtId="164" fontId="3" fillId="5" borderId="1" xfId="1" applyNumberFormat="1" applyFont="1" applyFill="1" applyBorder="1"/>
    <xf numFmtId="9" fontId="3" fillId="5" borderId="1" xfId="3" applyFont="1" applyFill="1" applyBorder="1"/>
    <xf numFmtId="0" fontId="5" fillId="4" borderId="1" xfId="0" applyFont="1" applyFill="1" applyBorder="1" applyAlignment="1">
      <alignment wrapText="1"/>
    </xf>
    <xf numFmtId="0" fontId="3" fillId="6" borderId="1" xfId="0" applyFont="1" applyFill="1" applyBorder="1"/>
    <xf numFmtId="0" fontId="1" fillId="0" borderId="0" xfId="0" applyFont="1" applyBorder="1"/>
    <xf numFmtId="164" fontId="0" fillId="0" borderId="0" xfId="3" applyNumberFormat="1" applyFont="1"/>
    <xf numFmtId="9" fontId="3" fillId="0" borderId="0" xfId="3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4" fillId="2" borderId="1" xfId="0" applyNumberFormat="1" applyFont="1" applyFill="1" applyBorder="1"/>
    <xf numFmtId="3" fontId="3" fillId="2" borderId="1" xfId="1" applyNumberFormat="1" applyFont="1" applyFill="1" applyBorder="1"/>
    <xf numFmtId="3" fontId="7" fillId="0" borderId="1" xfId="1" applyNumberFormat="1" applyFont="1" applyBorder="1"/>
    <xf numFmtId="3" fontId="8" fillId="0" borderId="1" xfId="1" applyNumberFormat="1" applyFont="1" applyBorder="1"/>
    <xf numFmtId="3" fontId="3" fillId="2" borderId="1" xfId="0" applyNumberFormat="1" applyFont="1" applyFill="1" applyBorder="1"/>
    <xf numFmtId="3" fontId="7" fillId="0" borderId="1" xfId="0" applyNumberFormat="1" applyFont="1" applyBorder="1"/>
    <xf numFmtId="3" fontId="8" fillId="5" borderId="1" xfId="1" applyNumberFormat="1" applyFont="1" applyFill="1" applyBorder="1"/>
    <xf numFmtId="3" fontId="7" fillId="0" borderId="0" xfId="0" applyNumberFormat="1" applyFont="1" applyBorder="1"/>
    <xf numFmtId="3" fontId="7" fillId="0" borderId="0" xfId="1" applyNumberFormat="1" applyFont="1" applyBorder="1"/>
    <xf numFmtId="3" fontId="9" fillId="0" borderId="0" xfId="1" applyNumberFormat="1" applyFont="1" applyBorder="1"/>
    <xf numFmtId="0" fontId="4" fillId="8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165" fontId="3" fillId="2" borderId="1" xfId="1" applyNumberFormat="1" applyFont="1" applyFill="1" applyBorder="1"/>
    <xf numFmtId="165" fontId="8" fillId="0" borderId="1" xfId="1" applyNumberFormat="1" applyFont="1" applyBorder="1"/>
    <xf numFmtId="165" fontId="3" fillId="2" borderId="1" xfId="0" applyNumberFormat="1" applyFont="1" applyFill="1" applyBorder="1"/>
    <xf numFmtId="165" fontId="4" fillId="2" borderId="1" xfId="0" applyNumberFormat="1" applyFont="1" applyFill="1" applyBorder="1"/>
    <xf numFmtId="165" fontId="7" fillId="0" borderId="0" xfId="1" applyNumberFormat="1" applyFont="1" applyBorder="1"/>
    <xf numFmtId="9" fontId="13" fillId="2" borderId="1" xfId="3" applyFont="1" applyFill="1" applyBorder="1"/>
    <xf numFmtId="0" fontId="18" fillId="0" borderId="0" xfId="0" applyFont="1"/>
    <xf numFmtId="9" fontId="15" fillId="2" borderId="1" xfId="3" applyFont="1" applyFill="1" applyBorder="1"/>
    <xf numFmtId="0" fontId="2" fillId="0" borderId="0" xfId="0" applyFont="1"/>
    <xf numFmtId="9" fontId="13" fillId="2" borderId="1" xfId="1" applyNumberFormat="1" applyFont="1" applyFill="1" applyBorder="1"/>
    <xf numFmtId="164" fontId="18" fillId="0" borderId="0" xfId="0" applyNumberFormat="1" applyFont="1" applyBorder="1"/>
    <xf numFmtId="0" fontId="18" fillId="0" borderId="0" xfId="0" applyFont="1" applyBorder="1"/>
    <xf numFmtId="3" fontId="3" fillId="0" borderId="5" xfId="0" applyNumberFormat="1" applyFont="1" applyBorder="1" applyAlignment="1">
      <alignment horizontal="center"/>
    </xf>
    <xf numFmtId="3" fontId="4" fillId="2" borderId="1" xfId="1" applyNumberFormat="1" applyFont="1" applyFill="1" applyBorder="1"/>
    <xf numFmtId="3" fontId="4" fillId="2" borderId="2" xfId="1" applyNumberFormat="1" applyFont="1" applyFill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7" fillId="0" borderId="2" xfId="1" applyNumberFormat="1" applyFont="1" applyBorder="1"/>
    <xf numFmtId="3" fontId="7" fillId="0" borderId="0" xfId="1" applyNumberFormat="1" applyFont="1"/>
    <xf numFmtId="3" fontId="7" fillId="0" borderId="0" xfId="0" applyNumberFormat="1" applyFont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21" xfId="0" applyNumberFormat="1" applyFont="1" applyFill="1" applyBorder="1"/>
    <xf numFmtId="3" fontId="14" fillId="0" borderId="10" xfId="0" applyNumberFormat="1" applyFont="1" applyFill="1" applyBorder="1"/>
    <xf numFmtId="3" fontId="4" fillId="0" borderId="19" xfId="0" applyNumberFormat="1" applyFont="1" applyFill="1" applyBorder="1"/>
    <xf numFmtId="9" fontId="3" fillId="0" borderId="20" xfId="1" applyNumberFormat="1" applyFont="1" applyFill="1" applyBorder="1"/>
    <xf numFmtId="3" fontId="4" fillId="0" borderId="20" xfId="0" applyNumberFormat="1" applyFont="1" applyFill="1" applyBorder="1"/>
    <xf numFmtId="9" fontId="3" fillId="0" borderId="20" xfId="3" applyFont="1" applyFill="1" applyBorder="1"/>
    <xf numFmtId="9" fontId="3" fillId="0" borderId="21" xfId="3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Fill="1" applyBorder="1"/>
    <xf numFmtId="3" fontId="14" fillId="0" borderId="23" xfId="0" applyNumberFormat="1" applyFont="1" applyFill="1" applyBorder="1"/>
    <xf numFmtId="3" fontId="14" fillId="0" borderId="22" xfId="0" applyNumberFormat="1" applyFont="1" applyFill="1" applyBorder="1"/>
    <xf numFmtId="3" fontId="4" fillId="0" borderId="4" xfId="0" applyNumberFormat="1" applyFont="1" applyFill="1" applyBorder="1"/>
    <xf numFmtId="9" fontId="3" fillId="0" borderId="5" xfId="1" applyNumberFormat="1" applyFont="1" applyFill="1" applyBorder="1"/>
    <xf numFmtId="3" fontId="4" fillId="0" borderId="5" xfId="0" applyNumberFormat="1" applyFont="1" applyFill="1" applyBorder="1"/>
    <xf numFmtId="9" fontId="3" fillId="0" borderId="5" xfId="3" applyFont="1" applyFill="1" applyBorder="1"/>
    <xf numFmtId="9" fontId="3" fillId="0" borderId="23" xfId="3" applyFont="1" applyFill="1" applyBorder="1"/>
    <xf numFmtId="3" fontId="7" fillId="0" borderId="2" xfId="0" applyNumberFormat="1" applyFont="1" applyBorder="1"/>
    <xf numFmtId="9" fontId="3" fillId="2" borderId="2" xfId="3" applyFont="1" applyFill="1" applyBorder="1"/>
    <xf numFmtId="0" fontId="7" fillId="0" borderId="2" xfId="0" applyFont="1" applyBorder="1"/>
    <xf numFmtId="9" fontId="7" fillId="0" borderId="2" xfId="3" applyFont="1" applyBorder="1"/>
    <xf numFmtId="9" fontId="3" fillId="0" borderId="2" xfId="3" applyFont="1" applyBorder="1"/>
    <xf numFmtId="3" fontId="0" fillId="0" borderId="0" xfId="0" applyNumberFormat="1"/>
    <xf numFmtId="3" fontId="20" fillId="0" borderId="0" xfId="0" applyNumberFormat="1" applyFont="1"/>
    <xf numFmtId="3" fontId="14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24" fillId="3" borderId="1" xfId="0" applyFont="1" applyFill="1" applyBorder="1" applyAlignment="1">
      <alignment horizontal="center" vertical="center" textRotation="90" wrapText="1"/>
    </xf>
    <xf numFmtId="9" fontId="4" fillId="2" borderId="1" xfId="3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3" applyFont="1" applyBorder="1"/>
    <xf numFmtId="9" fontId="15" fillId="0" borderId="1" xfId="3" applyFont="1" applyBorder="1"/>
    <xf numFmtId="165" fontId="7" fillId="4" borderId="1" xfId="1" applyNumberFormat="1" applyFont="1" applyFill="1" applyBorder="1"/>
    <xf numFmtId="165" fontId="7" fillId="9" borderId="1" xfId="1" applyNumberFormat="1" applyFont="1" applyFill="1" applyBorder="1"/>
    <xf numFmtId="3" fontId="3" fillId="0" borderId="1" xfId="0" applyNumberFormat="1" applyFont="1" applyBorder="1"/>
    <xf numFmtId="3" fontId="5" fillId="0" borderId="1" xfId="1" applyNumberFormat="1" applyFont="1" applyBorder="1"/>
    <xf numFmtId="3" fontId="1" fillId="0" borderId="1" xfId="0" applyNumberFormat="1" applyFont="1" applyBorder="1"/>
    <xf numFmtId="3" fontId="1" fillId="0" borderId="1" xfId="1" applyNumberFormat="1" applyFont="1" applyBorder="1"/>
    <xf numFmtId="3" fontId="7" fillId="4" borderId="1" xfId="0" applyNumberFormat="1" applyFont="1" applyFill="1" applyBorder="1"/>
    <xf numFmtId="3" fontId="7" fillId="4" borderId="1" xfId="1" applyNumberFormat="1" applyFont="1" applyFill="1" applyBorder="1"/>
    <xf numFmtId="0" fontId="15" fillId="0" borderId="1" xfId="0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9" fontId="15" fillId="0" borderId="1" xfId="3" applyFont="1" applyFill="1" applyBorder="1"/>
    <xf numFmtId="0" fontId="3" fillId="0" borderId="2" xfId="0" applyFont="1" applyBorder="1" applyAlignment="1">
      <alignment horizontal="center"/>
    </xf>
    <xf numFmtId="9" fontId="13" fillId="0" borderId="1" xfId="1" applyNumberFormat="1" applyFont="1" applyFill="1" applyBorder="1"/>
    <xf numFmtId="9" fontId="13" fillId="0" borderId="1" xfId="3" applyFont="1" applyFill="1" applyBorder="1"/>
    <xf numFmtId="3" fontId="32" fillId="0" borderId="1" xfId="0" applyNumberFormat="1" applyFont="1" applyFill="1" applyBorder="1"/>
    <xf numFmtId="165" fontId="27" fillId="9" borderId="1" xfId="1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9" fontId="2" fillId="2" borderId="1" xfId="3" applyFont="1" applyFill="1" applyBorder="1"/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7" fillId="0" borderId="1" xfId="1" applyNumberFormat="1" applyFont="1" applyFill="1" applyBorder="1"/>
    <xf numFmtId="165" fontId="4" fillId="0" borderId="1" xfId="1" applyNumberFormat="1" applyFont="1" applyFill="1" applyBorder="1"/>
    <xf numFmtId="3" fontId="4" fillId="0" borderId="22" xfId="0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165" fontId="3" fillId="0" borderId="1" xfId="1" applyNumberFormat="1" applyFont="1" applyFill="1" applyBorder="1"/>
    <xf numFmtId="3" fontId="7" fillId="0" borderId="1" xfId="1" applyNumberFormat="1" applyFont="1" applyBorder="1" applyAlignment="1">
      <alignment vertical="center"/>
    </xf>
    <xf numFmtId="3" fontId="20" fillId="0" borderId="3" xfId="0" applyNumberFormat="1" applyFont="1" applyBorder="1"/>
    <xf numFmtId="3" fontId="20" fillId="0" borderId="23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7" fillId="0" borderId="22" xfId="1" applyNumberFormat="1" applyFont="1" applyFill="1" applyBorder="1"/>
    <xf numFmtId="3" fontId="7" fillId="0" borderId="10" xfId="1" applyNumberFormat="1" applyFont="1" applyFill="1" applyBorder="1"/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/>
    <xf numFmtId="3" fontId="1" fillId="0" borderId="1" xfId="1" applyNumberFormat="1" applyFont="1" applyFill="1" applyBorder="1"/>
    <xf numFmtId="9" fontId="2" fillId="0" borderId="1" xfId="3" applyFont="1" applyFill="1" applyBorder="1"/>
    <xf numFmtId="0" fontId="27" fillId="0" borderId="1" xfId="0" applyFont="1" applyFill="1" applyBorder="1" applyAlignment="1">
      <alignment wrapText="1"/>
    </xf>
    <xf numFmtId="165" fontId="27" fillId="0" borderId="1" xfId="1" applyNumberFormat="1" applyFont="1" applyFill="1" applyBorder="1"/>
    <xf numFmtId="3" fontId="20" fillId="0" borderId="3" xfId="0" applyNumberFormat="1" applyFont="1" applyFill="1" applyBorder="1"/>
    <xf numFmtId="3" fontId="20" fillId="0" borderId="23" xfId="0" applyNumberFormat="1" applyFont="1" applyFill="1" applyBorder="1"/>
    <xf numFmtId="0" fontId="0" fillId="0" borderId="20" xfId="0" applyBorder="1"/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textRotation="90" wrapText="1"/>
    </xf>
    <xf numFmtId="0" fontId="25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/>
    <xf numFmtId="3" fontId="8" fillId="0" borderId="2" xfId="1" applyNumberFormat="1" applyFont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8" fillId="5" borderId="2" xfId="1" applyNumberFormat="1" applyFont="1" applyFill="1" applyBorder="1"/>
    <xf numFmtId="3" fontId="20" fillId="0" borderId="6" xfId="0" applyNumberFormat="1" applyFont="1" applyBorder="1"/>
    <xf numFmtId="3" fontId="20" fillId="0" borderId="22" xfId="0" applyNumberFormat="1" applyFont="1" applyBorder="1"/>
    <xf numFmtId="0" fontId="0" fillId="0" borderId="6" xfId="0" applyBorder="1"/>
    <xf numFmtId="3" fontId="20" fillId="0" borderId="1" xfId="0" applyNumberFormat="1" applyFont="1" applyBorder="1"/>
    <xf numFmtId="3" fontId="32" fillId="0" borderId="2" xfId="0" applyNumberFormat="1" applyFont="1" applyFill="1" applyBorder="1"/>
    <xf numFmtId="0" fontId="3" fillId="0" borderId="22" xfId="0" applyFont="1" applyFill="1" applyBorder="1" applyAlignment="1">
      <alignment horizontal="center"/>
    </xf>
    <xf numFmtId="9" fontId="37" fillId="2" borderId="1" xfId="3" applyFont="1" applyFill="1" applyBorder="1"/>
    <xf numFmtId="9" fontId="37" fillId="2" borderId="2" xfId="3" applyFont="1" applyFill="1" applyBorder="1"/>
    <xf numFmtId="9" fontId="3" fillId="0" borderId="3" xfId="3" applyFont="1" applyFill="1" applyBorder="1"/>
    <xf numFmtId="3" fontId="7" fillId="0" borderId="8" xfId="1" applyNumberFormat="1" applyFont="1" applyBorder="1"/>
    <xf numFmtId="3" fontId="3" fillId="0" borderId="2" xfId="0" applyNumberFormat="1" applyFont="1" applyBorder="1" applyAlignment="1">
      <alignment horizontal="center"/>
    </xf>
    <xf numFmtId="9" fontId="2" fillId="0" borderId="1" xfId="1" applyNumberFormat="1" applyFont="1" applyBorder="1"/>
    <xf numFmtId="9" fontId="2" fillId="0" borderId="1" xfId="0" applyNumberFormat="1" applyFont="1" applyBorder="1"/>
    <xf numFmtId="9" fontId="2" fillId="0" borderId="1" xfId="3" applyNumberFormat="1" applyFont="1" applyBorder="1"/>
    <xf numFmtId="9" fontId="15" fillId="2" borderId="1" xfId="1" applyNumberFormat="1" applyFont="1" applyFill="1" applyBorder="1"/>
    <xf numFmtId="9" fontId="15" fillId="2" borderId="1" xfId="3" applyNumberFormat="1" applyFont="1" applyFill="1" applyBorder="1"/>
    <xf numFmtId="9" fontId="15" fillId="0" borderId="1" xfId="1" applyNumberFormat="1" applyFont="1" applyBorder="1"/>
    <xf numFmtId="9" fontId="15" fillId="4" borderId="1" xfId="3" applyNumberFormat="1" applyFont="1" applyFill="1" applyBorder="1"/>
    <xf numFmtId="9" fontId="2" fillId="4" borderId="1" xfId="3" applyNumberFormat="1" applyFont="1" applyFill="1" applyBorder="1"/>
    <xf numFmtId="9" fontId="15" fillId="6" borderId="1" xfId="1" applyNumberFormat="1" applyFont="1" applyFill="1" applyBorder="1"/>
    <xf numFmtId="9" fontId="15" fillId="6" borderId="1" xfId="3" applyNumberFormat="1" applyFont="1" applyFill="1" applyBorder="1"/>
    <xf numFmtId="9" fontId="15" fillId="2" borderId="1" xfId="1" applyNumberFormat="1" applyFont="1" applyFill="1" applyBorder="1" applyAlignment="1"/>
    <xf numFmtId="9" fontId="2" fillId="0" borderId="1" xfId="0" applyNumberFormat="1" applyFont="1" applyBorder="1" applyAlignment="1"/>
    <xf numFmtId="9" fontId="2" fillId="0" borderId="1" xfId="3" applyNumberFormat="1" applyFont="1" applyFill="1" applyBorder="1"/>
    <xf numFmtId="9" fontId="2" fillId="0" borderId="1" xfId="0" applyNumberFormat="1" applyFont="1" applyFill="1" applyBorder="1"/>
    <xf numFmtId="9" fontId="37" fillId="2" borderId="1" xfId="0" applyNumberFormat="1" applyFont="1" applyFill="1" applyBorder="1" applyAlignment="1"/>
    <xf numFmtId="9" fontId="2" fillId="0" borderId="1" xfId="1" applyNumberFormat="1" applyFont="1" applyBorder="1" applyAlignment="1"/>
    <xf numFmtId="3" fontId="7" fillId="0" borderId="6" xfId="1" applyNumberFormat="1" applyFont="1" applyFill="1" applyBorder="1"/>
    <xf numFmtId="3" fontId="3" fillId="6" borderId="1" xfId="1" applyNumberFormat="1" applyFont="1" applyFill="1" applyBorder="1"/>
    <xf numFmtId="3" fontId="3" fillId="2" borderId="1" xfId="1" applyNumberFormat="1" applyFont="1" applyFill="1" applyBorder="1" applyAlignment="1"/>
    <xf numFmtId="3" fontId="7" fillId="0" borderId="0" xfId="1" applyNumberFormat="1" applyFont="1" applyBorder="1" applyAlignment="1"/>
    <xf numFmtId="3" fontId="7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7" fillId="0" borderId="1" xfId="0" applyNumberFormat="1" applyFont="1" applyBorder="1" applyAlignment="1"/>
    <xf numFmtId="3" fontId="7" fillId="0" borderId="1" xfId="1" applyNumberFormat="1" applyFont="1" applyBorder="1" applyAlignment="1"/>
    <xf numFmtId="0" fontId="7" fillId="0" borderId="2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6" fillId="0" borderId="0" xfId="0" applyFont="1" applyBorder="1" applyAlignment="1">
      <alignment vertical="center"/>
    </xf>
    <xf numFmtId="0" fontId="36" fillId="0" borderId="0" xfId="0" applyFont="1" applyBorder="1" applyAlignment="1"/>
    <xf numFmtId="0" fontId="7" fillId="8" borderId="1" xfId="0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9" fontId="28" fillId="0" borderId="1" xfId="3" applyFont="1" applyFill="1" applyBorder="1"/>
    <xf numFmtId="3" fontId="20" fillId="0" borderId="8" xfId="0" applyNumberFormat="1" applyFont="1" applyFill="1" applyBorder="1"/>
    <xf numFmtId="3" fontId="20" fillId="0" borderId="1" xfId="0" applyNumberFormat="1" applyFont="1" applyFill="1" applyBorder="1"/>
    <xf numFmtId="3" fontId="23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3" fillId="8" borderId="1" xfId="3" applyFont="1" applyFill="1" applyBorder="1" applyAlignment="1">
      <alignment vertical="center"/>
    </xf>
    <xf numFmtId="9" fontId="3" fillId="8" borderId="1" xfId="1" applyNumberFormat="1" applyFont="1" applyFill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2" fillId="2" borderId="1" xfId="0" applyFont="1" applyFill="1" applyBorder="1" applyAlignment="1">
      <alignment wrapText="1"/>
    </xf>
    <xf numFmtId="3" fontId="12" fillId="2" borderId="1" xfId="1" applyNumberFormat="1" applyFont="1" applyFill="1" applyBorder="1"/>
    <xf numFmtId="3" fontId="21" fillId="0" borderId="5" xfId="0" applyNumberFormat="1" applyFont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0" fillId="0" borderId="1" xfId="1" applyNumberFormat="1" applyFont="1" applyBorder="1"/>
    <xf numFmtId="3" fontId="21" fillId="2" borderId="1" xfId="1" applyNumberFormat="1" applyFont="1" applyFill="1" applyBorder="1"/>
    <xf numFmtId="3" fontId="21" fillId="0" borderId="1" xfId="1" applyNumberFormat="1" applyFont="1" applyBorder="1"/>
    <xf numFmtId="3" fontId="21" fillId="6" borderId="1" xfId="1" applyNumberFormat="1" applyFont="1" applyFill="1" applyBorder="1"/>
    <xf numFmtId="3" fontId="21" fillId="2" borderId="1" xfId="1" applyNumberFormat="1" applyFont="1" applyFill="1" applyBorder="1" applyAlignment="1"/>
    <xf numFmtId="3" fontId="21" fillId="2" borderId="1" xfId="0" applyNumberFormat="1" applyFont="1" applyFill="1" applyBorder="1" applyAlignment="1"/>
    <xf numFmtId="9" fontId="22" fillId="2" borderId="1" xfId="3" applyFont="1" applyFill="1" applyBorder="1"/>
    <xf numFmtId="9" fontId="38" fillId="0" borderId="1" xfId="3" applyFont="1" applyBorder="1"/>
    <xf numFmtId="9" fontId="22" fillId="0" borderId="1" xfId="3" applyFont="1" applyBorder="1"/>
    <xf numFmtId="9" fontId="22" fillId="6" borderId="1" xfId="3" applyFont="1" applyFill="1" applyBorder="1"/>
    <xf numFmtId="9" fontId="22" fillId="2" borderId="1" xfId="3" applyFont="1" applyFill="1" applyBorder="1" applyAlignment="1"/>
    <xf numFmtId="9" fontId="41" fillId="2" borderId="1" xfId="3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0" borderId="1" xfId="1" applyNumberFormat="1" applyFont="1" applyFill="1" applyBorder="1"/>
    <xf numFmtId="3" fontId="34" fillId="7" borderId="1" xfId="1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/>
    <xf numFmtId="3" fontId="7" fillId="0" borderId="0" xfId="1" applyNumberFormat="1" applyFont="1" applyAlignment="1"/>
    <xf numFmtId="3" fontId="7" fillId="0" borderId="0" xfId="0" applyNumberFormat="1" applyFont="1" applyAlignment="1"/>
    <xf numFmtId="9" fontId="22" fillId="0" borderId="1" xfId="3" applyFont="1" applyFill="1" applyBorder="1"/>
    <xf numFmtId="9" fontId="22" fillId="5" borderId="1" xfId="3" applyFont="1" applyFill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3" fontId="7" fillId="0" borderId="10" xfId="1" applyNumberFormat="1" applyFont="1" applyBorder="1" applyAlignment="1">
      <alignment horizontal="right"/>
    </xf>
    <xf numFmtId="9" fontId="15" fillId="0" borderId="10" xfId="3" applyFont="1" applyFill="1" applyBorder="1"/>
    <xf numFmtId="3" fontId="7" fillId="0" borderId="10" xfId="1" applyNumberFormat="1" applyFont="1" applyBorder="1" applyAlignment="1"/>
    <xf numFmtId="9" fontId="22" fillId="0" borderId="10" xfId="3" applyFont="1" applyFill="1" applyBorder="1"/>
    <xf numFmtId="9" fontId="7" fillId="0" borderId="19" xfId="3" applyFont="1" applyBorder="1"/>
    <xf numFmtId="0" fontId="1" fillId="2" borderId="1" xfId="0" applyFont="1" applyFill="1" applyBorder="1" applyAlignment="1">
      <alignment wrapText="1"/>
    </xf>
    <xf numFmtId="3" fontId="3" fillId="5" borderId="1" xfId="1" applyNumberFormat="1" applyFont="1" applyFill="1" applyBorder="1"/>
    <xf numFmtId="9" fontId="15" fillId="0" borderId="0" xfId="3" applyFont="1" applyFill="1" applyBorder="1"/>
    <xf numFmtId="9" fontId="15" fillId="5" borderId="1" xfId="3" applyFont="1" applyFill="1" applyBorder="1"/>
    <xf numFmtId="3" fontId="3" fillId="0" borderId="2" xfId="1" applyNumberFormat="1" applyFont="1" applyFill="1" applyBorder="1"/>
    <xf numFmtId="3" fontId="3" fillId="5" borderId="1" xfId="0" applyNumberFormat="1" applyFont="1" applyFill="1" applyBorder="1"/>
    <xf numFmtId="3" fontId="8" fillId="4" borderId="2" xfId="0" applyNumberFormat="1" applyFont="1" applyFill="1" applyBorder="1"/>
    <xf numFmtId="3" fontId="8" fillId="4" borderId="2" xfId="1" applyNumberFormat="1" applyFont="1" applyFill="1" applyBorder="1"/>
    <xf numFmtId="3" fontId="0" fillId="0" borderId="0" xfId="1" applyNumberFormat="1" applyFont="1" applyBorder="1"/>
    <xf numFmtId="3" fontId="3" fillId="2" borderId="2" xfId="1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8" fillId="0" borderId="1" xfId="1" applyNumberFormat="1" applyFont="1" applyBorder="1" applyAlignment="1"/>
    <xf numFmtId="3" fontId="7" fillId="0" borderId="2" xfId="0" applyNumberFormat="1" applyFont="1" applyBorder="1" applyAlignment="1"/>
    <xf numFmtId="3" fontId="7" fillId="0" borderId="2" xfId="1" applyNumberFormat="1" applyFont="1" applyBorder="1" applyAlignment="1"/>
    <xf numFmtId="3" fontId="4" fillId="2" borderId="1" xfId="1" applyNumberFormat="1" applyFont="1" applyFill="1" applyBorder="1" applyAlignment="1"/>
    <xf numFmtId="3" fontId="8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3" fillId="2" borderId="1" xfId="0" applyNumberFormat="1" applyFont="1" applyFill="1" applyBorder="1" applyAlignment="1"/>
    <xf numFmtId="3" fontId="7" fillId="0" borderId="2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Border="1"/>
    <xf numFmtId="0" fontId="27" fillId="0" borderId="0" xfId="0" applyFont="1" applyBorder="1"/>
    <xf numFmtId="0" fontId="3" fillId="0" borderId="0" xfId="0" applyFont="1" applyBorder="1"/>
    <xf numFmtId="3" fontId="27" fillId="0" borderId="0" xfId="0" applyNumberFormat="1" applyFont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/>
    <xf numFmtId="3" fontId="27" fillId="0" borderId="0" xfId="0" applyNumberFormat="1" applyFont="1" applyFill="1" applyBorder="1" applyAlignment="1">
      <alignment horizontal="center"/>
    </xf>
    <xf numFmtId="3" fontId="26" fillId="5" borderId="0" xfId="0" applyNumberFormat="1" applyFont="1" applyFill="1" applyBorder="1"/>
    <xf numFmtId="0" fontId="1" fillId="0" borderId="0" xfId="0" applyFont="1" applyFill="1" applyBorder="1"/>
    <xf numFmtId="0" fontId="42" fillId="0" borderId="0" xfId="0" applyFont="1" applyFill="1" applyBorder="1"/>
    <xf numFmtId="3" fontId="42" fillId="0" borderId="0" xfId="1" applyNumberFormat="1" applyFont="1" applyBorder="1"/>
    <xf numFmtId="0" fontId="42" fillId="0" borderId="0" xfId="0" applyFont="1"/>
    <xf numFmtId="0" fontId="44" fillId="0" borderId="0" xfId="0" applyFont="1" applyBorder="1"/>
    <xf numFmtId="0" fontId="44" fillId="0" borderId="0" xfId="0" applyFont="1"/>
    <xf numFmtId="3" fontId="44" fillId="0" borderId="0" xfId="0" applyNumberFormat="1" applyFont="1" applyBorder="1"/>
    <xf numFmtId="3" fontId="44" fillId="0" borderId="0" xfId="1" applyNumberFormat="1" applyFont="1" applyBorder="1"/>
    <xf numFmtId="0" fontId="7" fillId="10" borderId="0" xfId="0" applyFont="1" applyFill="1" applyBorder="1"/>
    <xf numFmtId="3" fontId="7" fillId="10" borderId="0" xfId="0" applyNumberFormat="1" applyFont="1" applyFill="1" applyBorder="1"/>
    <xf numFmtId="3" fontId="7" fillId="10" borderId="0" xfId="1" applyNumberFormat="1" applyFont="1" applyFill="1" applyBorder="1"/>
    <xf numFmtId="164" fontId="7" fillId="10" borderId="0" xfId="1" applyNumberFormat="1" applyFont="1" applyFill="1" applyBorder="1"/>
    <xf numFmtId="0" fontId="18" fillId="10" borderId="0" xfId="0" applyFont="1" applyFill="1" applyBorder="1"/>
    <xf numFmtId="0" fontId="18" fillId="10" borderId="0" xfId="0" applyFont="1" applyFill="1"/>
    <xf numFmtId="0" fontId="7" fillId="10" borderId="0" xfId="0" applyFont="1" applyFill="1"/>
    <xf numFmtId="0" fontId="1" fillId="11" borderId="2" xfId="0" applyFont="1" applyFill="1" applyBorder="1"/>
    <xf numFmtId="3" fontId="7" fillId="11" borderId="8" xfId="0" applyNumberFormat="1" applyFont="1" applyFill="1" applyBorder="1"/>
    <xf numFmtId="3" fontId="7" fillId="11" borderId="9" xfId="0" applyNumberFormat="1" applyFont="1" applyFill="1" applyBorder="1"/>
    <xf numFmtId="3" fontId="3" fillId="3" borderId="8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/>
    <xf numFmtId="3" fontId="14" fillId="0" borderId="0" xfId="0" applyNumberFormat="1" applyFont="1" applyFill="1" applyBorder="1"/>
    <xf numFmtId="3" fontId="4" fillId="0" borderId="0" xfId="0" applyNumberFormat="1" applyFont="1" applyFill="1" applyBorder="1"/>
    <xf numFmtId="9" fontId="3" fillId="0" borderId="0" xfId="1" applyNumberFormat="1" applyFont="1" applyFill="1" applyBorder="1"/>
    <xf numFmtId="3" fontId="32" fillId="0" borderId="0" xfId="0" applyNumberFormat="1" applyFont="1" applyFill="1" applyBorder="1"/>
    <xf numFmtId="3" fontId="23" fillId="7" borderId="0" xfId="0" applyNumberFormat="1" applyFont="1" applyFill="1" applyBorder="1" applyAlignment="1">
      <alignment horizontal="center"/>
    </xf>
    <xf numFmtId="0" fontId="4" fillId="8" borderId="0" xfId="0" applyFont="1" applyFill="1" applyBorder="1"/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4" fillId="8" borderId="0" xfId="0" applyNumberFormat="1" applyFont="1" applyFill="1" applyBorder="1" applyAlignment="1">
      <alignment vertical="center"/>
    </xf>
    <xf numFmtId="9" fontId="3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wrapText="1"/>
    </xf>
    <xf numFmtId="9" fontId="13" fillId="0" borderId="0" xfId="1" applyNumberFormat="1" applyFont="1" applyFill="1" applyBorder="1"/>
    <xf numFmtId="9" fontId="28" fillId="0" borderId="0" xfId="3" applyFont="1" applyFill="1" applyBorder="1"/>
    <xf numFmtId="0" fontId="3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3" fontId="8" fillId="0" borderId="0" xfId="1" applyNumberFormat="1" applyFont="1" applyBorder="1"/>
    <xf numFmtId="9" fontId="13" fillId="0" borderId="0" xfId="3" applyFont="1" applyFill="1" applyBorder="1"/>
    <xf numFmtId="0" fontId="3" fillId="11" borderId="0" xfId="0" applyFont="1" applyFill="1" applyBorder="1"/>
    <xf numFmtId="3" fontId="3" fillId="11" borderId="0" xfId="0" applyNumberFormat="1" applyFont="1" applyFill="1" applyBorder="1"/>
    <xf numFmtId="3" fontId="8" fillId="0" borderId="20" xfId="1" applyNumberFormat="1" applyFont="1" applyBorder="1"/>
    <xf numFmtId="9" fontId="27" fillId="0" borderId="1" xfId="3" applyFont="1" applyFill="1" applyBorder="1"/>
    <xf numFmtId="0" fontId="46" fillId="0" borderId="1" xfId="0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5" fontId="1" fillId="4" borderId="1" xfId="1" applyNumberFormat="1" applyFont="1" applyFill="1" applyBorder="1"/>
    <xf numFmtId="3" fontId="47" fillId="0" borderId="0" xfId="0" applyNumberFormat="1" applyFont="1" applyBorder="1"/>
    <xf numFmtId="165" fontId="1" fillId="0" borderId="1" xfId="1" applyNumberFormat="1" applyFont="1" applyFill="1" applyBorder="1"/>
    <xf numFmtId="3" fontId="3" fillId="0" borderId="2" xfId="1" applyNumberFormat="1" applyFont="1" applyBorder="1"/>
    <xf numFmtId="164" fontId="3" fillId="0" borderId="1" xfId="1" applyNumberFormat="1" applyFont="1" applyBorder="1"/>
    <xf numFmtId="165" fontId="4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26" fillId="0" borderId="20" xfId="0" applyNumberFormat="1" applyFont="1" applyBorder="1"/>
    <xf numFmtId="0" fontId="26" fillId="0" borderId="20" xfId="0" applyFont="1" applyBorder="1"/>
    <xf numFmtId="165" fontId="3" fillId="0" borderId="0" xfId="0" applyNumberFormat="1" applyFont="1" applyBorder="1"/>
    <xf numFmtId="3" fontId="48" fillId="12" borderId="0" xfId="0" applyNumberFormat="1" applyFont="1" applyFill="1" applyBorder="1"/>
    <xf numFmtId="0" fontId="49" fillId="12" borderId="0" xfId="0" applyFont="1" applyFill="1" applyBorder="1"/>
    <xf numFmtId="0" fontId="3" fillId="14" borderId="0" xfId="0" applyFont="1" applyFill="1" applyBorder="1"/>
    <xf numFmtId="165" fontId="1" fillId="0" borderId="1" xfId="1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8" xfId="1" applyNumberFormat="1" applyFont="1" applyBorder="1"/>
    <xf numFmtId="0" fontId="3" fillId="0" borderId="8" xfId="0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3" fontId="3" fillId="0" borderId="9" xfId="0" applyNumberFormat="1" applyFont="1" applyFill="1" applyBorder="1"/>
    <xf numFmtId="3" fontId="7" fillId="0" borderId="8" xfId="1" applyNumberFormat="1" applyFont="1" applyFill="1" applyBorder="1"/>
    <xf numFmtId="3" fontId="1" fillId="0" borderId="0" xfId="1" applyNumberFormat="1" applyFont="1" applyBorder="1"/>
    <xf numFmtId="0" fontId="7" fillId="0" borderId="31" xfId="0" applyFont="1" applyBorder="1"/>
    <xf numFmtId="0" fontId="7" fillId="0" borderId="16" xfId="0" applyFont="1" applyBorder="1"/>
    <xf numFmtId="164" fontId="7" fillId="0" borderId="16" xfId="1" applyNumberFormat="1" applyFont="1" applyBorder="1"/>
    <xf numFmtId="0" fontId="7" fillId="0" borderId="18" xfId="0" applyFont="1" applyBorder="1"/>
    <xf numFmtId="0" fontId="1" fillId="0" borderId="32" xfId="0" applyFont="1" applyBorder="1"/>
    <xf numFmtId="0" fontId="1" fillId="0" borderId="32" xfId="0" applyFont="1" applyFill="1" applyBorder="1"/>
    <xf numFmtId="0" fontId="1" fillId="0" borderId="34" xfId="0" applyFont="1" applyBorder="1"/>
    <xf numFmtId="0" fontId="7" fillId="0" borderId="32" xfId="0" applyFont="1" applyBorder="1"/>
    <xf numFmtId="0" fontId="3" fillId="0" borderId="34" xfId="0" applyFont="1" applyBorder="1"/>
    <xf numFmtId="0" fontId="7" fillId="0" borderId="33" xfId="0" applyFont="1" applyBorder="1"/>
    <xf numFmtId="0" fontId="3" fillId="13" borderId="35" xfId="0" applyFont="1" applyFill="1" applyBorder="1"/>
    <xf numFmtId="0" fontId="3" fillId="13" borderId="26" xfId="0" applyFont="1" applyFill="1" applyBorder="1"/>
    <xf numFmtId="3" fontId="3" fillId="13" borderId="26" xfId="0" applyNumberFormat="1" applyFont="1" applyFill="1" applyBorder="1"/>
    <xf numFmtId="3" fontId="3" fillId="13" borderId="26" xfId="1" applyNumberFormat="1" applyFont="1" applyFill="1" applyBorder="1"/>
    <xf numFmtId="3" fontId="3" fillId="13" borderId="36" xfId="0" applyNumberFormat="1" applyFont="1" applyFill="1" applyBorder="1"/>
    <xf numFmtId="0" fontId="11" fillId="0" borderId="11" xfId="0" applyFont="1" applyBorder="1"/>
    <xf numFmtId="0" fontId="7" fillId="0" borderId="13" xfId="0" applyFont="1" applyBorder="1"/>
    <xf numFmtId="0" fontId="11" fillId="0" borderId="31" xfId="0" applyFont="1" applyBorder="1"/>
    <xf numFmtId="0" fontId="1" fillId="0" borderId="16" xfId="0" applyFont="1" applyBorder="1"/>
    <xf numFmtId="3" fontId="7" fillId="0" borderId="18" xfId="0" applyNumberFormat="1" applyFont="1" applyBorder="1"/>
    <xf numFmtId="3" fontId="7" fillId="0" borderId="16" xfId="0" applyNumberFormat="1" applyFont="1" applyBorder="1"/>
    <xf numFmtId="3" fontId="7" fillId="0" borderId="16" xfId="1" applyNumberFormat="1" applyFont="1" applyBorder="1"/>
    <xf numFmtId="3" fontId="7" fillId="0" borderId="16" xfId="0" applyNumberFormat="1" applyFont="1" applyBorder="1" applyAlignment="1"/>
    <xf numFmtId="0" fontId="18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8" fillId="0" borderId="32" xfId="1" applyNumberFormat="1" applyFont="1" applyBorder="1"/>
    <xf numFmtId="9" fontId="15" fillId="0" borderId="33" xfId="3" applyFont="1" applyFill="1" applyBorder="1"/>
    <xf numFmtId="3" fontId="7" fillId="0" borderId="32" xfId="0" applyNumberFormat="1" applyFont="1" applyBorder="1"/>
    <xf numFmtId="3" fontId="7" fillId="0" borderId="31" xfId="0" applyNumberFormat="1" applyFont="1" applyBorder="1"/>
    <xf numFmtId="3" fontId="3" fillId="0" borderId="34" xfId="0" applyNumberFormat="1" applyFont="1" applyBorder="1"/>
    <xf numFmtId="3" fontId="1" fillId="0" borderId="32" xfId="0" applyNumberFormat="1" applyFont="1" applyBorder="1"/>
    <xf numFmtId="3" fontId="3" fillId="13" borderId="35" xfId="0" applyNumberFormat="1" applyFont="1" applyFill="1" applyBorder="1"/>
    <xf numFmtId="3" fontId="3" fillId="0" borderId="34" xfId="0" applyNumberFormat="1" applyFont="1" applyFill="1" applyBorder="1"/>
    <xf numFmtId="0" fontId="7" fillId="0" borderId="37" xfId="0" applyFont="1" applyBorder="1"/>
    <xf numFmtId="0" fontId="7" fillId="0" borderId="38" xfId="0" applyFont="1" applyBorder="1"/>
    <xf numFmtId="9" fontId="13" fillId="0" borderId="33" xfId="3" applyFont="1" applyFill="1" applyBorder="1"/>
    <xf numFmtId="3" fontId="7" fillId="0" borderId="32" xfId="0" applyNumberFormat="1" applyFont="1" applyBorder="1" applyAlignment="1"/>
    <xf numFmtId="3" fontId="7" fillId="0" borderId="31" xfId="0" applyNumberFormat="1" applyFont="1" applyBorder="1" applyAlignment="1"/>
    <xf numFmtId="3" fontId="7" fillId="0" borderId="33" xfId="0" applyNumberFormat="1" applyFont="1" applyBorder="1"/>
    <xf numFmtId="164" fontId="7" fillId="0" borderId="38" xfId="1" applyNumberFormat="1" applyFont="1" applyBorder="1"/>
    <xf numFmtId="3" fontId="14" fillId="0" borderId="32" xfId="0" applyNumberFormat="1" applyFont="1" applyFill="1" applyBorder="1" applyAlignment="1">
      <alignment horizontal="center"/>
    </xf>
    <xf numFmtId="3" fontId="7" fillId="0" borderId="32" xfId="1" applyNumberFormat="1" applyFont="1" applyBorder="1"/>
    <xf numFmtId="3" fontId="8" fillId="0" borderId="33" xfId="1" applyNumberFormat="1" applyFont="1" applyBorder="1"/>
    <xf numFmtId="3" fontId="7" fillId="0" borderId="15" xfId="0" applyNumberFormat="1" applyFont="1" applyBorder="1"/>
    <xf numFmtId="3" fontId="7" fillId="0" borderId="33" xfId="1" applyNumberFormat="1" applyFont="1" applyBorder="1"/>
    <xf numFmtId="3" fontId="7" fillId="0" borderId="18" xfId="1" applyNumberFormat="1" applyFont="1" applyBorder="1"/>
    <xf numFmtId="3" fontId="3" fillId="0" borderId="39" xfId="0" applyNumberFormat="1" applyFont="1" applyBorder="1"/>
    <xf numFmtId="3" fontId="1" fillId="0" borderId="33" xfId="0" applyNumberFormat="1" applyFont="1" applyBorder="1"/>
    <xf numFmtId="3" fontId="3" fillId="13" borderId="28" xfId="0" applyNumberFormat="1" applyFont="1" applyFill="1" applyBorder="1"/>
    <xf numFmtId="164" fontId="7" fillId="0" borderId="33" xfId="1" applyNumberFormat="1" applyFont="1" applyBorder="1"/>
    <xf numFmtId="164" fontId="7" fillId="0" borderId="18" xfId="1" applyNumberFormat="1" applyFont="1" applyBorder="1"/>
    <xf numFmtId="3" fontId="3" fillId="0" borderId="39" xfId="0" applyNumberFormat="1" applyFont="1" applyFill="1" applyBorder="1"/>
    <xf numFmtId="164" fontId="7" fillId="0" borderId="14" xfId="1" applyNumberFormat="1" applyFont="1" applyBorder="1"/>
    <xf numFmtId="0" fontId="1" fillId="0" borderId="18" xfId="0" applyFont="1" applyBorder="1"/>
    <xf numFmtId="0" fontId="1" fillId="0" borderId="31" xfId="0" applyFont="1" applyBorder="1"/>
    <xf numFmtId="0" fontId="3" fillId="0" borderId="32" xfId="0" applyFont="1" applyBorder="1"/>
    <xf numFmtId="0" fontId="3" fillId="0" borderId="32" xfId="0" applyFont="1" applyFill="1" applyBorder="1"/>
    <xf numFmtId="0" fontId="1" fillId="0" borderId="34" xfId="0" applyFont="1" applyFill="1" applyBorder="1"/>
    <xf numFmtId="0" fontId="3" fillId="0" borderId="34" xfId="0" applyFont="1" applyFill="1" applyBorder="1"/>
    <xf numFmtId="165" fontId="8" fillId="0" borderId="3" xfId="1" applyNumberFormat="1" applyFont="1" applyBorder="1"/>
    <xf numFmtId="164" fontId="7" fillId="0" borderId="3" xfId="1" applyNumberFormat="1" applyFont="1" applyBorder="1"/>
    <xf numFmtId="164" fontId="7" fillId="0" borderId="24" xfId="1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7" fillId="0" borderId="24" xfId="0" applyNumberFormat="1" applyFont="1" applyBorder="1"/>
    <xf numFmtId="164" fontId="7" fillId="0" borderId="27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Fill="1" applyBorder="1"/>
    <xf numFmtId="0" fontId="7" fillId="15" borderId="0" xfId="0" applyFont="1" applyFill="1" applyAlignment="1">
      <alignment wrapText="1"/>
    </xf>
    <xf numFmtId="3" fontId="7" fillId="15" borderId="0" xfId="1" applyNumberFormat="1" applyFont="1" applyFill="1"/>
    <xf numFmtId="3" fontId="7" fillId="15" borderId="0" xfId="0" applyNumberFormat="1" applyFont="1" applyFill="1"/>
    <xf numFmtId="0" fontId="7" fillId="15" borderId="0" xfId="0" applyFont="1" applyFill="1" applyBorder="1"/>
    <xf numFmtId="3" fontId="20" fillId="15" borderId="6" xfId="0" applyNumberFormat="1" applyFont="1" applyFill="1" applyBorder="1"/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9" fontId="15" fillId="2" borderId="1" xfId="3" applyFont="1" applyFill="1" applyBorder="1" applyAlignment="1">
      <alignment vertical="center"/>
    </xf>
    <xf numFmtId="9" fontId="22" fillId="5" borderId="1" xfId="3" applyFont="1" applyFill="1" applyBorder="1" applyAlignment="1">
      <alignment vertical="center"/>
    </xf>
    <xf numFmtId="9" fontId="7" fillId="0" borderId="2" xfId="3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5" fillId="2" borderId="1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25" fillId="2" borderId="2" xfId="1" applyNumberFormat="1" applyFont="1" applyFill="1" applyBorder="1" applyAlignment="1">
      <alignment horizontal="right" vertical="center"/>
    </xf>
    <xf numFmtId="3" fontId="25" fillId="2" borderId="2" xfId="1" applyNumberFormat="1" applyFont="1" applyFill="1" applyBorder="1" applyAlignment="1">
      <alignment vertical="center"/>
    </xf>
    <xf numFmtId="165" fontId="7" fillId="0" borderId="9" xfId="1" applyNumberFormat="1" applyFont="1" applyFill="1" applyBorder="1"/>
    <xf numFmtId="165" fontId="3" fillId="0" borderId="9" xfId="1" applyNumberFormat="1" applyFont="1" applyFill="1" applyBorder="1"/>
    <xf numFmtId="165" fontId="27" fillId="0" borderId="9" xfId="1" applyNumberFormat="1" applyFont="1" applyFill="1" applyBorder="1"/>
    <xf numFmtId="3" fontId="23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3" fontId="14" fillId="0" borderId="7" xfId="0" applyNumberFormat="1" applyFont="1" applyFill="1" applyBorder="1"/>
    <xf numFmtId="9" fontId="28" fillId="0" borderId="3" xfId="3" applyFont="1" applyFill="1" applyBorder="1"/>
    <xf numFmtId="164" fontId="3" fillId="3" borderId="7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8" fillId="0" borderId="7" xfId="1" applyNumberFormat="1" applyFont="1" applyBorder="1"/>
    <xf numFmtId="9" fontId="15" fillId="0" borderId="3" xfId="3" applyFont="1" applyFill="1" applyBorder="1"/>
    <xf numFmtId="3" fontId="7" fillId="0" borderId="7" xfId="0" applyNumberFormat="1" applyFont="1" applyBorder="1"/>
    <xf numFmtId="0" fontId="7" fillId="0" borderId="3" xfId="0" applyFont="1" applyBorder="1"/>
    <xf numFmtId="3" fontId="48" fillId="12" borderId="7" xfId="0" applyNumberFormat="1" applyFont="1" applyFill="1" applyBorder="1"/>
    <xf numFmtId="3" fontId="3" fillId="11" borderId="7" xfId="0" applyNumberFormat="1" applyFont="1" applyFill="1" applyBorder="1"/>
    <xf numFmtId="0" fontId="7" fillId="0" borderId="7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3" xfId="0" applyFont="1" applyBorder="1"/>
    <xf numFmtId="165" fontId="7" fillId="0" borderId="8" xfId="1" applyNumberFormat="1" applyFont="1" applyFill="1" applyBorder="1"/>
    <xf numFmtId="165" fontId="3" fillId="0" borderId="8" xfId="1" applyNumberFormat="1" applyFont="1" applyFill="1" applyBorder="1"/>
    <xf numFmtId="165" fontId="27" fillId="0" borderId="8" xfId="1" applyNumberFormat="1" applyFont="1" applyFill="1" applyBorder="1"/>
    <xf numFmtId="9" fontId="13" fillId="0" borderId="3" xfId="3" applyFont="1" applyFill="1" applyBorder="1"/>
    <xf numFmtId="3" fontId="7" fillId="0" borderId="7" xfId="0" applyNumberFormat="1" applyFont="1" applyBorder="1" applyAlignment="1"/>
    <xf numFmtId="3" fontId="48" fillId="12" borderId="3" xfId="0" applyNumberFormat="1" applyFont="1" applyFill="1" applyBorder="1"/>
    <xf numFmtId="3" fontId="3" fillId="11" borderId="3" xfId="0" applyNumberFormat="1" applyFont="1" applyFill="1" applyBorder="1"/>
    <xf numFmtId="164" fontId="7" fillId="0" borderId="5" xfId="1" applyNumberFormat="1" applyFont="1" applyBorder="1"/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14" fillId="0" borderId="7" xfId="0" applyNumberFormat="1" applyFont="1" applyFill="1" applyBorder="1" applyAlignment="1">
      <alignment horizontal="center"/>
    </xf>
    <xf numFmtId="3" fontId="32" fillId="8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/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Border="1"/>
    <xf numFmtId="3" fontId="8" fillId="0" borderId="3" xfId="1" applyNumberFormat="1" applyFont="1" applyBorder="1"/>
    <xf numFmtId="3" fontId="7" fillId="0" borderId="3" xfId="1" applyNumberFormat="1" applyFont="1" applyBorder="1"/>
    <xf numFmtId="3" fontId="47" fillId="0" borderId="7" xfId="0" applyNumberFormat="1" applyFont="1" applyBorder="1"/>
    <xf numFmtId="164" fontId="7" fillId="0" borderId="23" xfId="1" applyNumberFormat="1" applyFont="1" applyBorder="1"/>
    <xf numFmtId="3" fontId="1" fillId="0" borderId="7" xfId="0" applyNumberFormat="1" applyFont="1" applyBorder="1"/>
    <xf numFmtId="0" fontId="26" fillId="0" borderId="12" xfId="0" applyFont="1" applyFill="1" applyBorder="1"/>
    <xf numFmtId="0" fontId="1" fillId="0" borderId="1" xfId="0" applyFont="1" applyBorder="1"/>
    <xf numFmtId="3" fontId="1" fillId="0" borderId="1" xfId="1" applyNumberFormat="1" applyFont="1" applyBorder="1" applyAlignment="1"/>
    <xf numFmtId="9" fontId="50" fillId="0" borderId="0" xfId="3" applyFont="1" applyBorder="1" applyAlignment="1">
      <alignment horizontal="center"/>
    </xf>
    <xf numFmtId="9" fontId="50" fillId="0" borderId="33" xfId="3" applyFont="1" applyBorder="1" applyAlignment="1">
      <alignment horizontal="center"/>
    </xf>
    <xf numFmtId="9" fontId="50" fillId="0" borderId="8" xfId="3" applyFont="1" applyBorder="1" applyAlignment="1">
      <alignment horizontal="center"/>
    </xf>
    <xf numFmtId="9" fontId="50" fillId="0" borderId="39" xfId="3" applyFont="1" applyBorder="1" applyAlignment="1">
      <alignment horizontal="center"/>
    </xf>
    <xf numFmtId="9" fontId="28" fillId="0" borderId="8" xfId="3" applyFont="1" applyBorder="1" applyAlignment="1">
      <alignment horizontal="center"/>
    </xf>
    <xf numFmtId="9" fontId="28" fillId="0" borderId="39" xfId="3" applyFont="1" applyBorder="1" applyAlignment="1">
      <alignment horizontal="center"/>
    </xf>
    <xf numFmtId="9" fontId="28" fillId="13" borderId="26" xfId="3" applyFont="1" applyFill="1" applyBorder="1" applyAlignment="1">
      <alignment horizontal="center"/>
    </xf>
    <xf numFmtId="9" fontId="28" fillId="13" borderId="28" xfId="3" applyFont="1" applyFill="1" applyBorder="1" applyAlignment="1">
      <alignment horizontal="center"/>
    </xf>
    <xf numFmtId="9" fontId="50" fillId="0" borderId="16" xfId="3" applyFont="1" applyBorder="1" applyAlignment="1">
      <alignment horizontal="center"/>
    </xf>
    <xf numFmtId="9" fontId="50" fillId="0" borderId="18" xfId="3" applyFont="1" applyBorder="1" applyAlignment="1">
      <alignment horizontal="center"/>
    </xf>
    <xf numFmtId="9" fontId="50" fillId="0" borderId="8" xfId="3" applyFont="1" applyFill="1" applyBorder="1" applyAlignment="1">
      <alignment horizontal="center"/>
    </xf>
    <xf numFmtId="9" fontId="50" fillId="0" borderId="39" xfId="3" applyFont="1" applyFill="1" applyBorder="1" applyAlignment="1">
      <alignment horizontal="center"/>
    </xf>
    <xf numFmtId="9" fontId="28" fillId="0" borderId="8" xfId="3" applyFont="1" applyFill="1" applyBorder="1" applyAlignment="1">
      <alignment horizontal="center"/>
    </xf>
    <xf numFmtId="9" fontId="28" fillId="0" borderId="39" xfId="3" applyFont="1" applyFill="1" applyBorder="1" applyAlignment="1">
      <alignment horizontal="center"/>
    </xf>
    <xf numFmtId="9" fontId="50" fillId="0" borderId="38" xfId="3" applyFont="1" applyBorder="1" applyAlignment="1">
      <alignment horizontal="center"/>
    </xf>
    <xf numFmtId="9" fontId="50" fillId="0" borderId="14" xfId="3" applyFont="1" applyBorder="1" applyAlignment="1">
      <alignment horizontal="center"/>
    </xf>
    <xf numFmtId="9" fontId="50" fillId="0" borderId="33" xfId="3" applyNumberFormat="1" applyFont="1" applyBorder="1" applyAlignment="1">
      <alignment horizontal="center"/>
    </xf>
    <xf numFmtId="9" fontId="50" fillId="0" borderId="17" xfId="3" applyNumberFormat="1" applyFont="1" applyBorder="1" applyAlignment="1">
      <alignment horizontal="center"/>
    </xf>
    <xf numFmtId="9" fontId="18" fillId="0" borderId="33" xfId="0" applyNumberFormat="1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3" fontId="1" fillId="0" borderId="1" xfId="1" applyNumberFormat="1" applyFont="1" applyBorder="1" applyAlignment="1">
      <alignment vertical="center"/>
    </xf>
    <xf numFmtId="3" fontId="1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21" fillId="0" borderId="6" xfId="0" applyNumberFormat="1" applyFont="1" applyBorder="1"/>
    <xf numFmtId="0" fontId="51" fillId="0" borderId="1" xfId="0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3" fontId="1" fillId="0" borderId="2" xfId="1" applyNumberFormat="1" applyFont="1" applyBorder="1"/>
    <xf numFmtId="0" fontId="1" fillId="0" borderId="0" xfId="0" applyFont="1" applyAlignment="1">
      <alignment wrapText="1"/>
    </xf>
    <xf numFmtId="0" fontId="7" fillId="4" borderId="1" xfId="0" applyFont="1" applyFill="1" applyBorder="1" applyAlignment="1">
      <alignment wrapText="1"/>
    </xf>
    <xf numFmtId="3" fontId="7" fillId="4" borderId="1" xfId="1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/>
    <xf numFmtId="3" fontId="7" fillId="4" borderId="2" xfId="0" applyNumberFormat="1" applyFont="1" applyFill="1" applyBorder="1"/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/>
    </xf>
    <xf numFmtId="10" fontId="7" fillId="0" borderId="1" xfId="3" applyNumberFormat="1" applyFont="1" applyBorder="1" applyAlignment="1">
      <alignment horizontal="center"/>
    </xf>
    <xf numFmtId="3" fontId="1" fillId="4" borderId="1" xfId="1" applyNumberFormat="1" applyFont="1" applyFill="1" applyBorder="1"/>
    <xf numFmtId="3" fontId="3" fillId="4" borderId="1" xfId="1" applyNumberFormat="1" applyFont="1" applyFill="1" applyBorder="1"/>
    <xf numFmtId="9" fontId="8" fillId="0" borderId="0" xfId="3" applyFont="1" applyBorder="1"/>
    <xf numFmtId="0" fontId="36" fillId="0" borderId="0" xfId="0" applyFont="1" applyBorder="1" applyAlignment="1">
      <alignment horizontal="center"/>
    </xf>
    <xf numFmtId="165" fontId="8" fillId="0" borderId="0" xfId="1" applyNumberFormat="1" applyFont="1" applyBorder="1" applyAlignment="1">
      <alignment horizontal="right"/>
    </xf>
    <xf numFmtId="3" fontId="18" fillId="0" borderId="0" xfId="0" applyNumberFormat="1" applyFont="1" applyBorder="1"/>
    <xf numFmtId="3" fontId="32" fillId="0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/>
    <xf numFmtId="0" fontId="19" fillId="0" borderId="21" xfId="0" applyFont="1" applyBorder="1" applyAlignment="1"/>
    <xf numFmtId="3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0" borderId="29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5" xfId="0" applyFont="1" applyBorder="1" applyAlignment="1"/>
    <xf numFmtId="0" fontId="19" fillId="0" borderId="30" xfId="0" applyFont="1" applyBorder="1" applyAlignment="1"/>
    <xf numFmtId="3" fontId="3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6" fillId="0" borderId="7" xfId="0" applyFont="1" applyBorder="1" applyAlignment="1"/>
    <xf numFmtId="0" fontId="39" fillId="0" borderId="0" xfId="0" applyFont="1" applyAlignment="1"/>
    <xf numFmtId="3" fontId="32" fillId="0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9" fillId="0" borderId="5" xfId="0" applyFont="1" applyFill="1" applyBorder="1" applyAlignment="1"/>
    <xf numFmtId="0" fontId="19" fillId="0" borderId="23" xfId="0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</cellXfs>
  <cellStyles count="54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al_KTRSZJ" xfId="53"/>
    <cellStyle name="Összesen 2" xfId="49"/>
    <cellStyle name="Rossz 2" xfId="50"/>
    <cellStyle name="Semleges 2" xfId="51"/>
    <cellStyle name="Számítás 2" xfId="52"/>
    <cellStyle name="Százalék" xfId="3" builtinId="5"/>
  </cellStyles>
  <dxfs count="0"/>
  <tableStyles count="0" defaultTableStyle="TableStyleMedium2" defaultPivotStyle="PivotStyleLight16"/>
  <colors>
    <mruColors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view="pageBreakPreview" topLeftCell="A34" zoomScale="85" zoomScaleNormal="75" zoomScaleSheetLayoutView="85" workbookViewId="0">
      <selection activeCell="C101" sqref="C101"/>
    </sheetView>
  </sheetViews>
  <sheetFormatPr defaultRowHeight="12.75" x14ac:dyDescent="0.2"/>
  <cols>
    <col min="1" max="1" width="6.42578125" style="22" bestFit="1" customWidth="1"/>
    <col min="2" max="2" width="41.42578125" style="22" customWidth="1"/>
    <col min="3" max="3" width="15.5703125" style="22" customWidth="1"/>
    <col min="4" max="6" width="15.5703125" style="23" customWidth="1"/>
    <col min="7" max="7" width="0.85546875" style="23" customWidth="1"/>
    <col min="8" max="8" width="15.5703125" style="22" customWidth="1"/>
    <col min="9" max="10" width="15.5703125" style="23" customWidth="1"/>
    <col min="11" max="11" width="0.85546875" style="23" customWidth="1"/>
    <col min="12" max="14" width="10.5703125" style="22" customWidth="1"/>
    <col min="15" max="15" width="0.85546875" style="23" customWidth="1"/>
    <col min="16" max="18" width="14.5703125" style="22" customWidth="1"/>
    <col min="19" max="19" width="15.5703125" style="22" customWidth="1"/>
    <col min="20" max="20" width="10.5703125" style="22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452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0.25" hidden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75" x14ac:dyDescent="0.25">
      <c r="A7" s="48"/>
      <c r="B7" s="48"/>
      <c r="C7" s="605" t="s">
        <v>408</v>
      </c>
      <c r="D7" s="606"/>
      <c r="E7" s="606"/>
      <c r="F7" s="607"/>
      <c r="G7" s="375"/>
      <c r="H7" s="605" t="s">
        <v>407</v>
      </c>
      <c r="I7" s="608"/>
      <c r="J7" s="608"/>
      <c r="K7" s="608"/>
      <c r="L7" s="608"/>
      <c r="M7" s="608"/>
      <c r="N7" s="609"/>
      <c r="O7" s="375"/>
      <c r="P7" s="605" t="s">
        <v>404</v>
      </c>
      <c r="Q7" s="606"/>
      <c r="R7" s="606"/>
      <c r="S7" s="606"/>
      <c r="T7" s="607"/>
      <c r="U7"/>
    </row>
    <row r="8" spans="1:27" ht="15" x14ac:dyDescent="0.25">
      <c r="A8" s="48"/>
      <c r="B8" s="48"/>
      <c r="C8" s="548"/>
      <c r="D8" s="494"/>
      <c r="E8" s="494"/>
      <c r="F8" s="520"/>
      <c r="G8" s="372"/>
      <c r="H8" s="610" t="s">
        <v>421</v>
      </c>
      <c r="I8" s="611"/>
      <c r="J8" s="611"/>
      <c r="K8" s="493"/>
      <c r="L8" s="612" t="s">
        <v>420</v>
      </c>
      <c r="M8" s="611"/>
      <c r="N8" s="613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1</v>
      </c>
      <c r="S8" s="494"/>
      <c r="T8" s="520"/>
      <c r="U8"/>
    </row>
    <row r="9" spans="1:27" ht="20.100000000000001" customHeight="1" x14ac:dyDescent="0.2">
      <c r="A9" s="377"/>
      <c r="B9" s="378" t="s">
        <v>378</v>
      </c>
      <c r="C9" s="521">
        <f>+C23</f>
        <v>1256317924</v>
      </c>
      <c r="D9" s="379">
        <f t="shared" ref="D9:J9" si="0">+D23</f>
        <v>1690615637</v>
      </c>
      <c r="E9" s="379">
        <f t="shared" si="0"/>
        <v>1884380262</v>
      </c>
      <c r="F9" s="549">
        <f t="shared" si="0"/>
        <v>1848157543</v>
      </c>
      <c r="G9" s="379"/>
      <c r="H9" s="521">
        <f t="shared" si="0"/>
        <v>528544802</v>
      </c>
      <c r="I9" s="379">
        <f t="shared" si="0"/>
        <v>959836765</v>
      </c>
      <c r="J9" s="379">
        <f t="shared" si="0"/>
        <v>1441454894</v>
      </c>
      <c r="K9" s="380"/>
      <c r="L9" s="381">
        <f>H9/C9</f>
        <v>0.42070943341886125</v>
      </c>
      <c r="M9" s="382">
        <f>I9/D9</f>
        <v>0.56774392948549313</v>
      </c>
      <c r="N9" s="522">
        <f>+J9/E9</f>
        <v>0.76494905145636682</v>
      </c>
      <c r="O9" s="380"/>
      <c r="P9" s="521">
        <f>IF(D9&gt;0,+D9-C9,0)</f>
        <v>434297713</v>
      </c>
      <c r="Q9" s="379">
        <f>IF(E9&gt;0,+E9-D9,0)</f>
        <v>193764625</v>
      </c>
      <c r="R9" s="379">
        <f>IF(F9&gt;0,+F9-E9,0)</f>
        <v>-36222719</v>
      </c>
      <c r="S9" s="379">
        <f>SUM(P9:R9)</f>
        <v>591839619</v>
      </c>
      <c r="T9" s="522">
        <f>+S9/C9</f>
        <v>0.47109064329484168</v>
      </c>
      <c r="U9" s="271"/>
      <c r="V9" s="254">
        <f>+S9-E9+C9</f>
        <v>-36222719</v>
      </c>
    </row>
    <row r="10" spans="1:27" ht="15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">
      <c r="A11" s="387" t="s">
        <v>373</v>
      </c>
      <c r="B11" s="38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370"/>
      <c r="V11" s="138" t="s">
        <v>410</v>
      </c>
    </row>
    <row r="12" spans="1:27" x14ac:dyDescent="0.2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x14ac:dyDescent="0.2">
      <c r="A13" s="35" t="s">
        <v>0</v>
      </c>
      <c r="B13" s="545" t="s">
        <v>3</v>
      </c>
      <c r="C13" s="172">
        <f>+C37</f>
        <v>419583100</v>
      </c>
      <c r="D13" s="172">
        <f t="shared" ref="D13:E13" si="1">+D37</f>
        <v>419631100</v>
      </c>
      <c r="E13" s="172">
        <f t="shared" si="1"/>
        <v>420708303</v>
      </c>
      <c r="F13" s="172">
        <f t="shared" ref="F13:J13" si="2">+F37</f>
        <v>416511227</v>
      </c>
      <c r="G13" s="537"/>
      <c r="H13" s="172">
        <f t="shared" si="2"/>
        <v>196211923</v>
      </c>
      <c r="I13" s="172">
        <f t="shared" si="2"/>
        <v>304691603</v>
      </c>
      <c r="J13" s="172">
        <f t="shared" si="2"/>
        <v>407945093</v>
      </c>
      <c r="K13" s="172"/>
      <c r="L13" s="36">
        <f t="shared" ref="L13:N19" si="3">H13/D13</f>
        <v>0.46758193804034065</v>
      </c>
      <c r="M13" s="36">
        <f t="shared" si="3"/>
        <v>0.72423482214944546</v>
      </c>
      <c r="N13" s="36">
        <f t="shared" si="3"/>
        <v>0.97943360599977292</v>
      </c>
      <c r="O13" s="537"/>
      <c r="P13" s="187">
        <f t="shared" ref="P13:R21" si="4">+(D13-C13)*P$8</f>
        <v>48000</v>
      </c>
      <c r="Q13" s="187">
        <f t="shared" si="4"/>
        <v>1077203</v>
      </c>
      <c r="R13" s="187">
        <f t="shared" si="4"/>
        <v>-4197076</v>
      </c>
      <c r="S13" s="187">
        <f t="shared" ref="S13:S21" si="5">SUM(P13:R13)</f>
        <v>-3071873</v>
      </c>
      <c r="T13" s="188">
        <f t="shared" ref="T13:T24" si="6">IF(C13=0,0,+S13/C13)</f>
        <v>-7.3212505460777616E-3</v>
      </c>
      <c r="U13" s="516"/>
      <c r="V13" s="263">
        <f t="shared" ref="V13:V24" si="7">+S13-E13+C13</f>
        <v>-4197076</v>
      </c>
    </row>
    <row r="14" spans="1:27" ht="15" customHeight="1" x14ac:dyDescent="0.2">
      <c r="A14" s="35" t="s">
        <v>26</v>
      </c>
      <c r="B14" s="545" t="s">
        <v>457</v>
      </c>
      <c r="C14" s="172">
        <f>+C49</f>
        <v>83972000</v>
      </c>
      <c r="D14" s="172">
        <f t="shared" ref="D14:E14" si="8">+D49</f>
        <v>83972000</v>
      </c>
      <c r="E14" s="172">
        <f t="shared" si="8"/>
        <v>83972000</v>
      </c>
      <c r="F14" s="172">
        <f t="shared" ref="F14:J14" si="9">+F49</f>
        <v>91007335</v>
      </c>
      <c r="G14" s="537"/>
      <c r="H14" s="172">
        <f t="shared" si="9"/>
        <v>45860944</v>
      </c>
      <c r="I14" s="172">
        <f t="shared" si="9"/>
        <v>69073185</v>
      </c>
      <c r="J14" s="172">
        <f t="shared" si="9"/>
        <v>89071156</v>
      </c>
      <c r="K14" s="172"/>
      <c r="L14" s="36">
        <f t="shared" si="3"/>
        <v>0.54614566760348693</v>
      </c>
      <c r="M14" s="36">
        <f t="shared" si="3"/>
        <v>0.82257401276616016</v>
      </c>
      <c r="N14" s="36">
        <f t="shared" si="3"/>
        <v>0.97872502254900662</v>
      </c>
      <c r="O14" s="537"/>
      <c r="P14" s="187">
        <f t="shared" si="4"/>
        <v>0</v>
      </c>
      <c r="Q14" s="187">
        <f t="shared" si="4"/>
        <v>0</v>
      </c>
      <c r="R14" s="187">
        <f t="shared" si="4"/>
        <v>7035335</v>
      </c>
      <c r="S14" s="187">
        <f t="shared" si="5"/>
        <v>7035335</v>
      </c>
      <c r="T14" s="188">
        <f t="shared" si="6"/>
        <v>8.3781915400371554E-2</v>
      </c>
      <c r="U14" s="516"/>
      <c r="V14" s="263">
        <f t="shared" si="7"/>
        <v>7035335</v>
      </c>
    </row>
    <row r="15" spans="1:27" x14ac:dyDescent="0.2">
      <c r="A15" s="35" t="s">
        <v>29</v>
      </c>
      <c r="B15" s="545" t="s">
        <v>30</v>
      </c>
      <c r="C15" s="172">
        <f>+C61</f>
        <v>235214999</v>
      </c>
      <c r="D15" s="403">
        <f t="shared" ref="D15:E15" si="10">+D61</f>
        <v>280010999</v>
      </c>
      <c r="E15" s="172">
        <f t="shared" si="10"/>
        <v>338927535</v>
      </c>
      <c r="F15" s="172">
        <f t="shared" ref="F15:J15" si="11">+F61</f>
        <v>329872645</v>
      </c>
      <c r="G15" s="537"/>
      <c r="H15" s="403">
        <f t="shared" si="11"/>
        <v>151106445</v>
      </c>
      <c r="I15" s="403">
        <f t="shared" si="11"/>
        <v>236485134</v>
      </c>
      <c r="J15" s="172">
        <f t="shared" si="11"/>
        <v>308067633</v>
      </c>
      <c r="K15" s="172"/>
      <c r="L15" s="36">
        <f t="shared" si="3"/>
        <v>0.53964467660072168</v>
      </c>
      <c r="M15" s="36">
        <f t="shared" si="3"/>
        <v>0.69774541628787989</v>
      </c>
      <c r="N15" s="36">
        <f t="shared" si="3"/>
        <v>0.93389869596492303</v>
      </c>
      <c r="O15" s="537"/>
      <c r="P15" s="187">
        <f t="shared" si="4"/>
        <v>44796000</v>
      </c>
      <c r="Q15" s="187">
        <f t="shared" si="4"/>
        <v>58916536</v>
      </c>
      <c r="R15" s="187">
        <f t="shared" si="4"/>
        <v>-9054890</v>
      </c>
      <c r="S15" s="187">
        <f t="shared" si="5"/>
        <v>94657646</v>
      </c>
      <c r="T15" s="188">
        <f t="shared" si="6"/>
        <v>0.40243031440354704</v>
      </c>
      <c r="U15" s="516"/>
      <c r="V15" s="263">
        <f t="shared" si="7"/>
        <v>-9054890</v>
      </c>
    </row>
    <row r="16" spans="1:27" x14ac:dyDescent="0.2">
      <c r="A16" s="35" t="s">
        <v>111</v>
      </c>
      <c r="B16" s="545" t="s">
        <v>112</v>
      </c>
      <c r="C16" s="172">
        <f>+C73</f>
        <v>19500000</v>
      </c>
      <c r="D16" s="172">
        <f t="shared" ref="D16:E16" si="12">+D73</f>
        <v>20000000</v>
      </c>
      <c r="E16" s="172">
        <f t="shared" si="12"/>
        <v>22040000</v>
      </c>
      <c r="F16" s="172">
        <f t="shared" ref="F16:J16" si="13">+F73</f>
        <v>22398000</v>
      </c>
      <c r="G16" s="537"/>
      <c r="H16" s="172">
        <f t="shared" si="13"/>
        <v>8657425</v>
      </c>
      <c r="I16" s="172">
        <f t="shared" si="13"/>
        <v>14557125</v>
      </c>
      <c r="J16" s="172">
        <f t="shared" si="13"/>
        <v>21198245</v>
      </c>
      <c r="K16" s="172"/>
      <c r="L16" s="36">
        <f t="shared" si="3"/>
        <v>0.43287124999999999</v>
      </c>
      <c r="M16" s="36">
        <f t="shared" si="3"/>
        <v>0.66048661524500907</v>
      </c>
      <c r="N16" s="36">
        <f t="shared" si="3"/>
        <v>0.94643472631484959</v>
      </c>
      <c r="O16" s="537"/>
      <c r="P16" s="187">
        <f t="shared" si="4"/>
        <v>500000</v>
      </c>
      <c r="Q16" s="187">
        <f t="shared" si="4"/>
        <v>2040000</v>
      </c>
      <c r="R16" s="187">
        <f t="shared" si="4"/>
        <v>358000</v>
      </c>
      <c r="S16" s="187">
        <f t="shared" si="5"/>
        <v>2898000</v>
      </c>
      <c r="T16" s="188">
        <f t="shared" si="6"/>
        <v>0.14861538461538462</v>
      </c>
      <c r="U16" s="516"/>
      <c r="V16" s="263">
        <f t="shared" si="7"/>
        <v>358000</v>
      </c>
    </row>
    <row r="17" spans="1:22" x14ac:dyDescent="0.2">
      <c r="A17" s="35" t="s">
        <v>376</v>
      </c>
      <c r="B17" s="545" t="s">
        <v>141</v>
      </c>
      <c r="C17" s="172">
        <f>+C85</f>
        <v>174456925</v>
      </c>
      <c r="D17" s="172">
        <f t="shared" ref="D17:E17" si="14">+D85</f>
        <v>144494000</v>
      </c>
      <c r="E17" s="172">
        <f t="shared" si="14"/>
        <v>144625000</v>
      </c>
      <c r="F17" s="172">
        <f t="shared" ref="F17:J17" si="15">+F85</f>
        <v>142311000</v>
      </c>
      <c r="G17" s="537"/>
      <c r="H17" s="172">
        <f t="shared" si="15"/>
        <v>97482764</v>
      </c>
      <c r="I17" s="172">
        <f t="shared" si="15"/>
        <v>117252118</v>
      </c>
      <c r="J17" s="172">
        <f t="shared" si="15"/>
        <v>138791262</v>
      </c>
      <c r="K17" s="172"/>
      <c r="L17" s="36">
        <f t="shared" si="3"/>
        <v>0.6746492172685371</v>
      </c>
      <c r="M17" s="36">
        <f t="shared" si="3"/>
        <v>0.81073201728608468</v>
      </c>
      <c r="N17" s="36">
        <f t="shared" si="3"/>
        <v>0.97526728081455405</v>
      </c>
      <c r="O17" s="537"/>
      <c r="P17" s="187">
        <f t="shared" si="4"/>
        <v>-29962925</v>
      </c>
      <c r="Q17" s="187">
        <f t="shared" si="4"/>
        <v>131000</v>
      </c>
      <c r="R17" s="187">
        <f t="shared" si="4"/>
        <v>-2314000</v>
      </c>
      <c r="S17" s="187">
        <f t="shared" si="5"/>
        <v>-32145925</v>
      </c>
      <c r="T17" s="188">
        <f t="shared" si="6"/>
        <v>-0.18426282017753093</v>
      </c>
      <c r="U17" s="516"/>
      <c r="V17" s="263">
        <f t="shared" si="7"/>
        <v>-2314000</v>
      </c>
    </row>
    <row r="18" spans="1:22" x14ac:dyDescent="0.2">
      <c r="A18" s="35" t="s">
        <v>158</v>
      </c>
      <c r="B18" s="545" t="s">
        <v>159</v>
      </c>
      <c r="C18" s="172">
        <f>+C97</f>
        <v>215110900</v>
      </c>
      <c r="D18" s="172">
        <f t="shared" ref="D18:E18" si="16">+D97</f>
        <v>428699652</v>
      </c>
      <c r="E18" s="172">
        <f t="shared" si="16"/>
        <v>235323989</v>
      </c>
      <c r="F18" s="172">
        <f t="shared" ref="F18:J18" si="17">+F97</f>
        <v>214904965</v>
      </c>
      <c r="G18" s="537"/>
      <c r="H18" s="172">
        <f t="shared" si="17"/>
        <v>8380363</v>
      </c>
      <c r="I18" s="172">
        <f t="shared" si="17"/>
        <v>18554736</v>
      </c>
      <c r="J18" s="172">
        <f t="shared" si="17"/>
        <v>68002783</v>
      </c>
      <c r="K18" s="172"/>
      <c r="L18" s="36">
        <f t="shared" si="3"/>
        <v>1.954833170706656E-2</v>
      </c>
      <c r="M18" s="36">
        <f t="shared" si="3"/>
        <v>7.8847618038635242E-2</v>
      </c>
      <c r="N18" s="36">
        <f t="shared" si="3"/>
        <v>0.31643188420518809</v>
      </c>
      <c r="O18" s="537"/>
      <c r="P18" s="187">
        <f t="shared" si="4"/>
        <v>213588752</v>
      </c>
      <c r="Q18" s="187">
        <f t="shared" si="4"/>
        <v>-193375663</v>
      </c>
      <c r="R18" s="187">
        <f t="shared" si="4"/>
        <v>-20419024</v>
      </c>
      <c r="S18" s="187">
        <f t="shared" si="5"/>
        <v>-205935</v>
      </c>
      <c r="T18" s="188">
        <f t="shared" si="6"/>
        <v>-9.5734339821924408E-4</v>
      </c>
      <c r="U18" s="516"/>
      <c r="V18" s="263">
        <f t="shared" si="7"/>
        <v>-20419024</v>
      </c>
    </row>
    <row r="19" spans="1:22" x14ac:dyDescent="0.2">
      <c r="A19" s="35" t="s">
        <v>173</v>
      </c>
      <c r="B19" s="545" t="s">
        <v>174</v>
      </c>
      <c r="C19" s="172">
        <f>+C109</f>
        <v>108480000</v>
      </c>
      <c r="D19" s="172">
        <f t="shared" ref="D19:E19" si="18">+D109</f>
        <v>296686866</v>
      </c>
      <c r="E19" s="172">
        <f t="shared" si="18"/>
        <v>606662415</v>
      </c>
      <c r="F19" s="172">
        <f t="shared" ref="F19:J19" si="19">+F109</f>
        <v>599031351</v>
      </c>
      <c r="G19" s="537"/>
      <c r="H19" s="172">
        <f t="shared" si="19"/>
        <v>3723918</v>
      </c>
      <c r="I19" s="172">
        <f t="shared" si="19"/>
        <v>167101844</v>
      </c>
      <c r="J19" s="172">
        <f t="shared" si="19"/>
        <v>376257702</v>
      </c>
      <c r="K19" s="172"/>
      <c r="L19" s="36">
        <f t="shared" si="3"/>
        <v>1.2551677970132995E-2</v>
      </c>
      <c r="M19" s="36">
        <f t="shared" si="3"/>
        <v>0.2754445303818599</v>
      </c>
      <c r="N19" s="36">
        <f t="shared" si="3"/>
        <v>0.6281102005293876</v>
      </c>
      <c r="O19" s="537"/>
      <c r="P19" s="187">
        <f t="shared" si="4"/>
        <v>188206866</v>
      </c>
      <c r="Q19" s="187">
        <f t="shared" si="4"/>
        <v>309975549</v>
      </c>
      <c r="R19" s="187">
        <f t="shared" si="4"/>
        <v>-7631064</v>
      </c>
      <c r="S19" s="187">
        <f t="shared" si="5"/>
        <v>490551351</v>
      </c>
      <c r="T19" s="188">
        <f t="shared" si="6"/>
        <v>4.5220441648230087</v>
      </c>
      <c r="U19" s="516"/>
      <c r="V19" s="263">
        <f t="shared" si="7"/>
        <v>-7631064</v>
      </c>
    </row>
    <row r="20" spans="1:22" x14ac:dyDescent="0.2">
      <c r="A20" s="35" t="s">
        <v>183</v>
      </c>
      <c r="B20" s="545" t="s">
        <v>184</v>
      </c>
      <c r="C20" s="172">
        <f>+C121</f>
        <v>0</v>
      </c>
      <c r="D20" s="172">
        <f t="shared" ref="D20:E20" si="20">+D121</f>
        <v>0</v>
      </c>
      <c r="E20" s="172">
        <f t="shared" si="20"/>
        <v>15000000</v>
      </c>
      <c r="F20" s="172">
        <f t="shared" ref="F20:J20" si="21">+F121</f>
        <v>15000000</v>
      </c>
      <c r="G20" s="537"/>
      <c r="H20" s="172">
        <f t="shared" si="21"/>
        <v>0</v>
      </c>
      <c r="I20" s="172">
        <f t="shared" si="21"/>
        <v>15000000</v>
      </c>
      <c r="J20" s="172">
        <f t="shared" si="21"/>
        <v>15000000</v>
      </c>
      <c r="K20" s="172"/>
      <c r="L20" s="36">
        <v>0</v>
      </c>
      <c r="M20" s="36">
        <v>0</v>
      </c>
      <c r="N20" s="36">
        <v>0</v>
      </c>
      <c r="O20" s="537"/>
      <c r="P20" s="187">
        <f t="shared" si="4"/>
        <v>0</v>
      </c>
      <c r="Q20" s="187">
        <f t="shared" si="4"/>
        <v>15000000</v>
      </c>
      <c r="R20" s="187">
        <f t="shared" si="4"/>
        <v>0</v>
      </c>
      <c r="S20" s="187">
        <f t="shared" si="5"/>
        <v>15000000</v>
      </c>
      <c r="T20" s="188">
        <f t="shared" si="6"/>
        <v>0</v>
      </c>
      <c r="U20" s="516"/>
      <c r="V20" s="263">
        <f t="shared" si="7"/>
        <v>0</v>
      </c>
    </row>
    <row r="21" spans="1:22" x14ac:dyDescent="0.2">
      <c r="A21" s="35" t="s">
        <v>201</v>
      </c>
      <c r="B21" s="545" t="s">
        <v>202</v>
      </c>
      <c r="C21" s="172">
        <f>+C133</f>
        <v>454166162</v>
      </c>
      <c r="D21" s="172">
        <f t="shared" ref="D21:E21" si="22">+D133</f>
        <v>474740182</v>
      </c>
      <c r="E21" s="172">
        <f t="shared" si="22"/>
        <v>476400182</v>
      </c>
      <c r="F21" s="172">
        <f t="shared" ref="F21:J21" si="23">+F133</f>
        <v>485194019</v>
      </c>
      <c r="G21" s="537"/>
      <c r="H21" s="172">
        <f t="shared" si="23"/>
        <v>254833995</v>
      </c>
      <c r="I21" s="172">
        <f t="shared" si="23"/>
        <v>364039467</v>
      </c>
      <c r="J21" s="172">
        <f t="shared" si="23"/>
        <v>474591152</v>
      </c>
      <c r="K21" s="172"/>
      <c r="L21" s="36">
        <f>+H21/D21</f>
        <v>0.53678623521275892</v>
      </c>
      <c r="M21" s="36">
        <f>+I21/E21</f>
        <v>0.76414636424299265</v>
      </c>
      <c r="N21" s="36">
        <f>+J21/F21</f>
        <v>0.9781471605485722</v>
      </c>
      <c r="O21" s="537"/>
      <c r="P21" s="187">
        <f t="shared" si="4"/>
        <v>20574020</v>
      </c>
      <c r="Q21" s="187">
        <f t="shared" si="4"/>
        <v>1660000</v>
      </c>
      <c r="R21" s="187">
        <f t="shared" si="4"/>
        <v>8793837</v>
      </c>
      <c r="S21" s="187">
        <f t="shared" si="5"/>
        <v>31027857</v>
      </c>
      <c r="T21" s="188">
        <f t="shared" si="6"/>
        <v>6.8318293162492369E-2</v>
      </c>
      <c r="U21" s="516"/>
      <c r="V21" s="263">
        <f t="shared" si="7"/>
        <v>8793837</v>
      </c>
    </row>
    <row r="22" spans="1:22" x14ac:dyDescent="0.2">
      <c r="A22" s="35"/>
      <c r="B22" s="545" t="s">
        <v>450</v>
      </c>
      <c r="C22" s="172">
        <f>-C145</f>
        <v>-454166162</v>
      </c>
      <c r="D22" s="172">
        <f t="shared" ref="D22:J22" si="24">-D145</f>
        <v>-457619162</v>
      </c>
      <c r="E22" s="172">
        <f t="shared" si="24"/>
        <v>-459279162</v>
      </c>
      <c r="F22" s="172">
        <f t="shared" si="24"/>
        <v>-468072999</v>
      </c>
      <c r="G22" s="537"/>
      <c r="H22" s="172">
        <f t="shared" si="24"/>
        <v>-237712975</v>
      </c>
      <c r="I22" s="172">
        <f t="shared" si="24"/>
        <v>-346918447</v>
      </c>
      <c r="J22" s="172">
        <f t="shared" si="24"/>
        <v>-457470132</v>
      </c>
      <c r="K22" s="172"/>
      <c r="L22" s="36"/>
      <c r="M22" s="36"/>
      <c r="N22" s="36"/>
      <c r="O22" s="537"/>
      <c r="P22" s="172">
        <f t="shared" ref="P22:S22" si="25">-P145</f>
        <v>-3453000</v>
      </c>
      <c r="Q22" s="172">
        <f t="shared" si="25"/>
        <v>-1660000</v>
      </c>
      <c r="R22" s="172">
        <f t="shared" si="25"/>
        <v>-8793837</v>
      </c>
      <c r="S22" s="172">
        <f t="shared" si="25"/>
        <v>-13906837</v>
      </c>
      <c r="T22" s="188">
        <f t="shared" si="6"/>
        <v>3.0620592557487804E-2</v>
      </c>
      <c r="U22" s="516"/>
      <c r="V22" s="263">
        <f t="shared" si="7"/>
        <v>-8793837</v>
      </c>
    </row>
    <row r="23" spans="1:22" x14ac:dyDescent="0.2">
      <c r="A23" s="12"/>
      <c r="B23" s="546" t="s">
        <v>378</v>
      </c>
      <c r="C23" s="176">
        <f>SUM(C13:C22)</f>
        <v>1256317924</v>
      </c>
      <c r="D23" s="176">
        <f t="shared" ref="D23:F23" si="26">SUM(D13:D22)</f>
        <v>1690615637</v>
      </c>
      <c r="E23" s="176">
        <f t="shared" si="26"/>
        <v>1884380262</v>
      </c>
      <c r="F23" s="176">
        <f t="shared" si="26"/>
        <v>1848157543</v>
      </c>
      <c r="G23" s="538"/>
      <c r="H23" s="176">
        <f t="shared" ref="H23" si="27">SUM(H13:H22)</f>
        <v>528544802</v>
      </c>
      <c r="I23" s="176">
        <f t="shared" ref="I23" si="28">SUM(I13:I22)</f>
        <v>959836765</v>
      </c>
      <c r="J23" s="176">
        <f t="shared" ref="J23" si="29">SUM(J13:J22)</f>
        <v>1441454894</v>
      </c>
      <c r="K23" s="176"/>
      <c r="L23" s="34">
        <f>H23/D23</f>
        <v>0.31263451634571626</v>
      </c>
      <c r="M23" s="34">
        <f>I23/E23</f>
        <v>0.50936468841022065</v>
      </c>
      <c r="N23" s="34">
        <f>J23/F23</f>
        <v>0.77994156908299894</v>
      </c>
      <c r="O23" s="538"/>
      <c r="P23" s="176">
        <f>SUM(P13:P22)</f>
        <v>434297713</v>
      </c>
      <c r="Q23" s="176">
        <f>SUM(Q13:Q22)</f>
        <v>193764625</v>
      </c>
      <c r="R23" s="176">
        <f t="shared" ref="R23:S23" si="30">SUM(R13:R22)</f>
        <v>-36222719</v>
      </c>
      <c r="S23" s="176">
        <f t="shared" si="30"/>
        <v>591839619</v>
      </c>
      <c r="T23" s="188">
        <f t="shared" si="6"/>
        <v>0.47109064329484168</v>
      </c>
      <c r="U23" s="517"/>
      <c r="V23" s="263">
        <f t="shared" si="7"/>
        <v>-36222719</v>
      </c>
    </row>
    <row r="24" spans="1:22" x14ac:dyDescent="0.2">
      <c r="A24" s="35"/>
      <c r="B24" s="547" t="s">
        <v>410</v>
      </c>
      <c r="C24" s="190"/>
      <c r="D24" s="190"/>
      <c r="E24" s="190"/>
      <c r="F24" s="190"/>
      <c r="G24" s="539"/>
      <c r="H24" s="190"/>
      <c r="I24" s="190"/>
      <c r="J24" s="190"/>
      <c r="K24" s="190"/>
      <c r="L24" s="397"/>
      <c r="M24" s="397"/>
      <c r="N24" s="397"/>
      <c r="O24" s="539"/>
      <c r="P24" s="190"/>
      <c r="Q24" s="190"/>
      <c r="R24" s="190"/>
      <c r="S24" s="190"/>
      <c r="T24" s="188">
        <f t="shared" si="6"/>
        <v>0</v>
      </c>
      <c r="U24" s="518"/>
      <c r="V24" s="263">
        <f t="shared" si="7"/>
        <v>0</v>
      </c>
    </row>
    <row r="25" spans="1:22" x14ac:dyDescent="0.2">
      <c r="C25" s="529"/>
      <c r="D25" s="76"/>
      <c r="E25" s="76"/>
      <c r="F25" s="555"/>
      <c r="G25" s="76"/>
      <c r="H25" s="529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">
      <c r="C26" s="529"/>
      <c r="D26" s="76"/>
      <c r="E26" s="76"/>
      <c r="F26" s="555"/>
      <c r="G26" s="76"/>
      <c r="H26" s="52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"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">
      <c r="A28" s="346" t="s">
        <v>0</v>
      </c>
      <c r="B28" s="346" t="str">
        <f>+'3. Önk. Kiadások'!B13</f>
        <v>Személyi juttatások</v>
      </c>
      <c r="C28" s="529"/>
      <c r="D28" s="76"/>
      <c r="E28" s="76"/>
      <c r="F28" s="555"/>
      <c r="G28" s="76"/>
      <c r="H28" s="529"/>
      <c r="K28" s="76"/>
      <c r="L28" s="93"/>
      <c r="M28" s="93"/>
      <c r="N28" s="530"/>
      <c r="O28" s="76"/>
      <c r="P28" s="529"/>
      <c r="Q28" s="75"/>
      <c r="R28" s="75"/>
      <c r="S28" s="75"/>
      <c r="T28" s="530"/>
      <c r="U28" s="76"/>
    </row>
    <row r="29" spans="1:22" x14ac:dyDescent="0.2">
      <c r="B29" s="22" t="str">
        <f>+'3. Önk. Kiadások'!A1</f>
        <v>Sülysáp Város Önkormányzat</v>
      </c>
      <c r="C29" s="529">
        <f>+'3. Önk. Kiadások'!C13</f>
        <v>107902000</v>
      </c>
      <c r="D29" s="75">
        <f>+'3. Önk. Kiadások'!D13</f>
        <v>107902000</v>
      </c>
      <c r="E29" s="75">
        <f>+'3. Önk. Kiadások'!E13</f>
        <v>109359203</v>
      </c>
      <c r="F29" s="489">
        <f>+'3. Önk. Kiadások'!F13</f>
        <v>99545994</v>
      </c>
      <c r="G29" s="75">
        <f>+'3. Önk. Kiadások'!G13</f>
        <v>0</v>
      </c>
      <c r="H29" s="529">
        <f>+'3. Önk. Kiadások'!H13</f>
        <v>50677066</v>
      </c>
      <c r="I29" s="75">
        <f>+'3. Önk. Kiadások'!I13</f>
        <v>77677383</v>
      </c>
      <c r="J29" s="75">
        <f>+'3. Önk. Kiadások'!J13</f>
        <v>99542864</v>
      </c>
      <c r="K29" s="75"/>
      <c r="L29" s="75"/>
      <c r="M29" s="75"/>
      <c r="N29" s="489"/>
      <c r="O29" s="75"/>
      <c r="P29" s="529">
        <f>+'3. Önk. Kiadások'!P13</f>
        <v>0</v>
      </c>
      <c r="Q29" s="75">
        <f>+'3. Önk. Kiadások'!Q13</f>
        <v>1457203</v>
      </c>
      <c r="R29" s="75">
        <f>+'3. Önk. Kiadások'!R13</f>
        <v>-9813209</v>
      </c>
      <c r="S29" s="75">
        <f>+'3. Önk. Kiadások'!S13</f>
        <v>-8356006</v>
      </c>
      <c r="T29" s="530"/>
      <c r="U29" s="76"/>
    </row>
    <row r="30" spans="1:22" x14ac:dyDescent="0.2">
      <c r="B30" s="58" t="s">
        <v>458</v>
      </c>
      <c r="C30" s="529">
        <f>+'4. Dr Gáspár HSZK'!C13</f>
        <v>21347000</v>
      </c>
      <c r="D30" s="75">
        <f>+'4. Dr Gáspár HSZK'!D13</f>
        <v>21347000</v>
      </c>
      <c r="E30" s="75">
        <f>+'4. Dr Gáspár HSZK'!E13</f>
        <v>21347000</v>
      </c>
      <c r="F30" s="489">
        <f>+'4. Dr Gáspár HSZK'!F13</f>
        <v>21244000</v>
      </c>
      <c r="G30" s="75"/>
      <c r="H30" s="529">
        <f>+'4. Dr Gáspár HSZK'!H13</f>
        <v>9693006</v>
      </c>
      <c r="I30" s="75">
        <f>+'4. Dr Gáspár HSZK'!I13</f>
        <v>14973453</v>
      </c>
      <c r="J30" s="75">
        <f>+'4. Dr Gáspár HSZK'!J13</f>
        <v>20196955</v>
      </c>
      <c r="K30" s="75"/>
      <c r="L30" s="75"/>
      <c r="M30" s="75"/>
      <c r="N30" s="489"/>
      <c r="O30" s="75"/>
      <c r="P30" s="529">
        <f>+'4. Dr Gáspár HSZK'!P13</f>
        <v>0</v>
      </c>
      <c r="Q30" s="75">
        <f>+'4. Dr Gáspár HSZK'!Q13</f>
        <v>0</v>
      </c>
      <c r="R30" s="75">
        <f>+'4. Dr Gáspár HSZK'!R13</f>
        <v>-103000</v>
      </c>
      <c r="S30" s="75">
        <f>+'4. Dr Gáspár HSZK'!S13</f>
        <v>-103000</v>
      </c>
      <c r="T30" s="530"/>
      <c r="U30" s="76"/>
    </row>
    <row r="31" spans="1:22" x14ac:dyDescent="0.2">
      <c r="B31" s="58" t="s">
        <v>465</v>
      </c>
      <c r="C31" s="529">
        <f>+'5. Csicsergő'!C13</f>
        <v>133266100</v>
      </c>
      <c r="D31" s="75">
        <f>+'5. Csicsergő'!D13</f>
        <v>133266100</v>
      </c>
      <c r="E31" s="75">
        <f>+'5. Csicsergő'!E13</f>
        <v>133886100</v>
      </c>
      <c r="F31" s="489">
        <f>+'5. Csicsergő'!F13</f>
        <v>139676693</v>
      </c>
      <c r="G31" s="75"/>
      <c r="H31" s="529">
        <f>+'5. Csicsergő'!H13</f>
        <v>64161938</v>
      </c>
      <c r="I31" s="75">
        <f>+'5. Csicsergő'!I13</f>
        <v>102942419</v>
      </c>
      <c r="J31" s="75">
        <f>+'5. Csicsergő'!J13</f>
        <v>139672082</v>
      </c>
      <c r="K31" s="75"/>
      <c r="L31" s="75"/>
      <c r="M31" s="75"/>
      <c r="N31" s="489"/>
      <c r="O31" s="75"/>
      <c r="P31" s="529">
        <f>+'5. Csicsergő'!P13</f>
        <v>0</v>
      </c>
      <c r="Q31" s="75">
        <f>+'5. Csicsergő'!Q13</f>
        <v>620000</v>
      </c>
      <c r="R31" s="75">
        <f>+'5. Csicsergő'!R13</f>
        <v>5790593</v>
      </c>
      <c r="S31" s="75">
        <f>+'5. Csicsergő'!S13</f>
        <v>6410593</v>
      </c>
      <c r="T31" s="530"/>
      <c r="U31" s="76"/>
    </row>
    <row r="32" spans="1:22" x14ac:dyDescent="0.2">
      <c r="B32" s="58" t="s">
        <v>466</v>
      </c>
      <c r="C32" s="529">
        <f>+'6. Gólyahír'!C13</f>
        <v>36545000</v>
      </c>
      <c r="D32" s="75">
        <f>+'6. Gólyahír'!D13</f>
        <v>36593000</v>
      </c>
      <c r="E32" s="75">
        <f>+'6. Gólyahír'!E13</f>
        <v>36593000</v>
      </c>
      <c r="F32" s="489">
        <f>+'6. Gólyahír'!F13</f>
        <v>36593000</v>
      </c>
      <c r="G32" s="75"/>
      <c r="H32" s="529">
        <f>+'6. Gólyahír'!H13</f>
        <v>17008819</v>
      </c>
      <c r="I32" s="75">
        <f>+'6. Gólyahír'!I13</f>
        <v>25128058</v>
      </c>
      <c r="J32" s="75">
        <f>+'6. Gólyahír'!J13</f>
        <v>34445561</v>
      </c>
      <c r="K32" s="75"/>
      <c r="L32" s="75"/>
      <c r="M32" s="75"/>
      <c r="N32" s="489"/>
      <c r="O32" s="75"/>
      <c r="P32" s="529">
        <f>+'6. Gólyahír'!P13</f>
        <v>48000</v>
      </c>
      <c r="Q32" s="75">
        <f>+'6. Gólyahír'!Q13</f>
        <v>0</v>
      </c>
      <c r="R32" s="75">
        <f>+'6. Gólyahír'!R13</f>
        <v>0</v>
      </c>
      <c r="S32" s="75">
        <f>+'6. Gólyahír'!S13</f>
        <v>48000</v>
      </c>
      <c r="T32" s="530"/>
      <c r="U32" s="76"/>
    </row>
    <row r="33" spans="1:21" x14ac:dyDescent="0.2">
      <c r="B33" s="344" t="s">
        <v>460</v>
      </c>
      <c r="C33" s="529">
        <f>+'7. Polg.Hiv.'!C13</f>
        <v>82838000</v>
      </c>
      <c r="D33" s="75">
        <f>+'7. Polg.Hiv.'!D13</f>
        <v>82838000</v>
      </c>
      <c r="E33" s="75">
        <f>+'7. Polg.Hiv.'!E13</f>
        <v>81838000</v>
      </c>
      <c r="F33" s="489">
        <f>+'7. Polg.Hiv.'!F13</f>
        <v>81838000</v>
      </c>
      <c r="G33" s="75"/>
      <c r="H33" s="529">
        <f>+'7. Polg.Hiv.'!H13</f>
        <v>36864685</v>
      </c>
      <c r="I33" s="75">
        <f>+'7. Polg.Hiv.'!I13</f>
        <v>56172555</v>
      </c>
      <c r="J33" s="75">
        <f>+'7. Polg.Hiv.'!J13</f>
        <v>76474091</v>
      </c>
      <c r="K33" s="75"/>
      <c r="L33" s="75"/>
      <c r="M33" s="75"/>
      <c r="N33" s="489"/>
      <c r="O33" s="75"/>
      <c r="P33" s="529">
        <f>+'7. Polg.Hiv.'!P13</f>
        <v>0</v>
      </c>
      <c r="Q33" s="75">
        <f>+'7. Polg.Hiv.'!Q13</f>
        <v>-1000000</v>
      </c>
      <c r="R33" s="75">
        <f>+'7. Polg.Hiv.'!R13</f>
        <v>0</v>
      </c>
      <c r="S33" s="75">
        <f>+'7. Polg.Hiv.'!S13</f>
        <v>-1000000</v>
      </c>
      <c r="T33" s="530"/>
      <c r="U33" s="76"/>
    </row>
    <row r="34" spans="1:21" x14ac:dyDescent="0.2">
      <c r="B34" s="75" t="s">
        <v>430</v>
      </c>
      <c r="C34" s="529">
        <f>+'8. WAMKK'!C13</f>
        <v>14060000</v>
      </c>
      <c r="D34" s="75">
        <f>+'8. WAMKK'!D13</f>
        <v>14060000</v>
      </c>
      <c r="E34" s="75">
        <f>+'8. WAMKK'!E13</f>
        <v>14060000</v>
      </c>
      <c r="F34" s="489">
        <f>+'8. WAMKK'!F13</f>
        <v>14053263</v>
      </c>
      <c r="G34" s="75"/>
      <c r="H34" s="529">
        <f>+'8. WAMKK'!H13</f>
        <v>6508406</v>
      </c>
      <c r="I34" s="75">
        <f>+'8. WAMKK'!I13</f>
        <v>10416832</v>
      </c>
      <c r="J34" s="75">
        <f>+'8. WAMKK'!J13</f>
        <v>14053263</v>
      </c>
      <c r="K34" s="75"/>
      <c r="L34" s="75"/>
      <c r="M34" s="75"/>
      <c r="N34" s="489"/>
      <c r="O34" s="75"/>
      <c r="P34" s="529">
        <f>+'8. WAMKK'!P13</f>
        <v>0</v>
      </c>
      <c r="Q34" s="75">
        <f>+'8. WAMKK'!Q13</f>
        <v>0</v>
      </c>
      <c r="R34" s="75">
        <f>+'8. WAMKK'!R13</f>
        <v>-6737</v>
      </c>
      <c r="S34" s="75">
        <f>+'8. WAMKK'!S13</f>
        <v>-6737</v>
      </c>
      <c r="T34" s="530"/>
      <c r="U34" s="76"/>
    </row>
    <row r="35" spans="1:21" x14ac:dyDescent="0.2">
      <c r="B35" s="75" t="s">
        <v>431</v>
      </c>
      <c r="C35" s="529">
        <f>+'9. Közp. Konyha'!C13</f>
        <v>23625000</v>
      </c>
      <c r="D35" s="75">
        <f>+'9. Közp. Konyha'!D13</f>
        <v>23625000</v>
      </c>
      <c r="E35" s="75">
        <f>+'9. Közp. Konyha'!E13</f>
        <v>23625000</v>
      </c>
      <c r="F35" s="489">
        <f>+'9. Közp. Konyha'!F13</f>
        <v>23560277</v>
      </c>
      <c r="G35" s="75"/>
      <c r="H35" s="529">
        <f>+'9. Közp. Konyha'!H13</f>
        <v>11298003</v>
      </c>
      <c r="I35" s="75">
        <f>+'9. Közp. Konyha'!I13</f>
        <v>17380903</v>
      </c>
      <c r="J35" s="75">
        <f>+'9. Közp. Konyha'!J13</f>
        <v>23560277</v>
      </c>
      <c r="K35" s="75"/>
      <c r="L35" s="75"/>
      <c r="M35" s="75"/>
      <c r="N35" s="489"/>
      <c r="O35" s="75"/>
      <c r="P35" s="529">
        <f>+'9. Közp. Konyha'!P13</f>
        <v>0</v>
      </c>
      <c r="Q35" s="75">
        <f>+'9. Közp. Konyha'!Q13</f>
        <v>0</v>
      </c>
      <c r="R35" s="75">
        <f>+'9. Közp. Konyha'!R13</f>
        <v>-64723</v>
      </c>
      <c r="S35" s="75">
        <f>+'9. Közp. Konyha'!S13</f>
        <v>-64723</v>
      </c>
      <c r="T35" s="530"/>
      <c r="U35" s="76"/>
    </row>
    <row r="36" spans="1:21" ht="8.1" customHeight="1" x14ac:dyDescent="0.2">
      <c r="B36" s="413" t="s">
        <v>455</v>
      </c>
      <c r="C36" s="531"/>
      <c r="D36" s="412"/>
      <c r="E36" s="412"/>
      <c r="F36" s="542"/>
      <c r="G36" s="412"/>
      <c r="H36" s="531"/>
      <c r="I36" s="412"/>
      <c r="J36" s="412"/>
      <c r="K36" s="412"/>
      <c r="L36" s="412"/>
      <c r="M36" s="412"/>
      <c r="N36" s="542"/>
      <c r="O36" s="412"/>
      <c r="P36" s="531"/>
      <c r="Q36" s="412"/>
      <c r="R36" s="412"/>
      <c r="S36" s="412"/>
      <c r="T36" s="530"/>
      <c r="U36" s="76"/>
    </row>
    <row r="37" spans="1:21" x14ac:dyDescent="0.2">
      <c r="A37" s="414" t="str">
        <f>+A28</f>
        <v>K1</v>
      </c>
      <c r="B37" s="394" t="s">
        <v>448</v>
      </c>
      <c r="C37" s="532">
        <f>SUM(C29:C36)</f>
        <v>419583100</v>
      </c>
      <c r="D37" s="395">
        <f t="shared" ref="D37:F37" si="31">SUM(D29:D36)</f>
        <v>419631100</v>
      </c>
      <c r="E37" s="395">
        <f t="shared" si="31"/>
        <v>420708303</v>
      </c>
      <c r="F37" s="543">
        <f t="shared" si="31"/>
        <v>416511227</v>
      </c>
      <c r="G37" s="395"/>
      <c r="H37" s="532">
        <f>SUM(H29:H36)</f>
        <v>196211923</v>
      </c>
      <c r="I37" s="395">
        <f t="shared" ref="I37:J37" si="32">SUM(I29:I36)</f>
        <v>304691603</v>
      </c>
      <c r="J37" s="395">
        <f t="shared" si="32"/>
        <v>407945093</v>
      </c>
      <c r="K37" s="395"/>
      <c r="L37" s="395"/>
      <c r="M37" s="395"/>
      <c r="N37" s="543"/>
      <c r="O37" s="395"/>
      <c r="P37" s="532">
        <f>SUM(P29:P36)</f>
        <v>48000</v>
      </c>
      <c r="Q37" s="395">
        <f t="shared" ref="Q37:S37" si="33">SUM(Q29:Q36)</f>
        <v>1077203</v>
      </c>
      <c r="R37" s="395">
        <f t="shared" si="33"/>
        <v>-4197076</v>
      </c>
      <c r="S37" s="395">
        <f t="shared" si="33"/>
        <v>-3071873</v>
      </c>
      <c r="T37" s="530"/>
      <c r="U37" s="76"/>
    </row>
    <row r="38" spans="1:21" x14ac:dyDescent="0.2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"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">
      <c r="A40" s="346" t="s">
        <v>26</v>
      </c>
      <c r="B40" s="346" t="str">
        <f>+'3. Önk. Kiadások'!B29</f>
        <v>Munkaadót terhelő járulékok és szociális hozzájárulás</v>
      </c>
      <c r="C40" s="529"/>
      <c r="D40" s="76"/>
      <c r="E40" s="76"/>
      <c r="F40" s="555"/>
      <c r="G40" s="76"/>
      <c r="H40" s="529"/>
      <c r="K40" s="76"/>
      <c r="L40" s="93"/>
      <c r="M40" s="93"/>
      <c r="N40" s="530"/>
      <c r="O40" s="76"/>
      <c r="P40" s="529"/>
      <c r="Q40" s="75"/>
      <c r="R40" s="75"/>
      <c r="S40" s="75"/>
      <c r="T40" s="530"/>
      <c r="U40" s="76"/>
    </row>
    <row r="41" spans="1:21" x14ac:dyDescent="0.2">
      <c r="B41" s="58" t="str">
        <f t="shared" ref="B41:B47" si="34">+B29</f>
        <v>Sülysáp Város Önkormányzat</v>
      </c>
      <c r="C41" s="529">
        <f>+'3. Önk. Kiadások'!C29</f>
        <v>15219000</v>
      </c>
      <c r="D41" s="75">
        <f>+'3. Önk. Kiadások'!D29</f>
        <v>15219000</v>
      </c>
      <c r="E41" s="75">
        <f>+'3. Önk. Kiadások'!E29</f>
        <v>15219000</v>
      </c>
      <c r="F41" s="489">
        <f>+'3. Önk. Kiadások'!F29</f>
        <v>18201000</v>
      </c>
      <c r="G41" s="76"/>
      <c r="H41" s="529">
        <f>+'3. Önk. Kiadások'!H29</f>
        <v>8759313</v>
      </c>
      <c r="I41" s="75">
        <f>+'3. Önk. Kiadások'!I29</f>
        <v>13290582</v>
      </c>
      <c r="J41" s="75">
        <f>+'3. Önk. Kiadások'!J29</f>
        <v>16674717</v>
      </c>
      <c r="K41" s="76"/>
      <c r="L41" s="93"/>
      <c r="M41" s="93"/>
      <c r="N41" s="530"/>
      <c r="O41" s="76"/>
      <c r="P41" s="529">
        <f>+'3. Önk. Kiadások'!P29</f>
        <v>0</v>
      </c>
      <c r="Q41" s="75">
        <f>+'3. Önk. Kiadások'!Q29</f>
        <v>0</v>
      </c>
      <c r="R41" s="75">
        <f>+'3. Önk. Kiadások'!R29</f>
        <v>2982000</v>
      </c>
      <c r="S41" s="75">
        <f>+'3. Önk. Kiadások'!S29</f>
        <v>2982000</v>
      </c>
      <c r="T41" s="530"/>
      <c r="U41" s="76"/>
    </row>
    <row r="42" spans="1:21" x14ac:dyDescent="0.2">
      <c r="B42" s="58" t="str">
        <f t="shared" si="34"/>
        <v>Gondozási Központ</v>
      </c>
      <c r="C42" s="529">
        <f>+'4. Dr Gáspár HSZK'!C29</f>
        <v>4780000</v>
      </c>
      <c r="D42" s="75">
        <f>+'4. Dr Gáspár HSZK'!D29</f>
        <v>4780000</v>
      </c>
      <c r="E42" s="75">
        <f>+'4. Dr Gáspár HSZK'!E29</f>
        <v>4780000</v>
      </c>
      <c r="F42" s="489">
        <f>+'4. Dr Gáspár HSZK'!F29</f>
        <v>4883000</v>
      </c>
      <c r="G42" s="75"/>
      <c r="H42" s="529">
        <f>+'4. Dr Gáspár HSZK'!H29</f>
        <v>2484606</v>
      </c>
      <c r="I42" s="75">
        <f>+'4. Dr Gáspár HSZK'!I29</f>
        <v>3809209</v>
      </c>
      <c r="J42" s="75">
        <f>+'4. Dr Gáspár HSZK'!J29</f>
        <v>4882493</v>
      </c>
      <c r="K42" s="75"/>
      <c r="L42" s="75"/>
      <c r="M42" s="75"/>
      <c r="N42" s="489"/>
      <c r="O42" s="75"/>
      <c r="P42" s="529">
        <f>+'4. Dr Gáspár HSZK'!P29</f>
        <v>0</v>
      </c>
      <c r="Q42" s="75">
        <f>+'4. Dr Gáspár HSZK'!Q29</f>
        <v>0</v>
      </c>
      <c r="R42" s="75">
        <f>+'4. Dr Gáspár HSZK'!R29</f>
        <v>103000</v>
      </c>
      <c r="S42" s="75">
        <f>+'4. Dr Gáspár HSZK'!S29</f>
        <v>103000</v>
      </c>
      <c r="T42" s="530"/>
      <c r="U42" s="76"/>
    </row>
    <row r="43" spans="1:21" x14ac:dyDescent="0.2">
      <c r="B43" s="58" t="str">
        <f t="shared" si="34"/>
        <v>Csicsergő Napköziotthonos Óvoda</v>
      </c>
      <c r="C43" s="529">
        <f>+'5. Csicsergő'!C30</f>
        <v>28627000</v>
      </c>
      <c r="D43" s="75">
        <f>+'5. Csicsergő'!D30</f>
        <v>28627000</v>
      </c>
      <c r="E43" s="75">
        <f>+'5. Csicsergő'!E30</f>
        <v>28627000</v>
      </c>
      <c r="F43" s="489">
        <f>+'5. Csicsergő'!F30</f>
        <v>32210407</v>
      </c>
      <c r="G43" s="75"/>
      <c r="H43" s="529">
        <f>+'5. Csicsergő'!H30</f>
        <v>15717456</v>
      </c>
      <c r="I43" s="75">
        <f>+'5. Csicsergő'!I30</f>
        <v>24507259</v>
      </c>
      <c r="J43" s="75">
        <f>+'5. Csicsergő'!J30</f>
        <v>32210279</v>
      </c>
      <c r="K43" s="75"/>
      <c r="L43" s="75"/>
      <c r="M43" s="75"/>
      <c r="N43" s="489"/>
      <c r="O43" s="75"/>
      <c r="P43" s="529">
        <f>+'5. Csicsergő'!P30</f>
        <v>0</v>
      </c>
      <c r="Q43" s="75">
        <f>+'5. Csicsergő'!Q30</f>
        <v>0</v>
      </c>
      <c r="R43" s="75">
        <f>+'5. Csicsergő'!R30</f>
        <v>3583407</v>
      </c>
      <c r="S43" s="75">
        <f>+'5. Csicsergő'!S30</f>
        <v>3583407</v>
      </c>
      <c r="T43" s="530"/>
      <c r="U43" s="76"/>
    </row>
    <row r="44" spans="1:21" x14ac:dyDescent="0.2">
      <c r="B44" s="58" t="str">
        <f t="shared" si="34"/>
        <v>Gólyahír Bőlcsőde</v>
      </c>
      <c r="C44" s="529">
        <f>+'6. Gólyahír'!C29</f>
        <v>8079000</v>
      </c>
      <c r="D44" s="75">
        <f>+'6. Gólyahír'!D29</f>
        <v>8079000</v>
      </c>
      <c r="E44" s="75">
        <f>+'6. Gólyahír'!E29</f>
        <v>8079000</v>
      </c>
      <c r="F44" s="489">
        <f>+'6. Gólyahír'!F29</f>
        <v>8079000</v>
      </c>
      <c r="G44" s="75"/>
      <c r="H44" s="529">
        <f>+'6. Gólyahír'!H29</f>
        <v>4326412</v>
      </c>
      <c r="I44" s="75">
        <f>+'6. Gólyahír'!I29</f>
        <v>6166973</v>
      </c>
      <c r="J44" s="75">
        <f>+'6. Gólyahír'!J29</f>
        <v>8035363</v>
      </c>
      <c r="K44" s="75"/>
      <c r="L44" s="75"/>
      <c r="M44" s="75"/>
      <c r="N44" s="489"/>
      <c r="O44" s="75"/>
      <c r="P44" s="529">
        <f>+'6. Gólyahír'!P29</f>
        <v>0</v>
      </c>
      <c r="Q44" s="75">
        <f>+'6. Gólyahír'!Q29</f>
        <v>0</v>
      </c>
      <c r="R44" s="75">
        <f>+'6. Gólyahír'!R29</f>
        <v>0</v>
      </c>
      <c r="S44" s="75">
        <f>+'6. Gólyahír'!S29</f>
        <v>0</v>
      </c>
      <c r="T44" s="530"/>
      <c r="U44" s="76"/>
    </row>
    <row r="45" spans="1:21" x14ac:dyDescent="0.2">
      <c r="B45" s="58" t="str">
        <f t="shared" si="34"/>
        <v>Polgármesteri Hivatal</v>
      </c>
      <c r="C45" s="529">
        <f>+'7. Polg.Hiv.'!C29</f>
        <v>18770000</v>
      </c>
      <c r="D45" s="75">
        <f>+'7. Polg.Hiv.'!D29</f>
        <v>18770000</v>
      </c>
      <c r="E45" s="75">
        <f>+'7. Polg.Hiv.'!E29</f>
        <v>18770000</v>
      </c>
      <c r="F45" s="489">
        <f>+'7. Polg.Hiv.'!F29</f>
        <v>18770000</v>
      </c>
      <c r="G45" s="75"/>
      <c r="H45" s="529">
        <f>+'7. Polg.Hiv.'!H29</f>
        <v>9993764</v>
      </c>
      <c r="I45" s="75">
        <f>+'7. Polg.Hiv.'!I29</f>
        <v>14461063</v>
      </c>
      <c r="J45" s="75">
        <f>+'7. Polg.Hiv.'!J29</f>
        <v>18404376</v>
      </c>
      <c r="K45" s="75"/>
      <c r="L45" s="75"/>
      <c r="M45" s="75"/>
      <c r="N45" s="489"/>
      <c r="O45" s="75"/>
      <c r="P45" s="529">
        <f>+'7. Polg.Hiv.'!P29</f>
        <v>0</v>
      </c>
      <c r="Q45" s="75">
        <f>+'7. Polg.Hiv.'!Q29</f>
        <v>0</v>
      </c>
      <c r="R45" s="75">
        <f>+'7. Polg.Hiv.'!R29</f>
        <v>0</v>
      </c>
      <c r="S45" s="75">
        <f>+'7. Polg.Hiv.'!S29</f>
        <v>0</v>
      </c>
      <c r="T45" s="530"/>
      <c r="U45" s="76"/>
    </row>
    <row r="46" spans="1:21" x14ac:dyDescent="0.2">
      <c r="B46" s="58" t="str">
        <f t="shared" si="34"/>
        <v>Wass Albert Művelődési Központ és Könyvtár</v>
      </c>
      <c r="C46" s="529">
        <f>+'8. WAMKK'!C29</f>
        <v>3122000</v>
      </c>
      <c r="D46" s="75">
        <f>+'8. WAMKK'!D29</f>
        <v>3122000</v>
      </c>
      <c r="E46" s="75">
        <f>+'8. WAMKK'!E29</f>
        <v>3122000</v>
      </c>
      <c r="F46" s="489">
        <f>+'8. WAMKK'!F29</f>
        <v>3192883</v>
      </c>
      <c r="G46" s="75"/>
      <c r="H46" s="529">
        <f>+'8. WAMKK'!H29</f>
        <v>1584849</v>
      </c>
      <c r="I46" s="75">
        <f>+'8. WAMKK'!I29</f>
        <v>2457659</v>
      </c>
      <c r="J46" s="75">
        <f>+'8. WAMKK'!J29</f>
        <v>3192883</v>
      </c>
      <c r="K46" s="75"/>
      <c r="L46" s="75"/>
      <c r="M46" s="75"/>
      <c r="N46" s="489"/>
      <c r="O46" s="75"/>
      <c r="P46" s="529">
        <f>+'8. WAMKK'!P29</f>
        <v>0</v>
      </c>
      <c r="Q46" s="75">
        <f>+'8. WAMKK'!Q29</f>
        <v>0</v>
      </c>
      <c r="R46" s="75">
        <f>+'8. WAMKK'!R29</f>
        <v>70883</v>
      </c>
      <c r="S46" s="75">
        <f>+'8. WAMKK'!S29</f>
        <v>70883</v>
      </c>
      <c r="T46" s="530"/>
      <c r="U46" s="76"/>
    </row>
    <row r="47" spans="1:21" x14ac:dyDescent="0.2">
      <c r="B47" s="58" t="str">
        <f t="shared" si="34"/>
        <v>Központi Konyha</v>
      </c>
      <c r="C47" s="529">
        <f>+'9. Közp. Konyha'!C29</f>
        <v>5375000</v>
      </c>
      <c r="D47" s="75">
        <f>+'9. Közp. Konyha'!D29</f>
        <v>5375000</v>
      </c>
      <c r="E47" s="75">
        <f>+'9. Közp. Konyha'!E29</f>
        <v>5375000</v>
      </c>
      <c r="F47" s="489">
        <f>+'9. Közp. Konyha'!F29</f>
        <v>5671045</v>
      </c>
      <c r="G47" s="75"/>
      <c r="H47" s="529">
        <f>+'9. Közp. Konyha'!H29</f>
        <v>2994544</v>
      </c>
      <c r="I47" s="75">
        <f>+'9. Közp. Konyha'!I29</f>
        <v>4380440</v>
      </c>
      <c r="J47" s="75">
        <f>+'9. Közp. Konyha'!J29</f>
        <v>5671045</v>
      </c>
      <c r="K47" s="75"/>
      <c r="L47" s="75"/>
      <c r="M47" s="75"/>
      <c r="N47" s="489"/>
      <c r="O47" s="75"/>
      <c r="P47" s="529">
        <f>+'9. Közp. Konyha'!P29</f>
        <v>0</v>
      </c>
      <c r="Q47" s="75">
        <f>+'9. Közp. Konyha'!Q29</f>
        <v>0</v>
      </c>
      <c r="R47" s="75">
        <f>+'9. Közp. Konyha'!R29</f>
        <v>296045</v>
      </c>
      <c r="S47" s="75">
        <f>+'9. Közp. Konyha'!S29</f>
        <v>296045</v>
      </c>
      <c r="T47" s="530"/>
      <c r="U47" s="76"/>
    </row>
    <row r="48" spans="1:21" ht="8.1" customHeight="1" x14ac:dyDescent="0.2">
      <c r="B48" s="413" t="s">
        <v>455</v>
      </c>
      <c r="C48" s="531"/>
      <c r="D48" s="412"/>
      <c r="E48" s="412"/>
      <c r="F48" s="542"/>
      <c r="G48" s="412"/>
      <c r="H48" s="531"/>
      <c r="I48" s="412"/>
      <c r="J48" s="412"/>
      <c r="K48" s="412"/>
      <c r="L48" s="412"/>
      <c r="M48" s="412"/>
      <c r="N48" s="542"/>
      <c r="O48" s="412"/>
      <c r="P48" s="531"/>
      <c r="Q48" s="412"/>
      <c r="R48" s="412"/>
      <c r="S48" s="412"/>
      <c r="T48" s="530"/>
      <c r="U48" s="76"/>
    </row>
    <row r="49" spans="1:21" x14ac:dyDescent="0.2">
      <c r="A49" s="414" t="str">
        <f>+A40</f>
        <v>K2</v>
      </c>
      <c r="B49" s="394" t="s">
        <v>448</v>
      </c>
      <c r="C49" s="532">
        <f>SUM(C41:C48)</f>
        <v>83972000</v>
      </c>
      <c r="D49" s="395">
        <f t="shared" ref="D49:F49" si="35">SUM(D41:D48)</f>
        <v>83972000</v>
      </c>
      <c r="E49" s="395">
        <f t="shared" si="35"/>
        <v>83972000</v>
      </c>
      <c r="F49" s="543">
        <f t="shared" si="35"/>
        <v>91007335</v>
      </c>
      <c r="G49" s="395"/>
      <c r="H49" s="532">
        <f>SUM(H41:H48)</f>
        <v>45860944</v>
      </c>
      <c r="I49" s="395">
        <f t="shared" ref="I49:J49" si="36">SUM(I41:I48)</f>
        <v>69073185</v>
      </c>
      <c r="J49" s="395">
        <f t="shared" si="36"/>
        <v>89071156</v>
      </c>
      <c r="K49" s="395"/>
      <c r="L49" s="395"/>
      <c r="M49" s="395"/>
      <c r="N49" s="543"/>
      <c r="O49" s="395"/>
      <c r="P49" s="532">
        <f>SUM(P41:P48)</f>
        <v>0</v>
      </c>
      <c r="Q49" s="395">
        <f t="shared" ref="Q49:S49" si="37">SUM(Q41:Q48)</f>
        <v>0</v>
      </c>
      <c r="R49" s="395">
        <f t="shared" si="37"/>
        <v>7035335</v>
      </c>
      <c r="S49" s="395">
        <f t="shared" si="37"/>
        <v>7035335</v>
      </c>
      <c r="T49" s="530"/>
      <c r="U49" s="76"/>
    </row>
    <row r="50" spans="1:21" x14ac:dyDescent="0.2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"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">
      <c r="A52" s="346" t="s">
        <v>29</v>
      </c>
      <c r="B52" s="346" t="str">
        <f>+'3. Önk. Kiadások'!B32</f>
        <v>Dologi kiadások</v>
      </c>
      <c r="C52" s="529"/>
      <c r="D52" s="76"/>
      <c r="E52" s="76"/>
      <c r="F52" s="555"/>
      <c r="G52" s="76"/>
      <c r="H52" s="529"/>
      <c r="K52" s="76"/>
      <c r="L52" s="93"/>
      <c r="M52" s="93"/>
      <c r="N52" s="530"/>
      <c r="O52" s="76"/>
      <c r="P52" s="529"/>
      <c r="Q52" s="75"/>
      <c r="R52" s="75"/>
      <c r="S52" s="75"/>
      <c r="T52" s="530"/>
      <c r="U52" s="76"/>
    </row>
    <row r="53" spans="1:21" x14ac:dyDescent="0.2">
      <c r="B53" s="58" t="str">
        <f t="shared" ref="B53:B59" si="38">+B41</f>
        <v>Sülysáp Város Önkormányzat</v>
      </c>
      <c r="C53" s="529">
        <f>+'3. Önk. Kiadások'!C32</f>
        <v>112191000</v>
      </c>
      <c r="D53" s="75">
        <f>+'3. Önk. Kiadások'!D32</f>
        <v>153139000</v>
      </c>
      <c r="E53" s="75">
        <f>+'3. Önk. Kiadások'!E32</f>
        <v>209426269</v>
      </c>
      <c r="F53" s="489">
        <f>+'3. Önk. Kiadások'!F32</f>
        <v>196933223</v>
      </c>
      <c r="G53" s="76"/>
      <c r="H53" s="529">
        <f>+'3. Önk. Kiadások'!H32</f>
        <v>85708192</v>
      </c>
      <c r="I53" s="75">
        <f>+'3. Önk. Kiadások'!I32</f>
        <v>148388185</v>
      </c>
      <c r="J53" s="75">
        <f>+'3. Önk. Kiadások'!J32</f>
        <v>188483736</v>
      </c>
      <c r="K53" s="76"/>
      <c r="L53" s="93"/>
      <c r="M53" s="93"/>
      <c r="N53" s="530"/>
      <c r="O53" s="76"/>
      <c r="P53" s="529">
        <f>+'3. Önk. Kiadások'!P32</f>
        <v>40948000</v>
      </c>
      <c r="Q53" s="75">
        <f>+'3. Önk. Kiadások'!Q32</f>
        <v>56287269</v>
      </c>
      <c r="R53" s="75">
        <f>+'3. Önk. Kiadások'!R32</f>
        <v>-12493046</v>
      </c>
      <c r="S53" s="75">
        <f>+'3. Önk. Kiadások'!S32</f>
        <v>84742223</v>
      </c>
      <c r="T53" s="530"/>
      <c r="U53" s="76"/>
    </row>
    <row r="54" spans="1:21" x14ac:dyDescent="0.2">
      <c r="A54" s="58"/>
      <c r="B54" s="58" t="str">
        <f t="shared" si="38"/>
        <v>Gondozási Központ</v>
      </c>
      <c r="C54" s="529">
        <f>+'4. Dr Gáspár HSZK'!C32</f>
        <v>10571000</v>
      </c>
      <c r="D54" s="75">
        <f>+'4. Dr Gáspár HSZK'!D32</f>
        <v>10980000</v>
      </c>
      <c r="E54" s="75">
        <f>+'4. Dr Gáspár HSZK'!E32</f>
        <v>10980000</v>
      </c>
      <c r="F54" s="489">
        <f>+'4. Dr Gáspár HSZK'!F32</f>
        <v>11046000</v>
      </c>
      <c r="G54" s="75"/>
      <c r="H54" s="558">
        <f>+'4. Dr Gáspár HSZK'!H32</f>
        <v>5462412</v>
      </c>
      <c r="I54" s="344">
        <f>+'4. Dr Gáspár HSZK'!I32</f>
        <v>7467727</v>
      </c>
      <c r="J54" s="75">
        <f>+'4. Dr Gáspár HSZK'!J32</f>
        <v>10065251</v>
      </c>
      <c r="K54" s="75"/>
      <c r="L54" s="75"/>
      <c r="M54" s="75"/>
      <c r="N54" s="489"/>
      <c r="O54" s="75"/>
      <c r="P54" s="529">
        <f>+'4. Dr Gáspár HSZK'!P32</f>
        <v>409000</v>
      </c>
      <c r="Q54" s="75">
        <f>+'4. Dr Gáspár HSZK'!Q32</f>
        <v>0</v>
      </c>
      <c r="R54" s="75">
        <f>+'4. Dr Gáspár HSZK'!R32</f>
        <v>66000</v>
      </c>
      <c r="S54" s="75">
        <f>+'4. Dr Gáspár HSZK'!S32</f>
        <v>475000</v>
      </c>
      <c r="T54" s="530"/>
      <c r="U54" s="76"/>
    </row>
    <row r="55" spans="1:21" x14ac:dyDescent="0.2">
      <c r="B55" s="58" t="str">
        <f t="shared" si="38"/>
        <v>Csicsergő Napköziotthonos Óvoda</v>
      </c>
      <c r="C55" s="529">
        <f>+'5. Csicsergő'!C33</f>
        <v>8913000</v>
      </c>
      <c r="D55" s="75">
        <f>+'5. Csicsergő'!D33</f>
        <v>10814000</v>
      </c>
      <c r="E55" s="75">
        <f>+'5. Csicsergő'!E33</f>
        <v>11884000</v>
      </c>
      <c r="F55" s="489">
        <f>+'5. Csicsergő'!F33</f>
        <v>12755015</v>
      </c>
      <c r="G55" s="75"/>
      <c r="H55" s="529">
        <f>+'5. Csicsergő'!H33</f>
        <v>7922608</v>
      </c>
      <c r="I55" s="75">
        <f>+'5. Csicsergő'!I33</f>
        <v>9510932</v>
      </c>
      <c r="J55" s="75">
        <f>+'5. Csicsergő'!J33</f>
        <v>12355914</v>
      </c>
      <c r="K55" s="75"/>
      <c r="L55" s="75"/>
      <c r="M55" s="75"/>
      <c r="N55" s="489"/>
      <c r="O55" s="75"/>
      <c r="P55" s="529">
        <f>+'5. Csicsergő'!P33</f>
        <v>1901000</v>
      </c>
      <c r="Q55" s="75">
        <f>+'5. Csicsergő'!Q33</f>
        <v>1070000</v>
      </c>
      <c r="R55" s="75">
        <f>+'5. Csicsergő'!R33</f>
        <v>871015</v>
      </c>
      <c r="S55" s="75">
        <f>+'5. Csicsergő'!S33</f>
        <v>3842015</v>
      </c>
      <c r="T55" s="530"/>
      <c r="U55" s="76"/>
    </row>
    <row r="56" spans="1:21" x14ac:dyDescent="0.2">
      <c r="B56" s="58" t="str">
        <f t="shared" si="38"/>
        <v>Gólyahír Bőlcsőde</v>
      </c>
      <c r="C56" s="529">
        <f>+'6. Gólyahír'!C32</f>
        <v>10325000</v>
      </c>
      <c r="D56" s="75">
        <f>+'6. Gólyahír'!D32</f>
        <v>10277000</v>
      </c>
      <c r="E56" s="75">
        <f>+'6. Gólyahír'!E32</f>
        <v>10273000</v>
      </c>
      <c r="F56" s="489">
        <f>+'6. Gólyahír'!F32</f>
        <v>12142500</v>
      </c>
      <c r="G56" s="75"/>
      <c r="H56" s="529">
        <f>+'6. Gólyahír'!H32</f>
        <v>4020708</v>
      </c>
      <c r="I56" s="75">
        <f>+'6. Gólyahír'!I32</f>
        <v>6293820</v>
      </c>
      <c r="J56" s="75">
        <f>+'6. Gólyahír'!J32</f>
        <v>9880361</v>
      </c>
      <c r="K56" s="75"/>
      <c r="L56" s="75"/>
      <c r="M56" s="75"/>
      <c r="N56" s="489"/>
      <c r="O56" s="75"/>
      <c r="P56" s="529">
        <f>+'6. Gólyahír'!P32</f>
        <v>-48000</v>
      </c>
      <c r="Q56" s="75">
        <f>+'6. Gólyahír'!Q32</f>
        <v>-4000</v>
      </c>
      <c r="R56" s="75">
        <f>+'6. Gólyahír'!R32</f>
        <v>1869500</v>
      </c>
      <c r="S56" s="75">
        <f>+'6. Gólyahír'!S32</f>
        <v>1817500</v>
      </c>
      <c r="T56" s="530"/>
      <c r="U56" s="76"/>
    </row>
    <row r="57" spans="1:21" x14ac:dyDescent="0.2">
      <c r="B57" s="58" t="str">
        <f t="shared" si="38"/>
        <v>Polgármesteri Hivatal</v>
      </c>
      <c r="C57" s="529">
        <f>+'7. Polg.Hiv.'!C32</f>
        <v>10409999</v>
      </c>
      <c r="D57" s="75">
        <f>+'7. Polg.Hiv.'!D32</f>
        <v>10409999</v>
      </c>
      <c r="E57" s="75">
        <f>+'7. Polg.Hiv.'!E32</f>
        <v>11681275</v>
      </c>
      <c r="F57" s="489">
        <f>+'7. Polg.Hiv.'!F32</f>
        <v>11698996</v>
      </c>
      <c r="G57" s="75"/>
      <c r="H57" s="529">
        <f>+'7. Polg.Hiv.'!H32</f>
        <v>5569152</v>
      </c>
      <c r="I57" s="75">
        <f>+'7. Polg.Hiv.'!I32</f>
        <v>8335259</v>
      </c>
      <c r="J57" s="75">
        <f>+'7. Polg.Hiv.'!J32</f>
        <v>10442086</v>
      </c>
      <c r="K57" s="75"/>
      <c r="L57" s="75"/>
      <c r="M57" s="75"/>
      <c r="N57" s="489"/>
      <c r="O57" s="75"/>
      <c r="P57" s="529">
        <f>+'7. Polg.Hiv.'!P32</f>
        <v>0</v>
      </c>
      <c r="Q57" s="75">
        <f>+'7. Polg.Hiv.'!Q32</f>
        <v>1271276</v>
      </c>
      <c r="R57" s="75">
        <f>+'7. Polg.Hiv.'!R32</f>
        <v>17721</v>
      </c>
      <c r="S57" s="75">
        <f>+'7. Polg.Hiv.'!S32</f>
        <v>1288997</v>
      </c>
      <c r="T57" s="530"/>
      <c r="U57" s="76"/>
    </row>
    <row r="58" spans="1:21" x14ac:dyDescent="0.2">
      <c r="B58" s="58" t="str">
        <f t="shared" si="38"/>
        <v>Wass Albert Művelődési Központ és Könyvtár</v>
      </c>
      <c r="C58" s="529">
        <f>+'8. WAMKK'!C32</f>
        <v>13613000</v>
      </c>
      <c r="D58" s="75">
        <f>+'8. WAMKK'!D32</f>
        <v>15199000</v>
      </c>
      <c r="E58" s="75">
        <f>+'8. WAMKK'!E32</f>
        <v>14945140</v>
      </c>
      <c r="F58" s="489">
        <f>+'8. WAMKK'!F32</f>
        <v>15843014</v>
      </c>
      <c r="G58" s="75"/>
      <c r="H58" s="529">
        <f>+'8. WAMKK'!H32</f>
        <v>6129626</v>
      </c>
      <c r="I58" s="75">
        <f>+'8. WAMKK'!I32</f>
        <v>12757339</v>
      </c>
      <c r="J58" s="75">
        <f>+'8. WAMKK'!J32</f>
        <v>15338667</v>
      </c>
      <c r="K58" s="75"/>
      <c r="L58" s="75"/>
      <c r="M58" s="75"/>
      <c r="N58" s="489"/>
      <c r="O58" s="75"/>
      <c r="P58" s="529">
        <f>+'8. WAMKK'!P32</f>
        <v>1586000</v>
      </c>
      <c r="Q58" s="75">
        <f>+'8. WAMKK'!Q32</f>
        <v>-253860</v>
      </c>
      <c r="R58" s="75">
        <f>+'8. WAMKK'!R32</f>
        <v>897874</v>
      </c>
      <c r="S58" s="75">
        <f>+'8. WAMKK'!S32</f>
        <v>2230014</v>
      </c>
      <c r="T58" s="530"/>
      <c r="U58" s="76"/>
    </row>
    <row r="59" spans="1:21" x14ac:dyDescent="0.2">
      <c r="B59" s="58" t="str">
        <f t="shared" si="38"/>
        <v>Központi Konyha</v>
      </c>
      <c r="C59" s="529">
        <f>+'9. Közp. Konyha'!C32</f>
        <v>69192000</v>
      </c>
      <c r="D59" s="75">
        <f>+'9. Közp. Konyha'!D32</f>
        <v>69192000</v>
      </c>
      <c r="E59" s="75">
        <f>+'9. Közp. Konyha'!E32</f>
        <v>69737851</v>
      </c>
      <c r="F59" s="489">
        <f>+'9. Közp. Konyha'!F32</f>
        <v>69453897</v>
      </c>
      <c r="G59" s="75"/>
      <c r="H59" s="529">
        <f>+'9. Közp. Konyha'!H32</f>
        <v>36293747</v>
      </c>
      <c r="I59" s="75">
        <f>+'9. Közp. Konyha'!I32</f>
        <v>43731872</v>
      </c>
      <c r="J59" s="75">
        <f>+'9. Közp. Konyha'!J32</f>
        <v>61501618</v>
      </c>
      <c r="K59" s="75"/>
      <c r="L59" s="75"/>
      <c r="M59" s="75"/>
      <c r="N59" s="489"/>
      <c r="O59" s="75"/>
      <c r="P59" s="529">
        <f>+'9. Közp. Konyha'!P32</f>
        <v>0</v>
      </c>
      <c r="Q59" s="75">
        <f>+'9. Közp. Konyha'!Q32</f>
        <v>545851</v>
      </c>
      <c r="R59" s="75">
        <f>+'9. Közp. Konyha'!R32</f>
        <v>-283954</v>
      </c>
      <c r="S59" s="75">
        <f>+'9. Közp. Konyha'!S32</f>
        <v>261897</v>
      </c>
      <c r="T59" s="530"/>
      <c r="U59" s="76"/>
    </row>
    <row r="60" spans="1:21" ht="8.1" customHeight="1" x14ac:dyDescent="0.2">
      <c r="B60" s="413" t="s">
        <v>455</v>
      </c>
      <c r="C60" s="531"/>
      <c r="D60" s="412"/>
      <c r="E60" s="412"/>
      <c r="F60" s="542"/>
      <c r="G60" s="412"/>
      <c r="H60" s="531"/>
      <c r="I60" s="412"/>
      <c r="J60" s="412"/>
      <c r="K60" s="412"/>
      <c r="L60" s="412"/>
      <c r="M60" s="412"/>
      <c r="N60" s="542"/>
      <c r="O60" s="412"/>
      <c r="P60" s="531"/>
      <c r="Q60" s="412"/>
      <c r="R60" s="412"/>
      <c r="S60" s="412"/>
      <c r="T60" s="530"/>
      <c r="U60" s="76"/>
    </row>
    <row r="61" spans="1:21" x14ac:dyDescent="0.2">
      <c r="A61" s="414" t="str">
        <f>+A52</f>
        <v>K3</v>
      </c>
      <c r="B61" s="394" t="s">
        <v>448</v>
      </c>
      <c r="C61" s="532">
        <f>SUM(C53:C60)</f>
        <v>235214999</v>
      </c>
      <c r="D61" s="395">
        <f t="shared" ref="D61:F61" si="39">SUM(D53:D60)</f>
        <v>280010999</v>
      </c>
      <c r="E61" s="395">
        <f t="shared" si="39"/>
        <v>338927535</v>
      </c>
      <c r="F61" s="543">
        <f t="shared" si="39"/>
        <v>329872645</v>
      </c>
      <c r="G61" s="395"/>
      <c r="H61" s="532">
        <f>SUM(H53:H60)</f>
        <v>151106445</v>
      </c>
      <c r="I61" s="395">
        <f t="shared" ref="I61:J61" si="40">SUM(I53:I60)</f>
        <v>236485134</v>
      </c>
      <c r="J61" s="395">
        <f t="shared" si="40"/>
        <v>308067633</v>
      </c>
      <c r="K61" s="395"/>
      <c r="L61" s="395"/>
      <c r="M61" s="395"/>
      <c r="N61" s="543"/>
      <c r="O61" s="395"/>
      <c r="P61" s="532">
        <f>SUM(P53:P60)</f>
        <v>44796000</v>
      </c>
      <c r="Q61" s="395">
        <f t="shared" ref="Q61:S61" si="41">SUM(Q53:Q60)</f>
        <v>58916536</v>
      </c>
      <c r="R61" s="395">
        <f t="shared" si="41"/>
        <v>-9054890</v>
      </c>
      <c r="S61" s="395">
        <f t="shared" si="41"/>
        <v>94657646</v>
      </c>
      <c r="T61" s="530"/>
      <c r="U61" s="76"/>
    </row>
    <row r="62" spans="1:21" x14ac:dyDescent="0.2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"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">
      <c r="A64" s="346" t="s">
        <v>111</v>
      </c>
      <c r="B64" s="346" t="str">
        <f>+'3. Önk. Kiadások'!B81</f>
        <v>Elláttotak pénzpeli juttatásai</v>
      </c>
      <c r="C64" s="529"/>
      <c r="D64" s="76"/>
      <c r="E64" s="76"/>
      <c r="F64" s="555"/>
      <c r="G64" s="76"/>
      <c r="H64" s="529"/>
      <c r="K64" s="76"/>
      <c r="L64" s="93"/>
      <c r="M64" s="93"/>
      <c r="N64" s="530"/>
      <c r="O64" s="76"/>
      <c r="P64" s="529"/>
      <c r="Q64" s="75"/>
      <c r="R64" s="75"/>
      <c r="S64" s="75"/>
      <c r="T64" s="530"/>
      <c r="U64" s="76"/>
    </row>
    <row r="65" spans="1:21" x14ac:dyDescent="0.2">
      <c r="B65" s="58" t="str">
        <f t="shared" ref="B65:B71" si="42">+B53</f>
        <v>Sülysáp Város Önkormányzat</v>
      </c>
      <c r="C65" s="529">
        <f>+'3. Önk. Kiadások'!C81</f>
        <v>19500000</v>
      </c>
      <c r="D65" s="75">
        <f>+'3. Önk. Kiadások'!D81</f>
        <v>20000000</v>
      </c>
      <c r="E65" s="75">
        <f>+'3. Önk. Kiadások'!E81</f>
        <v>22040000</v>
      </c>
      <c r="F65" s="489">
        <f>+'3. Önk. Kiadások'!F81</f>
        <v>22398000</v>
      </c>
      <c r="G65" s="76"/>
      <c r="H65" s="529">
        <f>+'3. Önk. Kiadások'!H81</f>
        <v>8657425</v>
      </c>
      <c r="I65" s="75">
        <f>+'3. Önk. Kiadások'!I81</f>
        <v>14557125</v>
      </c>
      <c r="J65" s="75">
        <f>+'3. Önk. Kiadások'!J81</f>
        <v>21198245</v>
      </c>
      <c r="K65" s="76"/>
      <c r="L65" s="93"/>
      <c r="M65" s="93"/>
      <c r="N65" s="530"/>
      <c r="O65" s="76"/>
      <c r="P65" s="529">
        <f>+'3. Önk. Kiadások'!P81</f>
        <v>500000</v>
      </c>
      <c r="Q65" s="75">
        <f>+'3. Önk. Kiadások'!Q81</f>
        <v>2040000</v>
      </c>
      <c r="R65" s="75">
        <f>+'3. Önk. Kiadások'!R81</f>
        <v>358000</v>
      </c>
      <c r="S65" s="75">
        <f>+'3. Önk. Kiadások'!S81</f>
        <v>2898000</v>
      </c>
      <c r="T65" s="530"/>
      <c r="U65" s="76"/>
    </row>
    <row r="66" spans="1:21" x14ac:dyDescent="0.2">
      <c r="A66" s="58"/>
      <c r="B66" s="58" t="str">
        <f t="shared" si="42"/>
        <v>Gondozási Központ</v>
      </c>
      <c r="C66" s="529"/>
      <c r="D66" s="75"/>
      <c r="E66" s="75"/>
      <c r="F66" s="489"/>
      <c r="G66" s="75"/>
      <c r="H66" s="529"/>
      <c r="I66" s="75"/>
      <c r="J66" s="75"/>
      <c r="K66" s="75"/>
      <c r="L66" s="75"/>
      <c r="M66" s="75"/>
      <c r="N66" s="489"/>
      <c r="O66" s="75"/>
      <c r="P66" s="529"/>
      <c r="Q66" s="75"/>
      <c r="R66" s="75"/>
      <c r="S66" s="75"/>
      <c r="T66" s="530"/>
      <c r="U66" s="76"/>
    </row>
    <row r="67" spans="1:21" x14ac:dyDescent="0.2">
      <c r="B67" s="58" t="str">
        <f t="shared" si="42"/>
        <v>Csicsergő Napköziotthonos Óvoda</v>
      </c>
      <c r="C67" s="529"/>
      <c r="D67" s="75"/>
      <c r="E67" s="75"/>
      <c r="F67" s="489"/>
      <c r="G67" s="75"/>
      <c r="H67" s="529"/>
      <c r="I67" s="75"/>
      <c r="J67" s="75"/>
      <c r="K67" s="75"/>
      <c r="L67" s="75"/>
      <c r="M67" s="75"/>
      <c r="N67" s="489"/>
      <c r="O67" s="75"/>
      <c r="P67" s="529"/>
      <c r="Q67" s="75"/>
      <c r="R67" s="75"/>
      <c r="S67" s="75"/>
      <c r="T67" s="530"/>
      <c r="U67" s="76"/>
    </row>
    <row r="68" spans="1:21" x14ac:dyDescent="0.2">
      <c r="B68" s="58" t="str">
        <f t="shared" si="42"/>
        <v>Gólyahír Bőlcsőde</v>
      </c>
      <c r="C68" s="529"/>
      <c r="D68" s="75"/>
      <c r="E68" s="75"/>
      <c r="F68" s="489"/>
      <c r="G68" s="75"/>
      <c r="H68" s="529"/>
      <c r="I68" s="75"/>
      <c r="J68" s="75"/>
      <c r="K68" s="75"/>
      <c r="L68" s="75"/>
      <c r="M68" s="75"/>
      <c r="N68" s="489"/>
      <c r="O68" s="75"/>
      <c r="P68" s="529"/>
      <c r="Q68" s="75"/>
      <c r="R68" s="75"/>
      <c r="S68" s="75"/>
      <c r="T68" s="530"/>
      <c r="U68" s="76"/>
    </row>
    <row r="69" spans="1:21" x14ac:dyDescent="0.2">
      <c r="B69" s="58" t="str">
        <f t="shared" si="42"/>
        <v>Polgármesteri Hivatal</v>
      </c>
      <c r="C69" s="529"/>
      <c r="D69" s="75"/>
      <c r="E69" s="75"/>
      <c r="F69" s="489"/>
      <c r="G69" s="75"/>
      <c r="H69" s="529"/>
      <c r="I69" s="75"/>
      <c r="J69" s="75"/>
      <c r="K69" s="75"/>
      <c r="L69" s="75"/>
      <c r="M69" s="75"/>
      <c r="N69" s="489"/>
      <c r="O69" s="75"/>
      <c r="P69" s="529"/>
      <c r="Q69" s="75"/>
      <c r="R69" s="75"/>
      <c r="S69" s="75"/>
      <c r="T69" s="530"/>
      <c r="U69" s="76"/>
    </row>
    <row r="70" spans="1:21" x14ac:dyDescent="0.2">
      <c r="B70" s="58" t="str">
        <f t="shared" si="42"/>
        <v>Wass Albert Művelődési Központ és Könyvtár</v>
      </c>
      <c r="C70" s="529"/>
      <c r="D70" s="75"/>
      <c r="E70" s="75"/>
      <c r="F70" s="489"/>
      <c r="G70" s="75"/>
      <c r="H70" s="529"/>
      <c r="I70" s="75"/>
      <c r="J70" s="75"/>
      <c r="K70" s="75"/>
      <c r="L70" s="75"/>
      <c r="M70" s="75"/>
      <c r="N70" s="489"/>
      <c r="O70" s="75"/>
      <c r="P70" s="529"/>
      <c r="Q70" s="75"/>
      <c r="R70" s="75"/>
      <c r="S70" s="75"/>
      <c r="T70" s="530"/>
      <c r="U70" s="76"/>
    </row>
    <row r="71" spans="1:21" x14ac:dyDescent="0.2">
      <c r="B71" s="58" t="str">
        <f t="shared" si="42"/>
        <v>Központi Konyha</v>
      </c>
      <c r="C71" s="529"/>
      <c r="D71" s="75"/>
      <c r="E71" s="75"/>
      <c r="F71" s="489"/>
      <c r="G71" s="75"/>
      <c r="H71" s="529"/>
      <c r="I71" s="75"/>
      <c r="J71" s="75"/>
      <c r="K71" s="75"/>
      <c r="L71" s="75"/>
      <c r="M71" s="75"/>
      <c r="N71" s="489"/>
      <c r="O71" s="75"/>
      <c r="P71" s="529"/>
      <c r="Q71" s="75"/>
      <c r="R71" s="75"/>
      <c r="S71" s="75"/>
      <c r="T71" s="530"/>
      <c r="U71" s="76"/>
    </row>
    <row r="72" spans="1:21" ht="8.1" customHeight="1" x14ac:dyDescent="0.2">
      <c r="B72" s="413" t="s">
        <v>455</v>
      </c>
      <c r="C72" s="531"/>
      <c r="D72" s="412"/>
      <c r="E72" s="412"/>
      <c r="F72" s="542"/>
      <c r="G72" s="412"/>
      <c r="H72" s="531"/>
      <c r="I72" s="412"/>
      <c r="J72" s="412"/>
      <c r="K72" s="412"/>
      <c r="L72" s="412"/>
      <c r="M72" s="412"/>
      <c r="N72" s="542"/>
      <c r="O72" s="412"/>
      <c r="P72" s="531"/>
      <c r="Q72" s="412"/>
      <c r="R72" s="412"/>
      <c r="S72" s="412"/>
      <c r="T72" s="530"/>
      <c r="U72" s="76"/>
    </row>
    <row r="73" spans="1:21" x14ac:dyDescent="0.2">
      <c r="A73" s="414" t="str">
        <f>+A64</f>
        <v>K4</v>
      </c>
      <c r="B73" s="394" t="s">
        <v>448</v>
      </c>
      <c r="C73" s="532">
        <f>SUM(C65:C72)</f>
        <v>19500000</v>
      </c>
      <c r="D73" s="395">
        <f t="shared" ref="D73:F73" si="43">SUM(D65:D72)</f>
        <v>20000000</v>
      </c>
      <c r="E73" s="395">
        <f t="shared" si="43"/>
        <v>22040000</v>
      </c>
      <c r="F73" s="543">
        <f t="shared" si="43"/>
        <v>22398000</v>
      </c>
      <c r="G73" s="395"/>
      <c r="H73" s="532">
        <f>SUM(H65:H72)</f>
        <v>8657425</v>
      </c>
      <c r="I73" s="395">
        <f t="shared" ref="I73:J73" si="44">SUM(I65:I72)</f>
        <v>14557125</v>
      </c>
      <c r="J73" s="395">
        <f t="shared" si="44"/>
        <v>21198245</v>
      </c>
      <c r="K73" s="395"/>
      <c r="L73" s="395"/>
      <c r="M73" s="395"/>
      <c r="N73" s="543"/>
      <c r="O73" s="395"/>
      <c r="P73" s="532">
        <f>SUM(P65:P72)</f>
        <v>500000</v>
      </c>
      <c r="Q73" s="395">
        <f t="shared" ref="Q73:S73" si="45">SUM(Q65:Q72)</f>
        <v>2040000</v>
      </c>
      <c r="R73" s="395">
        <f t="shared" si="45"/>
        <v>358000</v>
      </c>
      <c r="S73" s="395">
        <f t="shared" si="45"/>
        <v>2898000</v>
      </c>
      <c r="T73" s="530"/>
      <c r="U73" s="76"/>
    </row>
    <row r="74" spans="1:21" x14ac:dyDescent="0.2">
      <c r="C74" s="533"/>
      <c r="F74" s="487"/>
      <c r="H74" s="533"/>
      <c r="N74" s="530"/>
      <c r="P74" s="533"/>
      <c r="T74" s="530"/>
    </row>
    <row r="75" spans="1:21" x14ac:dyDescent="0.2">
      <c r="C75" s="533"/>
      <c r="F75" s="487"/>
      <c r="H75" s="533"/>
      <c r="N75" s="530"/>
      <c r="P75" s="533"/>
      <c r="T75" s="530"/>
    </row>
    <row r="76" spans="1:21" x14ac:dyDescent="0.2">
      <c r="A76" s="346" t="s">
        <v>376</v>
      </c>
      <c r="B76" s="346" t="str">
        <f>+'3. Önk. Kiadások'!B106</f>
        <v>Egyéb működési célú kiadások</v>
      </c>
      <c r="C76" s="529"/>
      <c r="D76" s="76"/>
      <c r="E76" s="76"/>
      <c r="F76" s="555"/>
      <c r="G76" s="76"/>
      <c r="H76" s="529"/>
      <c r="K76" s="76"/>
      <c r="L76" s="93"/>
      <c r="M76" s="93"/>
      <c r="N76" s="530"/>
      <c r="O76" s="76"/>
      <c r="P76" s="529"/>
      <c r="Q76" s="75"/>
      <c r="R76" s="75"/>
      <c r="S76" s="75"/>
      <c r="T76" s="530"/>
      <c r="U76" s="76"/>
    </row>
    <row r="77" spans="1:21" x14ac:dyDescent="0.2">
      <c r="B77" s="58" t="str">
        <f t="shared" ref="B77:B83" si="46">+B65</f>
        <v>Sülysáp Város Önkormányzat</v>
      </c>
      <c r="C77" s="529">
        <f>+'3. Önk. Kiadások'!C106</f>
        <v>174456925</v>
      </c>
      <c r="D77" s="75">
        <f>+'3. Önk. Kiadások'!D106</f>
        <v>144494000</v>
      </c>
      <c r="E77" s="75">
        <f>+'3. Önk. Kiadások'!E106</f>
        <v>144625000</v>
      </c>
      <c r="F77" s="489">
        <f>+'3. Önk. Kiadások'!F106</f>
        <v>142311000</v>
      </c>
      <c r="G77" s="76"/>
      <c r="H77" s="529">
        <f>+'3. Önk. Kiadások'!H106</f>
        <v>97482764</v>
      </c>
      <c r="I77" s="75">
        <f>+'3. Önk. Kiadások'!I106</f>
        <v>117252118</v>
      </c>
      <c r="J77" s="75">
        <f>+'3. Önk. Kiadások'!J106</f>
        <v>138791262</v>
      </c>
      <c r="K77" s="76"/>
      <c r="L77" s="93"/>
      <c r="M77" s="93"/>
      <c r="N77" s="530"/>
      <c r="O77" s="76"/>
      <c r="P77" s="529">
        <f>+'3. Önk. Kiadások'!P106</f>
        <v>-29962925</v>
      </c>
      <c r="Q77" s="75">
        <f>+'3. Önk. Kiadások'!Q106</f>
        <v>131000</v>
      </c>
      <c r="R77" s="75">
        <f>+'3. Önk. Kiadások'!R106</f>
        <v>-2314000</v>
      </c>
      <c r="S77" s="75">
        <f>+'3. Önk. Kiadások'!S106</f>
        <v>-32145925</v>
      </c>
      <c r="T77" s="530"/>
      <c r="U77" s="76"/>
    </row>
    <row r="78" spans="1:21" x14ac:dyDescent="0.2">
      <c r="A78" s="58"/>
      <c r="B78" s="58" t="str">
        <f t="shared" si="46"/>
        <v>Gondozási Központ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">
      <c r="B79" s="58" t="str">
        <f t="shared" si="46"/>
        <v>Csicsergő Napköziotthonos Óvoda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">
      <c r="B80" s="58" t="str">
        <f t="shared" si="46"/>
        <v>Gólyahír Bőlcsőde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">
      <c r="B81" s="58" t="str">
        <f t="shared" si="46"/>
        <v>Polgármesteri Hivatal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">
      <c r="B82" s="58" t="str">
        <f t="shared" si="46"/>
        <v>Wass Albert Művelődési Központ és Könyvtár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x14ac:dyDescent="0.2">
      <c r="B83" s="58" t="str">
        <f t="shared" si="46"/>
        <v>Központi Konyha</v>
      </c>
      <c r="C83" s="529"/>
      <c r="D83" s="75"/>
      <c r="E83" s="75"/>
      <c r="F83" s="489"/>
      <c r="G83" s="75"/>
      <c r="H83" s="529"/>
      <c r="I83" s="75"/>
      <c r="J83" s="75"/>
      <c r="K83" s="75"/>
      <c r="L83" s="75"/>
      <c r="M83" s="75"/>
      <c r="N83" s="489"/>
      <c r="O83" s="75"/>
      <c r="P83" s="529"/>
      <c r="Q83" s="75"/>
      <c r="R83" s="75"/>
      <c r="S83" s="75"/>
      <c r="T83" s="530"/>
      <c r="U83" s="76"/>
    </row>
    <row r="84" spans="1:21" ht="8.1" customHeight="1" x14ac:dyDescent="0.2">
      <c r="B84" s="413" t="s">
        <v>455</v>
      </c>
      <c r="C84" s="531"/>
      <c r="D84" s="412"/>
      <c r="E84" s="412"/>
      <c r="F84" s="542"/>
      <c r="G84" s="412"/>
      <c r="H84" s="531"/>
      <c r="I84" s="412"/>
      <c r="J84" s="412"/>
      <c r="K84" s="412"/>
      <c r="L84" s="412"/>
      <c r="M84" s="412"/>
      <c r="N84" s="542"/>
      <c r="O84" s="412"/>
      <c r="P84" s="531"/>
      <c r="Q84" s="412"/>
      <c r="R84" s="412"/>
      <c r="S84" s="412"/>
      <c r="T84" s="530"/>
      <c r="U84" s="76"/>
    </row>
    <row r="85" spans="1:21" x14ac:dyDescent="0.2">
      <c r="A85" s="414" t="str">
        <f>+A76</f>
        <v>K5</v>
      </c>
      <c r="B85" s="394" t="s">
        <v>448</v>
      </c>
      <c r="C85" s="532">
        <f>SUM(C77:C84)</f>
        <v>174456925</v>
      </c>
      <c r="D85" s="395">
        <f t="shared" ref="D85:F85" si="47">SUM(D77:D84)</f>
        <v>144494000</v>
      </c>
      <c r="E85" s="395">
        <f t="shared" si="47"/>
        <v>144625000</v>
      </c>
      <c r="F85" s="543">
        <f t="shared" si="47"/>
        <v>142311000</v>
      </c>
      <c r="G85" s="395"/>
      <c r="H85" s="532">
        <f>SUM(H77:H84)</f>
        <v>97482764</v>
      </c>
      <c r="I85" s="395">
        <f t="shared" ref="I85:J85" si="48">SUM(I77:I84)</f>
        <v>117252118</v>
      </c>
      <c r="J85" s="395">
        <f t="shared" si="48"/>
        <v>138791262</v>
      </c>
      <c r="K85" s="395"/>
      <c r="L85" s="395"/>
      <c r="M85" s="395"/>
      <c r="N85" s="543"/>
      <c r="O85" s="395"/>
      <c r="P85" s="532">
        <f>SUM(P77:P84)</f>
        <v>-29962925</v>
      </c>
      <c r="Q85" s="395">
        <f t="shared" ref="Q85:S85" si="49">SUM(Q77:Q84)</f>
        <v>131000</v>
      </c>
      <c r="R85" s="395">
        <f t="shared" si="49"/>
        <v>-2314000</v>
      </c>
      <c r="S85" s="395">
        <f t="shared" si="49"/>
        <v>-32145925</v>
      </c>
      <c r="T85" s="530"/>
      <c r="U85" s="76"/>
    </row>
    <row r="86" spans="1:21" x14ac:dyDescent="0.2">
      <c r="C86" s="533"/>
      <c r="F86" s="487"/>
      <c r="H86" s="533"/>
      <c r="N86" s="530"/>
      <c r="P86" s="533"/>
      <c r="T86" s="530"/>
    </row>
    <row r="87" spans="1:21" x14ac:dyDescent="0.2">
      <c r="C87" s="533"/>
      <c r="F87" s="487"/>
      <c r="H87" s="533"/>
      <c r="N87" s="530"/>
      <c r="P87" s="533"/>
      <c r="T87" s="530"/>
    </row>
    <row r="88" spans="1:21" x14ac:dyDescent="0.2">
      <c r="A88" s="346" t="s">
        <v>158</v>
      </c>
      <c r="B88" s="346" t="str">
        <f>+'3. Önk. Kiadások'!B120</f>
        <v>Beruházások</v>
      </c>
      <c r="C88" s="529"/>
      <c r="D88" s="76"/>
      <c r="E88" s="76"/>
      <c r="F88" s="555"/>
      <c r="G88" s="76"/>
      <c r="H88" s="529"/>
      <c r="K88" s="76"/>
      <c r="L88" s="93"/>
      <c r="M88" s="93"/>
      <c r="N88" s="530"/>
      <c r="O88" s="76"/>
      <c r="P88" s="529"/>
      <c r="Q88" s="75"/>
      <c r="R88" s="75"/>
      <c r="S88" s="75"/>
      <c r="T88" s="530"/>
      <c r="U88" s="76"/>
    </row>
    <row r="89" spans="1:21" x14ac:dyDescent="0.2">
      <c r="B89" s="58" t="str">
        <f t="shared" ref="B89:B95" si="50">+B77</f>
        <v>Sülysáp Város Önkormányzat</v>
      </c>
      <c r="C89" s="529">
        <f>+'3. Önk. Kiadások'!C120</f>
        <v>211500000</v>
      </c>
      <c r="D89" s="75">
        <f>+'3. Önk. Kiadások'!D120</f>
        <v>425525752</v>
      </c>
      <c r="E89" s="75">
        <f>+'3. Önk. Kiadások'!E120</f>
        <v>232468080</v>
      </c>
      <c r="F89" s="489">
        <f>+'3. Önk. Kiadások'!F120</f>
        <v>211886399</v>
      </c>
      <c r="G89" s="76"/>
      <c r="H89" s="529">
        <f>+'3. Önk. Kiadások'!H120</f>
        <v>7083713</v>
      </c>
      <c r="I89" s="75">
        <f>+'3. Önk. Kiadások'!I120</f>
        <v>16863789</v>
      </c>
      <c r="J89" s="75">
        <f>+'3. Önk. Kiadások'!J120</f>
        <v>65115830</v>
      </c>
      <c r="K89" s="76"/>
      <c r="L89" s="93"/>
      <c r="M89" s="93"/>
      <c r="N89" s="530"/>
      <c r="O89" s="76"/>
      <c r="P89" s="529">
        <f>+'3. Önk. Kiadások'!P120</f>
        <v>214025752</v>
      </c>
      <c r="Q89" s="75">
        <f>+'3. Önk. Kiadások'!Q120</f>
        <v>-193057672</v>
      </c>
      <c r="R89" s="75">
        <f>+'3. Önk. Kiadások'!R120</f>
        <v>-20581681</v>
      </c>
      <c r="S89" s="75">
        <f>+'3. Önk. Kiadások'!S120</f>
        <v>386399</v>
      </c>
      <c r="T89" s="530"/>
      <c r="U89" s="76"/>
    </row>
    <row r="90" spans="1:21" x14ac:dyDescent="0.2">
      <c r="A90" s="58"/>
      <c r="B90" s="58" t="str">
        <f t="shared" si="50"/>
        <v>Gondozási Központ</v>
      </c>
      <c r="C90" s="529">
        <f>+'4. Dr Gáspár HSZK'!C83</f>
        <v>52000</v>
      </c>
      <c r="D90" s="75">
        <f>+'4. Dr Gáspár HSZK'!D83</f>
        <v>52000</v>
      </c>
      <c r="E90" s="75">
        <f>+'4. Dr Gáspár HSZK'!E83</f>
        <v>52000</v>
      </c>
      <c r="F90" s="489">
        <f>+'4. Dr Gáspár HSZK'!F83</f>
        <v>52000</v>
      </c>
      <c r="G90" s="75"/>
      <c r="H90" s="529">
        <f>+'4. Dr Gáspár HSZK'!H83</f>
        <v>0</v>
      </c>
      <c r="I90" s="75">
        <f>+'4. Dr Gáspár HSZK'!I83</f>
        <v>0</v>
      </c>
      <c r="J90" s="75">
        <f>+'4. Dr Gáspár HSZK'!J83</f>
        <v>23000</v>
      </c>
      <c r="K90" s="75"/>
      <c r="L90" s="75"/>
      <c r="M90" s="75"/>
      <c r="N90" s="489"/>
      <c r="O90" s="75"/>
      <c r="P90" s="529">
        <f>+'4. Dr Gáspár HSZK'!P83</f>
        <v>0</v>
      </c>
      <c r="Q90" s="75">
        <f>+'4. Dr Gáspár HSZK'!Q83</f>
        <v>0</v>
      </c>
      <c r="R90" s="75">
        <f>+'4. Dr Gáspár HSZK'!R83</f>
        <v>0</v>
      </c>
      <c r="S90" s="75">
        <f>+'4. Dr Gáspár HSZK'!S83</f>
        <v>0</v>
      </c>
      <c r="T90" s="530"/>
      <c r="U90" s="76"/>
    </row>
    <row r="91" spans="1:21" x14ac:dyDescent="0.2">
      <c r="B91" s="58" t="str">
        <f t="shared" si="50"/>
        <v>Csicsergő Napköziotthonos Óvoda</v>
      </c>
      <c r="C91" s="529">
        <f>+'5. Csicsergő'!C84</f>
        <v>1070000</v>
      </c>
      <c r="D91" s="75">
        <f>+'5. Csicsergő'!D84</f>
        <v>619000</v>
      </c>
      <c r="E91" s="75">
        <f>+'5. Csicsergő'!E84</f>
        <v>589000</v>
      </c>
      <c r="F91" s="489">
        <f>+'5. Csicsergő'!F84</f>
        <v>368000</v>
      </c>
      <c r="G91" s="75"/>
      <c r="H91" s="529">
        <f>+'5. Csicsergő'!H84</f>
        <v>31989</v>
      </c>
      <c r="I91" s="75">
        <f>+'5. Csicsergő'!I84</f>
        <v>31989</v>
      </c>
      <c r="J91" s="75">
        <f>+'5. Csicsergő'!J84</f>
        <v>269302</v>
      </c>
      <c r="K91" s="75"/>
      <c r="L91" s="75"/>
      <c r="M91" s="75"/>
      <c r="N91" s="489"/>
      <c r="O91" s="75"/>
      <c r="P91" s="529">
        <f>+'5. Csicsergő'!P84</f>
        <v>-451000</v>
      </c>
      <c r="Q91" s="75">
        <f>+'5. Csicsergő'!Q84</f>
        <v>-30000</v>
      </c>
      <c r="R91" s="75">
        <f>+'5. Csicsergő'!R84</f>
        <v>-221000</v>
      </c>
      <c r="S91" s="75">
        <f>+'5. Csicsergő'!S84</f>
        <v>-702000</v>
      </c>
      <c r="T91" s="530"/>
      <c r="U91" s="76"/>
    </row>
    <row r="92" spans="1:21" x14ac:dyDescent="0.2">
      <c r="B92" s="58" t="str">
        <f t="shared" si="50"/>
        <v>Gólyahír Bőlcsőde</v>
      </c>
      <c r="C92" s="529">
        <f>+'6. Gólyahír'!C83</f>
        <v>14000</v>
      </c>
      <c r="D92" s="75">
        <f>+'6. Gólyahír'!D83</f>
        <v>14000</v>
      </c>
      <c r="E92" s="75">
        <f>+'6. Gólyahír'!E83</f>
        <v>18000</v>
      </c>
      <c r="F92" s="489">
        <f>+'6. Gólyahír'!F83</f>
        <v>18000</v>
      </c>
      <c r="G92" s="75"/>
      <c r="H92" s="529">
        <f>+'6. Gólyahír'!H83</f>
        <v>0</v>
      </c>
      <c r="I92" s="75">
        <f>+'6. Gólyahír'!I83</f>
        <v>0</v>
      </c>
      <c r="J92" s="75">
        <f>+'6. Gólyahír'!J83</f>
        <v>16000</v>
      </c>
      <c r="K92" s="75"/>
      <c r="L92" s="75"/>
      <c r="M92" s="75"/>
      <c r="N92" s="489"/>
      <c r="O92" s="75"/>
      <c r="P92" s="529">
        <f>+'6. Gólyahír'!P83</f>
        <v>0</v>
      </c>
      <c r="Q92" s="75">
        <f>+'6. Gólyahír'!Q83</f>
        <v>4000</v>
      </c>
      <c r="R92" s="75">
        <f>+'6. Gólyahír'!R83</f>
        <v>0</v>
      </c>
      <c r="S92" s="75">
        <f>+'6. Gólyahír'!S83</f>
        <v>4000</v>
      </c>
      <c r="T92" s="530"/>
      <c r="U92" s="76"/>
    </row>
    <row r="93" spans="1:21" x14ac:dyDescent="0.2">
      <c r="B93" s="352" t="str">
        <f t="shared" si="50"/>
        <v>Polgármesteri Hivatal</v>
      </c>
      <c r="C93" s="529">
        <f>+'7. Polg.Hiv.'!C83</f>
        <v>1324900</v>
      </c>
      <c r="D93" s="75">
        <f>+'7. Polg.Hiv.'!D83</f>
        <v>1324900</v>
      </c>
      <c r="E93" s="75">
        <f>+'7. Polg.Hiv.'!E83</f>
        <v>1324900</v>
      </c>
      <c r="F93" s="489">
        <f>+'7. Polg.Hiv.'!F83</f>
        <v>1617945</v>
      </c>
      <c r="G93" s="75"/>
      <c r="H93" s="529">
        <f>+'7. Polg.Hiv.'!H83</f>
        <v>700659</v>
      </c>
      <c r="I93" s="75">
        <f>+'7. Polg.Hiv.'!I83</f>
        <v>786949</v>
      </c>
      <c r="J93" s="75">
        <f>+'7. Polg.Hiv.'!J83</f>
        <v>1617945</v>
      </c>
      <c r="K93" s="75"/>
      <c r="L93" s="75"/>
      <c r="M93" s="75"/>
      <c r="N93" s="489"/>
      <c r="O93" s="75"/>
      <c r="P93" s="529">
        <f>+'7. Polg.Hiv.'!P83</f>
        <v>0</v>
      </c>
      <c r="Q93" s="75">
        <f>+'7. Polg.Hiv.'!Q83</f>
        <v>0</v>
      </c>
      <c r="R93" s="75">
        <f>+'7. Polg.Hiv.'!R83</f>
        <v>293045</v>
      </c>
      <c r="S93" s="75">
        <f>+'7. Polg.Hiv.'!S83</f>
        <v>293045</v>
      </c>
      <c r="T93" s="530"/>
      <c r="U93" s="76"/>
    </row>
    <row r="94" spans="1:21" x14ac:dyDescent="0.2">
      <c r="B94" s="58" t="str">
        <f t="shared" si="50"/>
        <v>Wass Albert Művelődési Központ és Könyvtár</v>
      </c>
      <c r="C94" s="529">
        <f>+'8. WAMKK'!C83</f>
        <v>350000</v>
      </c>
      <c r="D94" s="75">
        <f>+'8. WAMKK'!D83</f>
        <v>364000</v>
      </c>
      <c r="E94" s="75">
        <f>+'8. WAMKK'!E83</f>
        <v>617860</v>
      </c>
      <c r="F94" s="489">
        <f>+'8. WAMKK'!F83</f>
        <v>655840</v>
      </c>
      <c r="G94" s="75"/>
      <c r="H94" s="529">
        <f>+'8. WAMKK'!H83</f>
        <v>362960</v>
      </c>
      <c r="I94" s="75">
        <f>+'8. WAMKK'!I83</f>
        <v>617860</v>
      </c>
      <c r="J94" s="75">
        <f>+'8. WAMKK'!J83</f>
        <v>655840</v>
      </c>
      <c r="K94" s="75"/>
      <c r="L94" s="75"/>
      <c r="M94" s="75"/>
      <c r="N94" s="489"/>
      <c r="O94" s="75"/>
      <c r="P94" s="529">
        <f>+'8. WAMKK'!P83</f>
        <v>14000</v>
      </c>
      <c r="Q94" s="75">
        <f>+'8. WAMKK'!Q83</f>
        <v>253860</v>
      </c>
      <c r="R94" s="75">
        <f>+'8. WAMKK'!R83</f>
        <v>37980</v>
      </c>
      <c r="S94" s="75">
        <f>+'8. WAMKK'!S83</f>
        <v>305840</v>
      </c>
      <c r="T94" s="530"/>
      <c r="U94" s="76"/>
    </row>
    <row r="95" spans="1:21" x14ac:dyDescent="0.2">
      <c r="B95" s="58" t="str">
        <f t="shared" si="50"/>
        <v>Központi Konyha</v>
      </c>
      <c r="C95" s="529">
        <f>+'9. Közp. Konyha'!C83</f>
        <v>800000</v>
      </c>
      <c r="D95" s="75">
        <f>+'9. Közp. Konyha'!D83</f>
        <v>800000</v>
      </c>
      <c r="E95" s="75">
        <f>+'9. Közp. Konyha'!E83</f>
        <v>254149</v>
      </c>
      <c r="F95" s="489">
        <f>+'9. Közp. Konyha'!F83</f>
        <v>306781</v>
      </c>
      <c r="G95" s="75"/>
      <c r="H95" s="529">
        <f>+'9. Közp. Konyha'!H83</f>
        <v>201042</v>
      </c>
      <c r="I95" s="75">
        <f>+'9. Közp. Konyha'!I83</f>
        <v>254149</v>
      </c>
      <c r="J95" s="75">
        <f>+'9. Közp. Konyha'!J83</f>
        <v>304866</v>
      </c>
      <c r="K95" s="75"/>
      <c r="L95" s="75"/>
      <c r="M95" s="75"/>
      <c r="N95" s="489"/>
      <c r="O95" s="75"/>
      <c r="P95" s="529">
        <f>+'9. Közp. Konyha'!P83</f>
        <v>0</v>
      </c>
      <c r="Q95" s="75">
        <f>+'9. Közp. Konyha'!Q83</f>
        <v>-545851</v>
      </c>
      <c r="R95" s="75">
        <f>+'9. Közp. Konyha'!R83</f>
        <v>52632</v>
      </c>
      <c r="S95" s="75">
        <f>+'9. Közp. Konyha'!S83</f>
        <v>-493219</v>
      </c>
      <c r="T95" s="530"/>
      <c r="U95" s="76"/>
    </row>
    <row r="96" spans="1:21" ht="8.1" customHeight="1" x14ac:dyDescent="0.2">
      <c r="B96" s="413" t="s">
        <v>455</v>
      </c>
      <c r="C96" s="531"/>
      <c r="D96" s="412"/>
      <c r="E96" s="412"/>
      <c r="F96" s="542"/>
      <c r="G96" s="412"/>
      <c r="H96" s="531"/>
      <c r="I96" s="412"/>
      <c r="J96" s="412"/>
      <c r="K96" s="412"/>
      <c r="L96" s="412"/>
      <c r="M96" s="412"/>
      <c r="N96" s="542"/>
      <c r="O96" s="412"/>
      <c r="P96" s="531"/>
      <c r="Q96" s="412"/>
      <c r="R96" s="412"/>
      <c r="S96" s="412"/>
      <c r="T96" s="530"/>
      <c r="U96" s="76"/>
    </row>
    <row r="97" spans="1:21" x14ac:dyDescent="0.2">
      <c r="A97" s="414" t="str">
        <f>+A88</f>
        <v>K6</v>
      </c>
      <c r="B97" s="394" t="s">
        <v>448</v>
      </c>
      <c r="C97" s="532">
        <f>SUM(C89:C96)</f>
        <v>215110900</v>
      </c>
      <c r="D97" s="395">
        <f t="shared" ref="D97:F97" si="51">SUM(D89:D96)</f>
        <v>428699652</v>
      </c>
      <c r="E97" s="395">
        <f t="shared" si="51"/>
        <v>235323989</v>
      </c>
      <c r="F97" s="543">
        <f t="shared" si="51"/>
        <v>214904965</v>
      </c>
      <c r="G97" s="395"/>
      <c r="H97" s="532">
        <f>SUM(H89:H96)</f>
        <v>8380363</v>
      </c>
      <c r="I97" s="395">
        <f t="shared" ref="I97:J97" si="52">SUM(I89:I96)</f>
        <v>18554736</v>
      </c>
      <c r="J97" s="395">
        <f t="shared" si="52"/>
        <v>68002783</v>
      </c>
      <c r="K97" s="395"/>
      <c r="L97" s="395"/>
      <c r="M97" s="395"/>
      <c r="N97" s="543"/>
      <c r="O97" s="395"/>
      <c r="P97" s="532">
        <f>SUM(P89:P96)</f>
        <v>213588752</v>
      </c>
      <c r="Q97" s="395">
        <f t="shared" ref="Q97:S97" si="53">SUM(Q89:Q96)</f>
        <v>-193375663</v>
      </c>
      <c r="R97" s="395">
        <f t="shared" si="53"/>
        <v>-20419024</v>
      </c>
      <c r="S97" s="395">
        <f t="shared" si="53"/>
        <v>-205935</v>
      </c>
      <c r="T97" s="530"/>
      <c r="U97" s="76"/>
    </row>
    <row r="98" spans="1:21" x14ac:dyDescent="0.2">
      <c r="C98" s="533"/>
      <c r="F98" s="487"/>
      <c r="H98" s="533"/>
      <c r="N98" s="530"/>
      <c r="P98" s="533"/>
      <c r="T98" s="530"/>
    </row>
    <row r="99" spans="1:21" x14ac:dyDescent="0.2">
      <c r="C99" s="533"/>
      <c r="F99" s="487"/>
      <c r="H99" s="533"/>
      <c r="N99" s="530"/>
      <c r="P99" s="533"/>
      <c r="T99" s="530"/>
    </row>
    <row r="100" spans="1:21" x14ac:dyDescent="0.2">
      <c r="A100" s="346" t="s">
        <v>173</v>
      </c>
      <c r="B100" s="346" t="str">
        <f>+'3. Önk. Kiadások'!B129</f>
        <v>Felújítások</v>
      </c>
      <c r="C100" s="529"/>
      <c r="D100" s="76"/>
      <c r="E100" s="76"/>
      <c r="F100" s="555"/>
      <c r="G100" s="76"/>
      <c r="H100" s="529"/>
      <c r="K100" s="76"/>
      <c r="L100" s="93"/>
      <c r="M100" s="93"/>
      <c r="N100" s="530"/>
      <c r="O100" s="76"/>
      <c r="P100" s="529"/>
      <c r="Q100" s="75"/>
      <c r="R100" s="75"/>
      <c r="S100" s="75"/>
      <c r="T100" s="530"/>
      <c r="U100" s="76"/>
    </row>
    <row r="101" spans="1:21" x14ac:dyDescent="0.2">
      <c r="B101" s="58" t="str">
        <f t="shared" ref="B101:B107" si="54">+B89</f>
        <v>Sülysáp Város Önkormányzat</v>
      </c>
      <c r="C101" s="529">
        <f>+'3. Önk. Kiadások'!C129</f>
        <v>108480000</v>
      </c>
      <c r="D101" s="75">
        <f>+'3. Önk. Kiadások'!D129</f>
        <v>296686866</v>
      </c>
      <c r="E101" s="75">
        <f>+'3. Önk. Kiadások'!E129</f>
        <v>606662415</v>
      </c>
      <c r="F101" s="489">
        <f>+'3. Önk. Kiadások'!F129</f>
        <v>599031351</v>
      </c>
      <c r="G101" s="76"/>
      <c r="H101" s="529">
        <f>+'3. Önk. Kiadások'!H129</f>
        <v>3723918</v>
      </c>
      <c r="I101" s="75">
        <f>+'3. Önk. Kiadások'!I129</f>
        <v>167101844</v>
      </c>
      <c r="J101" s="75">
        <f>+'3. Önk. Kiadások'!J129</f>
        <v>376257702</v>
      </c>
      <c r="K101" s="76"/>
      <c r="L101" s="93"/>
      <c r="M101" s="93"/>
      <c r="N101" s="530"/>
      <c r="O101" s="76"/>
      <c r="P101" s="529">
        <f>+'3. Önk. Kiadások'!P129</f>
        <v>188206866</v>
      </c>
      <c r="Q101" s="75">
        <f>+'3. Önk. Kiadások'!Q129</f>
        <v>309975549</v>
      </c>
      <c r="R101" s="75">
        <f>+'3. Önk. Kiadások'!R129</f>
        <v>-7631064</v>
      </c>
      <c r="S101" s="75">
        <f>+'3. Önk. Kiadások'!S129</f>
        <v>490551351</v>
      </c>
      <c r="T101" s="530"/>
      <c r="U101" s="76"/>
    </row>
    <row r="102" spans="1:21" x14ac:dyDescent="0.2">
      <c r="A102" s="58"/>
      <c r="B102" s="58" t="str">
        <f t="shared" si="54"/>
        <v>Gondozási Központ</v>
      </c>
      <c r="C102" s="529">
        <f>+'4. Dr Gáspár HSZK'!C86</f>
        <v>0</v>
      </c>
      <c r="D102" s="75">
        <f>+'4. Dr Gáspár HSZK'!D86</f>
        <v>0</v>
      </c>
      <c r="E102" s="75">
        <f>+'4. Dr Gáspár HSZK'!E86</f>
        <v>0</v>
      </c>
      <c r="F102" s="489">
        <f>+'4. Dr Gáspár HSZK'!F86</f>
        <v>0</v>
      </c>
      <c r="G102" s="75"/>
      <c r="H102" s="529">
        <f>+'4. Dr Gáspár HSZK'!H86</f>
        <v>0</v>
      </c>
      <c r="I102" s="75">
        <f>+'4. Dr Gáspár HSZK'!I86</f>
        <v>0</v>
      </c>
      <c r="J102" s="75">
        <f>+'4. Dr Gáspár HSZK'!J86</f>
        <v>0</v>
      </c>
      <c r="K102" s="75"/>
      <c r="L102" s="75"/>
      <c r="M102" s="75"/>
      <c r="N102" s="489"/>
      <c r="O102" s="75"/>
      <c r="P102" s="529">
        <f>+'4. Dr Gáspár HSZK'!P86</f>
        <v>0</v>
      </c>
      <c r="Q102" s="75">
        <f>+'4. Dr Gáspár HSZK'!Q86</f>
        <v>0</v>
      </c>
      <c r="R102" s="75">
        <f>+'4. Dr Gáspár HSZK'!R86</f>
        <v>0</v>
      </c>
      <c r="S102" s="75">
        <f>+'4. Dr Gáspár HSZK'!S86</f>
        <v>0</v>
      </c>
      <c r="T102" s="530"/>
      <c r="U102" s="76"/>
    </row>
    <row r="103" spans="1:21" x14ac:dyDescent="0.2">
      <c r="B103" s="58" t="str">
        <f t="shared" si="54"/>
        <v>Csicsergő Napköziotthonos Óvoda</v>
      </c>
      <c r="C103" s="529">
        <f>+'5. Csicsergő'!C87</f>
        <v>0</v>
      </c>
      <c r="D103" s="75">
        <f>+'5. Csicsergő'!D87</f>
        <v>0</v>
      </c>
      <c r="E103" s="75">
        <f>+'5. Csicsergő'!E87</f>
        <v>0</v>
      </c>
      <c r="F103" s="489">
        <f>+'5. Csicsergő'!F87</f>
        <v>0</v>
      </c>
      <c r="G103" s="75"/>
      <c r="H103" s="529">
        <f>+'5. Csicsergő'!H87</f>
        <v>0</v>
      </c>
      <c r="I103" s="75">
        <f>+'5. Csicsergő'!I87</f>
        <v>0</v>
      </c>
      <c r="J103" s="75">
        <f>+'5. Csicsergő'!J87</f>
        <v>0</v>
      </c>
      <c r="K103" s="75"/>
      <c r="L103" s="75"/>
      <c r="M103" s="75"/>
      <c r="N103" s="489"/>
      <c r="O103" s="75"/>
      <c r="P103" s="529">
        <f>+'5. Csicsergő'!P87</f>
        <v>0</v>
      </c>
      <c r="Q103" s="75">
        <f>+'5. Csicsergő'!Q87</f>
        <v>0</v>
      </c>
      <c r="R103" s="75">
        <f>+'5. Csicsergő'!R87</f>
        <v>0</v>
      </c>
      <c r="S103" s="75">
        <f>+'5. Csicsergő'!S87</f>
        <v>0</v>
      </c>
      <c r="T103" s="530"/>
      <c r="U103" s="76"/>
    </row>
    <row r="104" spans="1:21" x14ac:dyDescent="0.2">
      <c r="B104" s="58" t="str">
        <f t="shared" si="54"/>
        <v>Gólyahír Bőlcsőde</v>
      </c>
      <c r="C104" s="529">
        <f>+'6. Gólyahír'!C86</f>
        <v>0</v>
      </c>
      <c r="D104" s="75">
        <f>+'6. Gólyahír'!D86</f>
        <v>0</v>
      </c>
      <c r="E104" s="75">
        <f>+'6. Gólyahír'!E86</f>
        <v>0</v>
      </c>
      <c r="F104" s="489">
        <f>+'6. Gólyahír'!F86</f>
        <v>0</v>
      </c>
      <c r="G104" s="75"/>
      <c r="H104" s="529">
        <f>+'6. Gólyahír'!H86</f>
        <v>0</v>
      </c>
      <c r="I104" s="75">
        <f>+'6. Gólyahír'!I86</f>
        <v>0</v>
      </c>
      <c r="J104" s="75">
        <f>+'6. Gólyahír'!J86</f>
        <v>0</v>
      </c>
      <c r="K104" s="75"/>
      <c r="L104" s="75"/>
      <c r="M104" s="75"/>
      <c r="N104" s="489"/>
      <c r="O104" s="75"/>
      <c r="P104" s="529">
        <f>+'6. Gólyahír'!P86</f>
        <v>0</v>
      </c>
      <c r="Q104" s="75">
        <f>+'6. Gólyahír'!Q86</f>
        <v>0</v>
      </c>
      <c r="R104" s="75">
        <f>+'6. Gólyahír'!R86</f>
        <v>0</v>
      </c>
      <c r="S104" s="75">
        <f>+'6. Gólyahír'!S86</f>
        <v>0</v>
      </c>
      <c r="T104" s="530"/>
      <c r="U104" s="76"/>
    </row>
    <row r="105" spans="1:21" x14ac:dyDescent="0.2">
      <c r="B105" s="58" t="str">
        <f t="shared" si="54"/>
        <v>Polgármesteri Hivatal</v>
      </c>
      <c r="C105" s="529">
        <f>+'7. Polg.Hiv.'!C86</f>
        <v>0</v>
      </c>
      <c r="D105" s="75">
        <f>+'7. Polg.Hiv.'!D86</f>
        <v>0</v>
      </c>
      <c r="E105" s="75">
        <f>+'7. Polg.Hiv.'!E86</f>
        <v>0</v>
      </c>
      <c r="F105" s="489">
        <f>+'7. Polg.Hiv.'!F86</f>
        <v>0</v>
      </c>
      <c r="G105" s="75"/>
      <c r="H105" s="529">
        <f>+'7. Polg.Hiv.'!H86</f>
        <v>0</v>
      </c>
      <c r="I105" s="75">
        <f>+'7. Polg.Hiv.'!I86</f>
        <v>0</v>
      </c>
      <c r="J105" s="75">
        <f>+'7. Polg.Hiv.'!J86</f>
        <v>0</v>
      </c>
      <c r="K105" s="75"/>
      <c r="L105" s="75"/>
      <c r="M105" s="75"/>
      <c r="N105" s="489"/>
      <c r="O105" s="75"/>
      <c r="P105" s="529">
        <f>+'7. Polg.Hiv.'!P86</f>
        <v>0</v>
      </c>
      <c r="Q105" s="75">
        <f>+'7. Polg.Hiv.'!Q86</f>
        <v>0</v>
      </c>
      <c r="R105" s="75">
        <f>+'7. Polg.Hiv.'!R86</f>
        <v>0</v>
      </c>
      <c r="S105" s="75">
        <f>+'7. Polg.Hiv.'!S86</f>
        <v>0</v>
      </c>
      <c r="T105" s="530"/>
      <c r="U105" s="76"/>
    </row>
    <row r="106" spans="1:21" x14ac:dyDescent="0.2">
      <c r="B106" s="58" t="str">
        <f t="shared" si="54"/>
        <v>Wass Albert Művelődési Központ és Könyvtár</v>
      </c>
      <c r="C106" s="529">
        <f>+'8. WAMKK'!C86</f>
        <v>0</v>
      </c>
      <c r="D106" s="75">
        <f>+'8. WAMKK'!D86</f>
        <v>0</v>
      </c>
      <c r="E106" s="75">
        <f>+'8. WAMKK'!E86</f>
        <v>0</v>
      </c>
      <c r="F106" s="489">
        <f>+'8. WAMKK'!F86</f>
        <v>0</v>
      </c>
      <c r="G106" s="75"/>
      <c r="H106" s="529">
        <f>+'8. WAMKK'!H86</f>
        <v>0</v>
      </c>
      <c r="I106" s="75">
        <f>+'8. WAMKK'!I86</f>
        <v>0</v>
      </c>
      <c r="J106" s="75">
        <f>+'8. WAMKK'!J86</f>
        <v>0</v>
      </c>
      <c r="K106" s="75"/>
      <c r="L106" s="75"/>
      <c r="M106" s="75"/>
      <c r="N106" s="489"/>
      <c r="O106" s="75"/>
      <c r="P106" s="529">
        <f>+'8. WAMKK'!P86</f>
        <v>0</v>
      </c>
      <c r="Q106" s="75">
        <f>+'8. WAMKK'!Q86</f>
        <v>0</v>
      </c>
      <c r="R106" s="75">
        <f>+'8. WAMKK'!R86</f>
        <v>0</v>
      </c>
      <c r="S106" s="75">
        <f>+'8. WAMKK'!S86</f>
        <v>0</v>
      </c>
      <c r="T106" s="530"/>
      <c r="U106" s="76"/>
    </row>
    <row r="107" spans="1:21" x14ac:dyDescent="0.2">
      <c r="B107" s="58" t="str">
        <f t="shared" si="54"/>
        <v>Központi Konyha</v>
      </c>
      <c r="C107" s="529">
        <f>+'9. Közp. Konyha'!C86</f>
        <v>0</v>
      </c>
      <c r="D107" s="75">
        <f>+'9. Közp. Konyha'!D86</f>
        <v>0</v>
      </c>
      <c r="E107" s="75">
        <f>+'9. Közp. Konyha'!E86</f>
        <v>0</v>
      </c>
      <c r="F107" s="489">
        <f>+'9. Közp. Konyha'!F86</f>
        <v>0</v>
      </c>
      <c r="G107" s="75"/>
      <c r="H107" s="529">
        <f>+'9. Közp. Konyha'!H86</f>
        <v>0</v>
      </c>
      <c r="I107" s="75">
        <f>+'9. Közp. Konyha'!I86</f>
        <v>0</v>
      </c>
      <c r="J107" s="75">
        <f>+'9. Közp. Konyha'!J86</f>
        <v>0</v>
      </c>
      <c r="K107" s="75"/>
      <c r="L107" s="75"/>
      <c r="M107" s="75"/>
      <c r="N107" s="489"/>
      <c r="O107" s="75"/>
      <c r="P107" s="529">
        <f>+'9. Közp. Konyha'!P86</f>
        <v>0</v>
      </c>
      <c r="Q107" s="75">
        <f>+'9. Közp. Konyha'!Q86</f>
        <v>0</v>
      </c>
      <c r="R107" s="75">
        <f>+'9. Közp. Konyha'!R86</f>
        <v>0</v>
      </c>
      <c r="S107" s="75">
        <f>+'9. Közp. Konyha'!S86</f>
        <v>0</v>
      </c>
      <c r="T107" s="530"/>
      <c r="U107" s="76"/>
    </row>
    <row r="108" spans="1:21" ht="8.1" customHeight="1" x14ac:dyDescent="0.2">
      <c r="B108" s="413" t="s">
        <v>455</v>
      </c>
      <c r="C108" s="531"/>
      <c r="D108" s="412"/>
      <c r="E108" s="412"/>
      <c r="F108" s="542"/>
      <c r="G108" s="412"/>
      <c r="H108" s="531"/>
      <c r="I108" s="412"/>
      <c r="J108" s="412"/>
      <c r="K108" s="412"/>
      <c r="L108" s="412"/>
      <c r="M108" s="412"/>
      <c r="N108" s="542"/>
      <c r="O108" s="412"/>
      <c r="P108" s="531"/>
      <c r="Q108" s="412"/>
      <c r="R108" s="412"/>
      <c r="S108" s="412"/>
      <c r="T108" s="530"/>
      <c r="U108" s="76"/>
    </row>
    <row r="109" spans="1:21" x14ac:dyDescent="0.2">
      <c r="A109" s="414" t="str">
        <f>+A100</f>
        <v>K7</v>
      </c>
      <c r="B109" s="394" t="s">
        <v>448</v>
      </c>
      <c r="C109" s="532">
        <f>SUM(C101:C108)</f>
        <v>108480000</v>
      </c>
      <c r="D109" s="395">
        <f t="shared" ref="D109:F109" si="55">SUM(D101:D108)</f>
        <v>296686866</v>
      </c>
      <c r="E109" s="395">
        <f t="shared" si="55"/>
        <v>606662415</v>
      </c>
      <c r="F109" s="543">
        <f t="shared" si="55"/>
        <v>599031351</v>
      </c>
      <c r="G109" s="395"/>
      <c r="H109" s="532">
        <f>SUM(H101:H108)</f>
        <v>3723918</v>
      </c>
      <c r="I109" s="395">
        <f t="shared" ref="I109:J109" si="56">SUM(I101:I108)</f>
        <v>167101844</v>
      </c>
      <c r="J109" s="395">
        <f t="shared" si="56"/>
        <v>376257702</v>
      </c>
      <c r="K109" s="395"/>
      <c r="L109" s="395"/>
      <c r="M109" s="395"/>
      <c r="N109" s="543"/>
      <c r="O109" s="395"/>
      <c r="P109" s="532">
        <f>SUM(P101:P108)</f>
        <v>188206866</v>
      </c>
      <c r="Q109" s="395">
        <f t="shared" ref="Q109:S109" si="57">SUM(Q101:Q108)</f>
        <v>309975549</v>
      </c>
      <c r="R109" s="395">
        <f t="shared" si="57"/>
        <v>-7631064</v>
      </c>
      <c r="S109" s="395">
        <f t="shared" si="57"/>
        <v>490551351</v>
      </c>
      <c r="T109" s="530"/>
      <c r="U109" s="76"/>
    </row>
    <row r="110" spans="1:21" x14ac:dyDescent="0.2">
      <c r="C110" s="533"/>
      <c r="F110" s="487"/>
      <c r="H110" s="533"/>
      <c r="N110" s="530"/>
      <c r="P110" s="533"/>
      <c r="T110" s="530"/>
    </row>
    <row r="111" spans="1:21" x14ac:dyDescent="0.2">
      <c r="C111" s="533"/>
      <c r="F111" s="487"/>
      <c r="H111" s="533"/>
      <c r="N111" s="530"/>
      <c r="P111" s="533"/>
      <c r="T111" s="530"/>
    </row>
    <row r="112" spans="1:21" x14ac:dyDescent="0.2">
      <c r="A112" s="346" t="s">
        <v>183</v>
      </c>
      <c r="B112" s="346" t="str">
        <f>+'3. Önk. Kiadások'!B135</f>
        <v>Egyéb felhalmozási célú kiadások</v>
      </c>
      <c r="C112" s="529"/>
      <c r="D112" s="76"/>
      <c r="E112" s="76"/>
      <c r="F112" s="555"/>
      <c r="G112" s="76"/>
      <c r="H112" s="529"/>
      <c r="K112" s="76"/>
      <c r="L112" s="93"/>
      <c r="M112" s="93"/>
      <c r="N112" s="530"/>
      <c r="O112" s="76"/>
      <c r="P112" s="529"/>
      <c r="Q112" s="75"/>
      <c r="R112" s="75"/>
      <c r="S112" s="75"/>
      <c r="T112" s="530"/>
      <c r="U112" s="76"/>
    </row>
    <row r="113" spans="1:21" x14ac:dyDescent="0.2">
      <c r="B113" s="58" t="str">
        <f t="shared" ref="B113:B119" si="58">+B101</f>
        <v>Sülysáp Város Önkormányzat</v>
      </c>
      <c r="C113" s="529">
        <f>+'3. Önk. Kiadások'!C135</f>
        <v>0</v>
      </c>
      <c r="D113" s="75">
        <f>+'3. Önk. Kiadások'!D135</f>
        <v>0</v>
      </c>
      <c r="E113" s="75">
        <f>+'3. Önk. Kiadások'!E135</f>
        <v>15000000</v>
      </c>
      <c r="F113" s="489">
        <f>+'3. Önk. Kiadások'!F135</f>
        <v>15000000</v>
      </c>
      <c r="G113" s="76"/>
      <c r="H113" s="529">
        <f>+'3. Önk. Kiadások'!H135</f>
        <v>0</v>
      </c>
      <c r="I113" s="75">
        <f>+'3. Önk. Kiadások'!I135</f>
        <v>15000000</v>
      </c>
      <c r="J113" s="75">
        <f>+'3. Önk. Kiadások'!J135</f>
        <v>15000000</v>
      </c>
      <c r="K113" s="76"/>
      <c r="L113" s="93"/>
      <c r="M113" s="93"/>
      <c r="N113" s="530"/>
      <c r="O113" s="76"/>
      <c r="P113" s="529">
        <f>+'3. Önk. Kiadások'!P135</f>
        <v>0</v>
      </c>
      <c r="Q113" s="75">
        <f>+'3. Önk. Kiadások'!Q135</f>
        <v>15000000</v>
      </c>
      <c r="R113" s="75">
        <f>+'3. Önk. Kiadások'!R135</f>
        <v>0</v>
      </c>
      <c r="S113" s="75">
        <f>+'3. Önk. Kiadások'!S135</f>
        <v>15000000</v>
      </c>
      <c r="T113" s="530"/>
      <c r="U113" s="76"/>
    </row>
    <row r="114" spans="1:21" x14ac:dyDescent="0.2">
      <c r="A114" s="58"/>
      <c r="B114" s="58" t="str">
        <f t="shared" si="58"/>
        <v>Gondozási Központ</v>
      </c>
      <c r="C114" s="529"/>
      <c r="D114" s="75"/>
      <c r="E114" s="75"/>
      <c r="F114" s="489"/>
      <c r="G114" s="75"/>
      <c r="H114" s="529"/>
      <c r="I114" s="75"/>
      <c r="J114" s="75"/>
      <c r="K114" s="75"/>
      <c r="L114" s="75"/>
      <c r="M114" s="75"/>
      <c r="N114" s="489"/>
      <c r="O114" s="75"/>
      <c r="P114" s="529"/>
      <c r="Q114" s="75"/>
      <c r="R114" s="75"/>
      <c r="S114" s="75"/>
      <c r="T114" s="530"/>
      <c r="U114" s="76"/>
    </row>
    <row r="115" spans="1:21" x14ac:dyDescent="0.2">
      <c r="B115" s="58" t="str">
        <f t="shared" si="58"/>
        <v>Csicsergő Napköziotthonos Óvoda</v>
      </c>
      <c r="C115" s="529"/>
      <c r="D115" s="75"/>
      <c r="E115" s="75"/>
      <c r="F115" s="489"/>
      <c r="G115" s="75"/>
      <c r="H115" s="529"/>
      <c r="I115" s="75"/>
      <c r="J115" s="75"/>
      <c r="K115" s="75"/>
      <c r="L115" s="75"/>
      <c r="M115" s="75"/>
      <c r="N115" s="489"/>
      <c r="O115" s="75"/>
      <c r="P115" s="529"/>
      <c r="Q115" s="75"/>
      <c r="R115" s="75"/>
      <c r="S115" s="75"/>
      <c r="T115" s="530"/>
      <c r="U115" s="76"/>
    </row>
    <row r="116" spans="1:21" x14ac:dyDescent="0.2">
      <c r="B116" s="58" t="str">
        <f t="shared" si="58"/>
        <v>Gólyahír Bőlcsőde</v>
      </c>
      <c r="C116" s="529"/>
      <c r="D116" s="75"/>
      <c r="E116" s="75"/>
      <c r="F116" s="489"/>
      <c r="G116" s="75"/>
      <c r="H116" s="529"/>
      <c r="I116" s="75"/>
      <c r="J116" s="75"/>
      <c r="K116" s="75"/>
      <c r="L116" s="75"/>
      <c r="M116" s="75"/>
      <c r="N116" s="489"/>
      <c r="O116" s="75"/>
      <c r="P116" s="529"/>
      <c r="Q116" s="75"/>
      <c r="R116" s="75"/>
      <c r="S116" s="75"/>
      <c r="T116" s="530"/>
      <c r="U116" s="76"/>
    </row>
    <row r="117" spans="1:21" x14ac:dyDescent="0.2">
      <c r="B117" s="58" t="str">
        <f t="shared" si="58"/>
        <v>Polgármesteri Hivatal</v>
      </c>
      <c r="C117" s="529"/>
      <c r="D117" s="75"/>
      <c r="E117" s="75"/>
      <c r="F117" s="489"/>
      <c r="G117" s="75"/>
      <c r="H117" s="529"/>
      <c r="I117" s="75"/>
      <c r="J117" s="75"/>
      <c r="K117" s="75"/>
      <c r="L117" s="75"/>
      <c r="M117" s="75"/>
      <c r="N117" s="489"/>
      <c r="O117" s="75"/>
      <c r="P117" s="529"/>
      <c r="Q117" s="75"/>
      <c r="R117" s="75"/>
      <c r="S117" s="75"/>
      <c r="T117" s="530"/>
      <c r="U117" s="76"/>
    </row>
    <row r="118" spans="1:21" x14ac:dyDescent="0.2">
      <c r="B118" s="58" t="str">
        <f t="shared" si="58"/>
        <v>Wass Albert Művelődési Központ és Könyvtár</v>
      </c>
      <c r="C118" s="529"/>
      <c r="D118" s="75"/>
      <c r="E118" s="75"/>
      <c r="F118" s="489"/>
      <c r="G118" s="75"/>
      <c r="H118" s="529"/>
      <c r="I118" s="75"/>
      <c r="J118" s="75"/>
      <c r="K118" s="75"/>
      <c r="L118" s="75"/>
      <c r="M118" s="75"/>
      <c r="N118" s="489"/>
      <c r="O118" s="75"/>
      <c r="P118" s="529"/>
      <c r="Q118" s="75"/>
      <c r="R118" s="75"/>
      <c r="S118" s="75"/>
      <c r="T118" s="530"/>
      <c r="U118" s="76"/>
    </row>
    <row r="119" spans="1:21" x14ac:dyDescent="0.2">
      <c r="B119" s="58" t="str">
        <f t="shared" si="58"/>
        <v>Központi Konyha</v>
      </c>
      <c r="C119" s="529"/>
      <c r="D119" s="75"/>
      <c r="E119" s="75"/>
      <c r="F119" s="489"/>
      <c r="G119" s="75"/>
      <c r="H119" s="529"/>
      <c r="I119" s="75"/>
      <c r="J119" s="75"/>
      <c r="K119" s="75"/>
      <c r="L119" s="75"/>
      <c r="M119" s="75"/>
      <c r="N119" s="489"/>
      <c r="O119" s="75"/>
      <c r="P119" s="529"/>
      <c r="Q119" s="75"/>
      <c r="R119" s="75"/>
      <c r="S119" s="75"/>
      <c r="T119" s="530"/>
      <c r="U119" s="76"/>
    </row>
    <row r="120" spans="1:21" ht="8.1" customHeight="1" x14ac:dyDescent="0.2">
      <c r="B120" s="413" t="s">
        <v>455</v>
      </c>
      <c r="C120" s="531"/>
      <c r="D120" s="412"/>
      <c r="E120" s="412"/>
      <c r="F120" s="542"/>
      <c r="G120" s="412"/>
      <c r="H120" s="531"/>
      <c r="I120" s="412"/>
      <c r="J120" s="412"/>
      <c r="K120" s="412"/>
      <c r="L120" s="412"/>
      <c r="M120" s="412"/>
      <c r="N120" s="542"/>
      <c r="O120" s="412"/>
      <c r="P120" s="531"/>
      <c r="Q120" s="412"/>
      <c r="R120" s="412"/>
      <c r="S120" s="412"/>
      <c r="T120" s="530"/>
      <c r="U120" s="76"/>
    </row>
    <row r="121" spans="1:21" x14ac:dyDescent="0.2">
      <c r="A121" s="414" t="str">
        <f>+A112</f>
        <v>K8</v>
      </c>
      <c r="B121" s="394" t="s">
        <v>448</v>
      </c>
      <c r="C121" s="532">
        <f>SUM(C113:C120)</f>
        <v>0</v>
      </c>
      <c r="D121" s="395">
        <f t="shared" ref="D121:F121" si="59">SUM(D113:D120)</f>
        <v>0</v>
      </c>
      <c r="E121" s="395">
        <f t="shared" si="59"/>
        <v>15000000</v>
      </c>
      <c r="F121" s="543">
        <f t="shared" si="59"/>
        <v>15000000</v>
      </c>
      <c r="G121" s="395"/>
      <c r="H121" s="532">
        <f>SUM(H113:H120)</f>
        <v>0</v>
      </c>
      <c r="I121" s="395">
        <f t="shared" ref="I121:J121" si="60">SUM(I113:I120)</f>
        <v>15000000</v>
      </c>
      <c r="J121" s="395">
        <f t="shared" si="60"/>
        <v>15000000</v>
      </c>
      <c r="K121" s="395"/>
      <c r="L121" s="395"/>
      <c r="M121" s="395"/>
      <c r="N121" s="543"/>
      <c r="O121" s="395"/>
      <c r="P121" s="532">
        <f>SUM(P113:P120)</f>
        <v>0</v>
      </c>
      <c r="Q121" s="395">
        <f t="shared" ref="Q121:S121" si="61">SUM(Q113:Q120)</f>
        <v>15000000</v>
      </c>
      <c r="R121" s="395">
        <f t="shared" si="61"/>
        <v>0</v>
      </c>
      <c r="S121" s="395">
        <f t="shared" si="61"/>
        <v>15000000</v>
      </c>
      <c r="T121" s="530"/>
      <c r="U121" s="76"/>
    </row>
    <row r="122" spans="1:21" x14ac:dyDescent="0.2">
      <c r="C122" s="533"/>
      <c r="F122" s="487"/>
      <c r="H122" s="533"/>
      <c r="N122" s="530"/>
      <c r="P122" s="533"/>
      <c r="T122" s="530"/>
    </row>
    <row r="123" spans="1:21" x14ac:dyDescent="0.2">
      <c r="C123" s="533"/>
      <c r="F123" s="487"/>
      <c r="H123" s="533"/>
      <c r="N123" s="530"/>
      <c r="P123" s="533"/>
      <c r="T123" s="530"/>
    </row>
    <row r="124" spans="1:21" x14ac:dyDescent="0.2">
      <c r="A124" s="346" t="s">
        <v>201</v>
      </c>
      <c r="B124" s="346" t="str">
        <f>+'3. Önk. Kiadások'!B145</f>
        <v>Finanszírozási kiadások</v>
      </c>
      <c r="C124" s="529"/>
      <c r="D124" s="76"/>
      <c r="E124" s="76"/>
      <c r="F124" s="555"/>
      <c r="G124" s="76"/>
      <c r="H124" s="529"/>
      <c r="K124" s="76"/>
      <c r="L124" s="93"/>
      <c r="M124" s="93"/>
      <c r="N124" s="530"/>
      <c r="O124" s="76"/>
      <c r="P124" s="529"/>
      <c r="Q124" s="75"/>
      <c r="R124" s="75"/>
      <c r="S124" s="75"/>
      <c r="T124" s="530"/>
      <c r="U124" s="76"/>
    </row>
    <row r="125" spans="1:21" x14ac:dyDescent="0.2">
      <c r="B125" s="58" t="str">
        <f t="shared" ref="B125:B131" si="62">+B113</f>
        <v>Sülysáp Város Önkormányzat</v>
      </c>
      <c r="C125" s="529">
        <f>+'3. Önk. Kiadások'!C145</f>
        <v>454166162</v>
      </c>
      <c r="D125" s="75">
        <f>+'3. Önk. Kiadások'!D145</f>
        <v>474740182</v>
      </c>
      <c r="E125" s="75">
        <f>+'3. Önk. Kiadások'!E145</f>
        <v>476400182</v>
      </c>
      <c r="F125" s="489">
        <f>+'3. Önk. Kiadások'!F145</f>
        <v>485194019</v>
      </c>
      <c r="G125" s="76"/>
      <c r="H125" s="529">
        <f>+'3. Önk. Kiadások'!H145</f>
        <v>254833995</v>
      </c>
      <c r="I125" s="75">
        <f>+'3. Önk. Kiadások'!I145</f>
        <v>364039467</v>
      </c>
      <c r="J125" s="75">
        <f>+'3. Önk. Kiadások'!J145</f>
        <v>474591152</v>
      </c>
      <c r="K125" s="76"/>
      <c r="L125" s="93"/>
      <c r="M125" s="93"/>
      <c r="N125" s="530"/>
      <c r="O125" s="76"/>
      <c r="P125" s="529">
        <f>+'3. Önk. Kiadások'!P145</f>
        <v>20574020</v>
      </c>
      <c r="Q125" s="75">
        <f>+'3. Önk. Kiadások'!Q145</f>
        <v>1660000</v>
      </c>
      <c r="R125" s="75">
        <f>+'3. Önk. Kiadások'!R145</f>
        <v>8793837</v>
      </c>
      <c r="S125" s="75">
        <f>+'3. Önk. Kiadások'!S145</f>
        <v>31027857</v>
      </c>
      <c r="T125" s="530"/>
      <c r="U125" s="76"/>
    </row>
    <row r="126" spans="1:21" x14ac:dyDescent="0.2">
      <c r="A126" s="58"/>
      <c r="B126" s="58" t="str">
        <f t="shared" si="62"/>
        <v>Gondozási Központ</v>
      </c>
      <c r="C126" s="529"/>
      <c r="D126" s="75"/>
      <c r="E126" s="75"/>
      <c r="F126" s="489"/>
      <c r="G126" s="75"/>
      <c r="H126" s="529"/>
      <c r="I126" s="75"/>
      <c r="J126" s="75"/>
      <c r="K126" s="75"/>
      <c r="L126" s="75"/>
      <c r="M126" s="75"/>
      <c r="N126" s="489"/>
      <c r="O126" s="75"/>
      <c r="P126" s="529"/>
      <c r="Q126" s="75"/>
      <c r="R126" s="75"/>
      <c r="S126" s="75"/>
      <c r="T126" s="530"/>
      <c r="U126" s="76"/>
    </row>
    <row r="127" spans="1:21" x14ac:dyDescent="0.2">
      <c r="B127" s="58" t="str">
        <f t="shared" si="62"/>
        <v>Csicsergő Napköziotthonos Óvoda</v>
      </c>
      <c r="C127" s="529"/>
      <c r="D127" s="75"/>
      <c r="E127" s="75"/>
      <c r="F127" s="489"/>
      <c r="G127" s="75"/>
      <c r="H127" s="529"/>
      <c r="I127" s="75"/>
      <c r="J127" s="75"/>
      <c r="K127" s="75"/>
      <c r="L127" s="75"/>
      <c r="M127" s="75"/>
      <c r="N127" s="489"/>
      <c r="O127" s="75"/>
      <c r="P127" s="529"/>
      <c r="Q127" s="75"/>
      <c r="R127" s="75"/>
      <c r="S127" s="75"/>
      <c r="T127" s="530"/>
      <c r="U127" s="76"/>
    </row>
    <row r="128" spans="1:21" x14ac:dyDescent="0.2">
      <c r="B128" s="58" t="str">
        <f t="shared" si="62"/>
        <v>Gólyahír Bőlcsőde</v>
      </c>
      <c r="C128" s="529"/>
      <c r="D128" s="75"/>
      <c r="E128" s="75"/>
      <c r="F128" s="489"/>
      <c r="G128" s="75"/>
      <c r="H128" s="529"/>
      <c r="I128" s="75"/>
      <c r="J128" s="75"/>
      <c r="K128" s="75"/>
      <c r="L128" s="75"/>
      <c r="M128" s="75"/>
      <c r="N128" s="489"/>
      <c r="O128" s="75"/>
      <c r="P128" s="529"/>
      <c r="Q128" s="75"/>
      <c r="R128" s="75"/>
      <c r="S128" s="75"/>
      <c r="T128" s="530"/>
      <c r="U128" s="76"/>
    </row>
    <row r="129" spans="1:21" x14ac:dyDescent="0.2">
      <c r="B129" s="58" t="str">
        <f t="shared" si="62"/>
        <v>Polgármesteri Hivatal</v>
      </c>
      <c r="C129" s="529"/>
      <c r="D129" s="75"/>
      <c r="E129" s="75"/>
      <c r="F129" s="489"/>
      <c r="G129" s="75"/>
      <c r="H129" s="529"/>
      <c r="I129" s="75"/>
      <c r="J129" s="75"/>
      <c r="K129" s="75"/>
      <c r="L129" s="75"/>
      <c r="M129" s="75"/>
      <c r="N129" s="489"/>
      <c r="O129" s="75"/>
      <c r="P129" s="529"/>
      <c r="Q129" s="75"/>
      <c r="R129" s="75"/>
      <c r="S129" s="75"/>
      <c r="T129" s="530"/>
      <c r="U129" s="76"/>
    </row>
    <row r="130" spans="1:21" x14ac:dyDescent="0.2">
      <c r="B130" s="58" t="str">
        <f t="shared" si="62"/>
        <v>Wass Albert Művelődési Központ és Könyvtár</v>
      </c>
      <c r="C130" s="529"/>
      <c r="D130" s="75"/>
      <c r="E130" s="75"/>
      <c r="F130" s="489"/>
      <c r="G130" s="75"/>
      <c r="H130" s="529"/>
      <c r="I130" s="75"/>
      <c r="J130" s="75"/>
      <c r="K130" s="75"/>
      <c r="L130" s="75"/>
      <c r="M130" s="75"/>
      <c r="N130" s="489"/>
      <c r="O130" s="75"/>
      <c r="P130" s="529"/>
      <c r="Q130" s="75"/>
      <c r="R130" s="75"/>
      <c r="S130" s="75"/>
      <c r="T130" s="530"/>
      <c r="U130" s="76"/>
    </row>
    <row r="131" spans="1:21" x14ac:dyDescent="0.2">
      <c r="B131" s="58" t="str">
        <f t="shared" si="62"/>
        <v>Központi Konyha</v>
      </c>
      <c r="C131" s="529"/>
      <c r="D131" s="75"/>
      <c r="E131" s="75"/>
      <c r="F131" s="489"/>
      <c r="G131" s="75"/>
      <c r="H131" s="529"/>
      <c r="I131" s="75"/>
      <c r="J131" s="75"/>
      <c r="K131" s="75"/>
      <c r="L131" s="75"/>
      <c r="M131" s="75"/>
      <c r="N131" s="489"/>
      <c r="O131" s="75"/>
      <c r="P131" s="529"/>
      <c r="Q131" s="75"/>
      <c r="R131" s="75"/>
      <c r="S131" s="75"/>
      <c r="T131" s="530"/>
      <c r="U131" s="76"/>
    </row>
    <row r="132" spans="1:21" ht="8.1" customHeight="1" x14ac:dyDescent="0.2">
      <c r="B132" s="413" t="s">
        <v>455</v>
      </c>
      <c r="C132" s="531"/>
      <c r="D132" s="412"/>
      <c r="E132" s="412"/>
      <c r="F132" s="542"/>
      <c r="G132" s="412"/>
      <c r="H132" s="531"/>
      <c r="I132" s="412"/>
      <c r="J132" s="412"/>
      <c r="K132" s="412"/>
      <c r="L132" s="412"/>
      <c r="M132" s="412"/>
      <c r="N132" s="542"/>
      <c r="O132" s="412"/>
      <c r="P132" s="531"/>
      <c r="Q132" s="412"/>
      <c r="R132" s="412"/>
      <c r="S132" s="412"/>
      <c r="T132" s="530"/>
      <c r="U132" s="76"/>
    </row>
    <row r="133" spans="1:21" x14ac:dyDescent="0.2">
      <c r="A133" s="414" t="str">
        <f>+A124</f>
        <v>K9</v>
      </c>
      <c r="B133" s="394" t="s">
        <v>448</v>
      </c>
      <c r="C133" s="532">
        <f>SUM(C125:C132)</f>
        <v>454166162</v>
      </c>
      <c r="D133" s="395">
        <f t="shared" ref="D133:F133" si="63">SUM(D125:D132)</f>
        <v>474740182</v>
      </c>
      <c r="E133" s="395">
        <f t="shared" si="63"/>
        <v>476400182</v>
      </c>
      <c r="F133" s="543">
        <f t="shared" si="63"/>
        <v>485194019</v>
      </c>
      <c r="G133" s="395"/>
      <c r="H133" s="532">
        <f>SUM(H125:H132)</f>
        <v>254833995</v>
      </c>
      <c r="I133" s="395">
        <f t="shared" ref="I133:J133" si="64">SUM(I125:I132)</f>
        <v>364039467</v>
      </c>
      <c r="J133" s="395">
        <f t="shared" si="64"/>
        <v>474591152</v>
      </c>
      <c r="K133" s="395"/>
      <c r="L133" s="395"/>
      <c r="M133" s="395"/>
      <c r="N133" s="543"/>
      <c r="O133" s="395"/>
      <c r="P133" s="532">
        <f>SUM(P125:P132)</f>
        <v>20574020</v>
      </c>
      <c r="Q133" s="395">
        <f t="shared" ref="Q133:S133" si="65">SUM(Q125:Q132)</f>
        <v>1660000</v>
      </c>
      <c r="R133" s="395">
        <f t="shared" si="65"/>
        <v>8793837</v>
      </c>
      <c r="S133" s="395">
        <f t="shared" si="65"/>
        <v>31027857</v>
      </c>
      <c r="T133" s="530"/>
      <c r="U133" s="76"/>
    </row>
    <row r="134" spans="1:21" x14ac:dyDescent="0.2">
      <c r="C134" s="533"/>
      <c r="F134" s="487"/>
      <c r="H134" s="533"/>
      <c r="N134" s="530"/>
      <c r="P134" s="533"/>
      <c r="T134" s="530"/>
    </row>
    <row r="135" spans="1:21" x14ac:dyDescent="0.2">
      <c r="C135" s="533"/>
      <c r="F135" s="487"/>
      <c r="H135" s="533"/>
      <c r="N135" s="530"/>
      <c r="P135" s="533"/>
      <c r="T135" s="530"/>
    </row>
    <row r="136" spans="1:21" x14ac:dyDescent="0.2">
      <c r="A136" s="346" t="s">
        <v>359</v>
      </c>
      <c r="B136" s="346" t="str">
        <f>+'4. Dr Gáspár HSZK'!B100</f>
        <v>Központi, irányító szervi támogatás</v>
      </c>
      <c r="C136" s="556" t="s">
        <v>451</v>
      </c>
      <c r="D136" s="76"/>
      <c r="E136" s="76"/>
      <c r="F136" s="555"/>
      <c r="G136" s="76"/>
      <c r="H136" s="529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">
      <c r="B137" s="58" t="str">
        <f t="shared" ref="B137:B143" si="66">+B125</f>
        <v>Sülysáp Város Önkormányzat</v>
      </c>
      <c r="C137" s="529"/>
      <c r="D137" s="75"/>
      <c r="E137" s="75"/>
      <c r="F137" s="489"/>
      <c r="G137" s="76"/>
      <c r="H137" s="529"/>
      <c r="I137" s="75"/>
      <c r="J137" s="75"/>
      <c r="K137" s="76"/>
      <c r="L137" s="93"/>
      <c r="M137" s="93"/>
      <c r="N137" s="530"/>
      <c r="O137" s="76"/>
      <c r="P137" s="529"/>
      <c r="Q137" s="75"/>
      <c r="R137" s="75"/>
      <c r="S137" s="75"/>
      <c r="T137" s="530"/>
      <c r="U137" s="76"/>
    </row>
    <row r="138" spans="1:21" x14ac:dyDescent="0.2">
      <c r="A138" s="58"/>
      <c r="B138" s="58" t="str">
        <f t="shared" si="66"/>
        <v>Gondozási Központ</v>
      </c>
      <c r="C138" s="529">
        <f>+'4. Dr Gáspár HSZK'!C100</f>
        <v>27728761</v>
      </c>
      <c r="D138" s="75">
        <f>+'4. Dr Gáspár HSZK'!D100</f>
        <v>28137761</v>
      </c>
      <c r="E138" s="75">
        <f>+'4. Dr Gáspár HSZK'!E100</f>
        <v>28137761</v>
      </c>
      <c r="F138" s="489">
        <f>+'4. Dr Gáspár HSZK'!F100</f>
        <v>28137761</v>
      </c>
      <c r="G138" s="75"/>
      <c r="H138" s="529">
        <f>+'4. Dr Gáspár HSZK'!H100</f>
        <v>15590607</v>
      </c>
      <c r="I138" s="75">
        <f>+'4. Dr Gáspár HSZK'!I100</f>
        <v>21838054</v>
      </c>
      <c r="J138" s="75">
        <f>+'4. Dr Gáspár HSZK'!J100</f>
        <v>27674184</v>
      </c>
      <c r="K138" s="75"/>
      <c r="L138" s="75"/>
      <c r="M138" s="75"/>
      <c r="N138" s="489"/>
      <c r="O138" s="75"/>
      <c r="P138" s="529">
        <f>+'4. Dr Gáspár HSZK'!P100</f>
        <v>409000</v>
      </c>
      <c r="Q138" s="75">
        <f>+'4. Dr Gáspár HSZK'!Q100</f>
        <v>0</v>
      </c>
      <c r="R138" s="75">
        <f>+'4. Dr Gáspár HSZK'!R100</f>
        <v>0</v>
      </c>
      <c r="S138" s="75">
        <f>+'4. Dr Gáspár HSZK'!S100</f>
        <v>409000</v>
      </c>
      <c r="T138" s="530"/>
      <c r="U138" s="76"/>
    </row>
    <row r="139" spans="1:21" x14ac:dyDescent="0.2">
      <c r="B139" s="58" t="str">
        <f t="shared" si="66"/>
        <v>Csicsergő Napköziotthonos Óvoda</v>
      </c>
      <c r="C139" s="529">
        <f>+'5. Csicsergő'!C100</f>
        <v>171295092</v>
      </c>
      <c r="D139" s="75">
        <f>+'5. Csicsergő'!D100</f>
        <v>172739092</v>
      </c>
      <c r="E139" s="75">
        <f>+'5. Csicsergő'!E100</f>
        <v>174399092</v>
      </c>
      <c r="F139" s="489">
        <f>+'5. Csicsergő'!F100</f>
        <v>182916679</v>
      </c>
      <c r="G139" s="75"/>
      <c r="H139" s="529">
        <f>+'5. Csicsergő'!H100</f>
        <v>91148272</v>
      </c>
      <c r="I139" s="75">
        <f>+'5. Csicsergő'!I100</f>
        <v>137633934</v>
      </c>
      <c r="J139" s="75">
        <f>+'5. Csicsergő'!J100</f>
        <v>182916679</v>
      </c>
      <c r="K139" s="75"/>
      <c r="L139" s="75"/>
      <c r="M139" s="75"/>
      <c r="N139" s="489"/>
      <c r="O139" s="75"/>
      <c r="P139" s="529">
        <f>+'5. Csicsergő'!P100</f>
        <v>1444000</v>
      </c>
      <c r="Q139" s="75">
        <f>+'5. Csicsergő'!Q100</f>
        <v>1660000</v>
      </c>
      <c r="R139" s="75">
        <f>+'5. Csicsergő'!R100</f>
        <v>8517587</v>
      </c>
      <c r="S139" s="75">
        <f>+'5. Csicsergő'!S100</f>
        <v>11621587</v>
      </c>
      <c r="T139" s="530"/>
      <c r="U139" s="76"/>
    </row>
    <row r="140" spans="1:21" x14ac:dyDescent="0.2">
      <c r="B140" s="58" t="str">
        <f t="shared" si="66"/>
        <v>Gólyahír Bőlcsőde</v>
      </c>
      <c r="C140" s="529">
        <f>+'6. Gólyahír'!C100</f>
        <v>48881766</v>
      </c>
      <c r="D140" s="75">
        <f>+'6. Gólyahír'!D100</f>
        <v>48881766</v>
      </c>
      <c r="E140" s="75">
        <f>+'6. Gólyahír'!E100</f>
        <v>48881766</v>
      </c>
      <c r="F140" s="489">
        <f>+'6. Gólyahír'!F100</f>
        <v>49615766</v>
      </c>
      <c r="G140" s="75"/>
      <c r="H140" s="529">
        <f>+'6. Gólyahír'!H100</f>
        <v>25458650</v>
      </c>
      <c r="I140" s="75">
        <f>+'6. Gólyahír'!I100</f>
        <v>35948949</v>
      </c>
      <c r="J140" s="75">
        <f>+'6. Gólyahír'!J100</f>
        <v>48610971</v>
      </c>
      <c r="K140" s="75"/>
      <c r="L140" s="75"/>
      <c r="M140" s="75"/>
      <c r="N140" s="489"/>
      <c r="O140" s="75"/>
      <c r="P140" s="529">
        <f>+'6. Gólyahír'!P100</f>
        <v>0</v>
      </c>
      <c r="Q140" s="75">
        <f>+'6. Gólyahír'!Q100</f>
        <v>0</v>
      </c>
      <c r="R140" s="75">
        <f>+'6. Gólyahír'!R100</f>
        <v>734000</v>
      </c>
      <c r="S140" s="75">
        <f>+'6. Gólyahír'!S100</f>
        <v>734000</v>
      </c>
      <c r="T140" s="530"/>
      <c r="U140" s="76"/>
    </row>
    <row r="141" spans="1:21" x14ac:dyDescent="0.2">
      <c r="B141" s="58" t="str">
        <f t="shared" si="66"/>
        <v>Polgármesteri Hivatal</v>
      </c>
      <c r="C141" s="529">
        <f>+'7. Polg.Hiv.'!C100</f>
        <v>111124591</v>
      </c>
      <c r="D141" s="75">
        <f>+'7. Polg.Hiv.'!D100</f>
        <v>111124591</v>
      </c>
      <c r="E141" s="75">
        <f>+'7. Polg.Hiv.'!E100</f>
        <v>111124591</v>
      </c>
      <c r="F141" s="489">
        <f>+'7. Polg.Hiv.'!F100</f>
        <v>111124591</v>
      </c>
      <c r="G141" s="75"/>
      <c r="H141" s="529">
        <f>+'7. Polg.Hiv.'!H100</f>
        <v>55828164</v>
      </c>
      <c r="I141" s="75">
        <f>+'7. Polg.Hiv.'!I100</f>
        <v>81343960</v>
      </c>
      <c r="J141" s="75">
        <f>+'7. Polg.Hiv.'!J100</f>
        <v>104994909</v>
      </c>
      <c r="K141" s="75"/>
      <c r="L141" s="75"/>
      <c r="M141" s="75"/>
      <c r="N141" s="489"/>
      <c r="O141" s="75"/>
      <c r="P141" s="529">
        <f>+'7. Polg.Hiv.'!P100</f>
        <v>0</v>
      </c>
      <c r="Q141" s="75">
        <f>+'7. Polg.Hiv.'!Q100</f>
        <v>0</v>
      </c>
      <c r="R141" s="75">
        <f>+'7. Polg.Hiv.'!R100</f>
        <v>0</v>
      </c>
      <c r="S141" s="75">
        <f>+'7. Polg.Hiv.'!S100</f>
        <v>0</v>
      </c>
      <c r="T141" s="530"/>
      <c r="U141" s="76"/>
    </row>
    <row r="142" spans="1:21" x14ac:dyDescent="0.2">
      <c r="B142" s="58" t="str">
        <f t="shared" si="66"/>
        <v>Wass Albert Művelődési Központ és Könyvtár</v>
      </c>
      <c r="C142" s="529">
        <f>+'8. WAMKK'!C100</f>
        <v>29366179</v>
      </c>
      <c r="D142" s="75">
        <f>+'8. WAMKK'!D100</f>
        <v>30966179</v>
      </c>
      <c r="E142" s="75">
        <f>+'8. WAMKK'!E100</f>
        <v>30966179</v>
      </c>
      <c r="F142" s="489">
        <f>+'8. WAMKK'!F100</f>
        <v>30508429</v>
      </c>
      <c r="G142" s="75"/>
      <c r="H142" s="529">
        <f>+'8. WAMKK'!H100</f>
        <v>16263376</v>
      </c>
      <c r="I142" s="75">
        <f>+'8. WAMKK'!I100</f>
        <v>26227032</v>
      </c>
      <c r="J142" s="75">
        <f>+'8. WAMKK'!J100</f>
        <v>30508429</v>
      </c>
      <c r="K142" s="75"/>
      <c r="L142" s="75"/>
      <c r="M142" s="75"/>
      <c r="N142" s="489"/>
      <c r="O142" s="75"/>
      <c r="P142" s="529">
        <f>+'8. WAMKK'!P100</f>
        <v>1600000</v>
      </c>
      <c r="Q142" s="75">
        <f>+'8. WAMKK'!Q100</f>
        <v>0</v>
      </c>
      <c r="R142" s="75">
        <f>+'8. WAMKK'!R100</f>
        <v>-457750</v>
      </c>
      <c r="S142" s="75">
        <f>+'8. WAMKK'!S100</f>
        <v>1142250</v>
      </c>
      <c r="T142" s="530"/>
      <c r="U142" s="76"/>
    </row>
    <row r="143" spans="1:21" x14ac:dyDescent="0.2">
      <c r="B143" s="58" t="str">
        <f t="shared" si="66"/>
        <v>Központi Konyha</v>
      </c>
      <c r="C143" s="529">
        <f>+'9. Közp. Konyha'!C100</f>
        <v>65769773</v>
      </c>
      <c r="D143" s="75">
        <f>+'9. Közp. Konyha'!D100</f>
        <v>65769773</v>
      </c>
      <c r="E143" s="75">
        <f>+'9. Közp. Konyha'!E100</f>
        <v>65769773</v>
      </c>
      <c r="F143" s="489">
        <f>+'9. Közp. Konyha'!F100</f>
        <v>65769773</v>
      </c>
      <c r="G143" s="75"/>
      <c r="H143" s="529">
        <f>+'9. Közp. Konyha'!H100</f>
        <v>33423906</v>
      </c>
      <c r="I143" s="75">
        <f>+'9. Közp. Konyha'!I100</f>
        <v>43926518</v>
      </c>
      <c r="J143" s="75">
        <f>+'9. Közp. Konyha'!J100</f>
        <v>62764960</v>
      </c>
      <c r="K143" s="75"/>
      <c r="L143" s="75"/>
      <c r="M143" s="75"/>
      <c r="N143" s="489"/>
      <c r="O143" s="75"/>
      <c r="P143" s="529">
        <f>+'9. Közp. Konyha'!P100</f>
        <v>0</v>
      </c>
      <c r="Q143" s="75">
        <f>+'9. Közp. Konyha'!Q100</f>
        <v>0</v>
      </c>
      <c r="R143" s="75">
        <f>+'9. Közp. Konyha'!R100</f>
        <v>0</v>
      </c>
      <c r="S143" s="75">
        <f>+'9. Közp. Konyha'!S100</f>
        <v>0</v>
      </c>
      <c r="T143" s="530"/>
      <c r="U143" s="76"/>
    </row>
    <row r="144" spans="1:21" ht="8.1" customHeight="1" x14ac:dyDescent="0.2">
      <c r="B144" s="413" t="s">
        <v>455</v>
      </c>
      <c r="C144" s="531"/>
      <c r="D144" s="412"/>
      <c r="E144" s="412"/>
      <c r="F144" s="542"/>
      <c r="G144" s="412"/>
      <c r="H144" s="531"/>
      <c r="I144" s="412"/>
      <c r="J144" s="412"/>
      <c r="K144" s="412"/>
      <c r="L144" s="412"/>
      <c r="M144" s="412"/>
      <c r="N144" s="542"/>
      <c r="O144" s="412"/>
      <c r="P144" s="531"/>
      <c r="Q144" s="412"/>
      <c r="R144" s="412"/>
      <c r="S144" s="412"/>
      <c r="T144" s="530"/>
      <c r="U144" s="76"/>
    </row>
    <row r="145" spans="1:21" x14ac:dyDescent="0.2">
      <c r="A145" s="414" t="str">
        <f>+A136</f>
        <v>B816</v>
      </c>
      <c r="B145" s="394" t="s">
        <v>448</v>
      </c>
      <c r="C145" s="532">
        <f>SUM(C137:C144)</f>
        <v>454166162</v>
      </c>
      <c r="D145" s="395">
        <f t="shared" ref="D145:F145" si="67">SUM(D137:D144)</f>
        <v>457619162</v>
      </c>
      <c r="E145" s="395">
        <f t="shared" si="67"/>
        <v>459279162</v>
      </c>
      <c r="F145" s="543">
        <f t="shared" si="67"/>
        <v>468072999</v>
      </c>
      <c r="G145" s="395"/>
      <c r="H145" s="532">
        <f>SUM(H137:H144)</f>
        <v>237712975</v>
      </c>
      <c r="I145" s="395">
        <f t="shared" ref="I145:J145" si="68">SUM(I137:I144)</f>
        <v>346918447</v>
      </c>
      <c r="J145" s="395">
        <f t="shared" si="68"/>
        <v>457470132</v>
      </c>
      <c r="K145" s="395"/>
      <c r="L145" s="395"/>
      <c r="M145" s="395"/>
      <c r="N145" s="543"/>
      <c r="O145" s="395"/>
      <c r="P145" s="532">
        <f>SUM(P137:P144)</f>
        <v>3453000</v>
      </c>
      <c r="Q145" s="395">
        <f t="shared" ref="Q145:S145" si="69">SUM(Q137:Q144)</f>
        <v>1660000</v>
      </c>
      <c r="R145" s="395">
        <f t="shared" si="69"/>
        <v>8793837</v>
      </c>
      <c r="S145" s="395">
        <f t="shared" si="69"/>
        <v>13906837</v>
      </c>
      <c r="T145" s="530"/>
      <c r="U145" s="76"/>
    </row>
    <row r="146" spans="1:21" x14ac:dyDescent="0.2">
      <c r="C146" s="534"/>
      <c r="D146" s="544"/>
      <c r="E146" s="544"/>
      <c r="F146" s="557"/>
      <c r="H146" s="534"/>
      <c r="I146" s="544"/>
      <c r="J146" s="544"/>
      <c r="K146" s="544"/>
      <c r="L146" s="535"/>
      <c r="M146" s="535"/>
      <c r="N146" s="536"/>
      <c r="P146" s="534"/>
      <c r="Q146" s="535"/>
      <c r="R146" s="535"/>
      <c r="S146" s="535"/>
      <c r="T146" s="536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9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zoomScaleNormal="75" zoomScaleSheetLayoutView="100" workbookViewId="0">
      <selection activeCell="E93" sqref="E93:F93"/>
    </sheetView>
  </sheetViews>
  <sheetFormatPr defaultRowHeight="12.75" x14ac:dyDescent="0.2"/>
  <cols>
    <col min="1" max="1" width="8.5703125" style="25" customWidth="1"/>
    <col min="2" max="2" width="55.85546875" style="13" customWidth="1"/>
    <col min="3" max="6" width="15.42578125" style="13" customWidth="1"/>
    <col min="7" max="7" width="0.85546875" style="13" customWidth="1"/>
    <col min="8" max="10" width="15.42578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2.5703125" customWidth="1"/>
    <col min="22" max="22" width="3.42578125" customWidth="1"/>
    <col min="23" max="23" width="12.5703125" bestFit="1" customWidth="1"/>
  </cols>
  <sheetData>
    <row r="1" spans="1:26" ht="26.25" x14ac:dyDescent="0.4">
      <c r="A1" s="325" t="s">
        <v>429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113342899</v>
      </c>
      <c r="D5" s="273">
        <f t="shared" ref="D5:E5" si="0">+D89</f>
        <v>113342899</v>
      </c>
      <c r="E5" s="273">
        <f t="shared" si="0"/>
        <v>113614175</v>
      </c>
      <c r="F5" s="273">
        <f>+F89</f>
        <v>113924941</v>
      </c>
      <c r="G5" s="273"/>
      <c r="H5" s="273">
        <f>+H89</f>
        <v>53128260</v>
      </c>
      <c r="I5" s="273">
        <f t="shared" ref="I5:J5" si="1">+I89</f>
        <v>79755826</v>
      </c>
      <c r="J5" s="273">
        <f t="shared" si="1"/>
        <v>106938498</v>
      </c>
      <c r="K5" s="95"/>
      <c r="L5" s="32">
        <f t="shared" ref="L5:N6" si="2">IF(H5&gt;0,H5/C5,0)</f>
        <v>0.46873920173861089</v>
      </c>
      <c r="M5" s="32">
        <f t="shared" si="2"/>
        <v>0.70366848478085953</v>
      </c>
      <c r="N5" s="32">
        <f t="shared" si="2"/>
        <v>0.94124256942410578</v>
      </c>
      <c r="O5" s="95"/>
      <c r="P5" s="273">
        <f>+P89</f>
        <v>0</v>
      </c>
      <c r="Q5" s="273">
        <f>+Q89</f>
        <v>271276</v>
      </c>
      <c r="R5" s="273">
        <f>+R89</f>
        <v>310766</v>
      </c>
      <c r="S5" s="273">
        <f>+S89</f>
        <v>582042</v>
      </c>
      <c r="T5" s="139">
        <f>IF(C5=0,0,+S5/C5)</f>
        <v>5.1352312772589307E-3</v>
      </c>
      <c r="U5" s="124"/>
      <c r="V5" s="211">
        <f t="shared" ref="V5:V7" si="3">+S5-E5+C5</f>
        <v>310766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113342899</v>
      </c>
      <c r="D6" s="275">
        <f t="shared" ref="D6:F6" si="4">+D102</f>
        <v>113342899</v>
      </c>
      <c r="E6" s="275">
        <f t="shared" si="4"/>
        <v>113614175</v>
      </c>
      <c r="F6" s="275">
        <f t="shared" si="4"/>
        <v>113924941</v>
      </c>
      <c r="G6" s="275"/>
      <c r="H6" s="275">
        <f>+H102</f>
        <v>58050294</v>
      </c>
      <c r="I6" s="275">
        <f t="shared" ref="I6:J6" si="5">+I102</f>
        <v>84260392</v>
      </c>
      <c r="J6" s="275">
        <f t="shared" si="5"/>
        <v>108818608</v>
      </c>
      <c r="K6" s="69"/>
      <c r="L6" s="32">
        <f t="shared" si="2"/>
        <v>0.51216524821727027</v>
      </c>
      <c r="M6" s="32">
        <f t="shared" si="2"/>
        <v>0.74341130095851882</v>
      </c>
      <c r="N6" s="32">
        <f t="shared" si="2"/>
        <v>0.95779076862548185</v>
      </c>
      <c r="O6" s="69"/>
      <c r="P6" s="275">
        <f>+P102</f>
        <v>0</v>
      </c>
      <c r="Q6" s="275">
        <f t="shared" ref="Q6:S6" si="6">+Q102</f>
        <v>271276</v>
      </c>
      <c r="R6" s="275">
        <f t="shared" si="6"/>
        <v>310766</v>
      </c>
      <c r="S6" s="275">
        <f t="shared" si="6"/>
        <v>582042</v>
      </c>
      <c r="T6" s="32">
        <f>IF(C6=0,0,+S6/C6)</f>
        <v>5.1352312772589307E-3</v>
      </c>
      <c r="U6" s="124"/>
      <c r="V6" s="211">
        <f t="shared" si="3"/>
        <v>310766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4922034</v>
      </c>
      <c r="I7" s="275">
        <f>+I6-I5</f>
        <v>4504566</v>
      </c>
      <c r="J7" s="275">
        <f t="shared" ref="J7" si="8">+J6-J5</f>
        <v>1880110</v>
      </c>
      <c r="K7" s="69"/>
      <c r="L7" s="32"/>
      <c r="M7" s="32"/>
      <c r="N7" s="32"/>
      <c r="O7" s="69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57" t="s">
        <v>408</v>
      </c>
      <c r="D9" s="662"/>
      <c r="E9" s="662"/>
      <c r="F9" s="663"/>
      <c r="G9" s="165"/>
      <c r="H9" s="657" t="s">
        <v>407</v>
      </c>
      <c r="I9" s="662"/>
      <c r="J9" s="662"/>
      <c r="K9" s="662"/>
      <c r="L9" s="662"/>
      <c r="M9" s="662"/>
      <c r="N9" s="663"/>
      <c r="O9" s="165"/>
      <c r="P9" s="657" t="s">
        <v>404</v>
      </c>
      <c r="Q9" s="662"/>
      <c r="R9" s="662"/>
      <c r="S9" s="662"/>
      <c r="T9" s="663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654" t="s">
        <v>421</v>
      </c>
      <c r="I10" s="664"/>
      <c r="J10" s="665"/>
      <c r="K10" s="140"/>
      <c r="L10" s="654" t="s">
        <v>420</v>
      </c>
      <c r="M10" s="664"/>
      <c r="N10" s="665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295"/>
      <c r="Q12" s="295"/>
      <c r="R12" s="295"/>
      <c r="S12" s="295"/>
      <c r="T12" s="70"/>
      <c r="U12" s="70"/>
      <c r="V12" s="278"/>
    </row>
    <row r="13" spans="1:26" x14ac:dyDescent="0.2">
      <c r="A13" s="5" t="s">
        <v>0</v>
      </c>
      <c r="B13" s="5" t="s">
        <v>3</v>
      </c>
      <c r="C13" s="203">
        <f>+C14+C24</f>
        <v>82838000</v>
      </c>
      <c r="D13" s="203">
        <f>+D14+D24</f>
        <v>82838000</v>
      </c>
      <c r="E13" s="203">
        <f>+E14+E24</f>
        <v>81838000</v>
      </c>
      <c r="F13" s="203">
        <f>+F14+F24</f>
        <v>81838000</v>
      </c>
      <c r="G13" s="203"/>
      <c r="H13" s="203">
        <f>+H14+H24</f>
        <v>36864685</v>
      </c>
      <c r="I13" s="203">
        <f t="shared" ref="I13:J13" si="10">+I14+I24</f>
        <v>56172555</v>
      </c>
      <c r="J13" s="203">
        <f t="shared" si="10"/>
        <v>76474091</v>
      </c>
      <c r="K13" s="10"/>
      <c r="L13" s="89">
        <f t="shared" ref="L13" si="11">+H13/C13</f>
        <v>0.4450214273642531</v>
      </c>
      <c r="M13" s="89">
        <f>+I13/D13</f>
        <v>0.67810129409208331</v>
      </c>
      <c r="N13" s="89">
        <f t="shared" ref="N13" si="12">+J13/E13</f>
        <v>0.9344569881961925</v>
      </c>
      <c r="O13" s="10"/>
      <c r="P13" s="322">
        <f t="shared" ref="P13:P76" si="13">+(D13-C13)*P$10</f>
        <v>0</v>
      </c>
      <c r="Q13" s="322">
        <f t="shared" ref="Q13:Q76" si="14">+(E13-D13)*Q$10</f>
        <v>-1000000</v>
      </c>
      <c r="R13" s="322">
        <f t="shared" ref="R13:R76" si="15">+(F13-E13)*R$10</f>
        <v>0</v>
      </c>
      <c r="S13" s="322">
        <f t="shared" ref="S13:S76" si="16">SUM(P13:R13)</f>
        <v>-1000000</v>
      </c>
      <c r="T13" s="305">
        <f t="shared" ref="T13:T76" si="17">IF(C13=0,0,+S13/C13)</f>
        <v>-1.207175450880031E-2</v>
      </c>
      <c r="U13" s="126"/>
      <c r="V13" s="208">
        <f t="shared" ref="V13:V15" si="18">+S13-E13+C13</f>
        <v>0</v>
      </c>
    </row>
    <row r="14" spans="1:26" x14ac:dyDescent="0.2">
      <c r="A14" s="20" t="s">
        <v>1</v>
      </c>
      <c r="B14" s="20"/>
      <c r="C14" s="404">
        <f>SUM(C15:C23)</f>
        <v>82838000</v>
      </c>
      <c r="D14" s="404">
        <f>SUM(D15:D23)</f>
        <v>82617600</v>
      </c>
      <c r="E14" s="404">
        <f>SUM(E15:E23)</f>
        <v>81317992</v>
      </c>
      <c r="F14" s="404">
        <f>SUM(F15:F23)</f>
        <v>81277141</v>
      </c>
      <c r="G14" s="70"/>
      <c r="H14" s="404">
        <f>SUM(H15:H23)</f>
        <v>36664937</v>
      </c>
      <c r="I14" s="404">
        <f t="shared" ref="I14:J14" si="19">SUM(I15:I23)</f>
        <v>55808724</v>
      </c>
      <c r="J14" s="404">
        <f t="shared" si="19"/>
        <v>75927668</v>
      </c>
      <c r="K14" s="16"/>
      <c r="L14" s="142"/>
      <c r="M14" s="142"/>
      <c r="N14" s="142"/>
      <c r="O14" s="16"/>
      <c r="P14" s="295">
        <f>+(D14-C14)*P$10</f>
        <v>-220400</v>
      </c>
      <c r="Q14" s="295">
        <f>+(E14-D14)*Q$10</f>
        <v>-1299608</v>
      </c>
      <c r="R14" s="295">
        <f>+(F14-E14)*R$10</f>
        <v>-40851</v>
      </c>
      <c r="S14" s="295">
        <f t="shared" si="16"/>
        <v>-1560859</v>
      </c>
      <c r="T14" s="304">
        <f>IF(C14=0,0,+S14/C14)</f>
        <v>-1.8842306670851541E-2</v>
      </c>
      <c r="U14" s="126"/>
      <c r="V14" s="208">
        <f>+S14-E14+C14</f>
        <v>-40851</v>
      </c>
    </row>
    <row r="15" spans="1:26" x14ac:dyDescent="0.2">
      <c r="A15" s="20" t="s">
        <v>2</v>
      </c>
      <c r="B15" s="513" t="s">
        <v>362</v>
      </c>
      <c r="C15" s="590">
        <v>74183000</v>
      </c>
      <c r="D15" s="70">
        <v>73962600</v>
      </c>
      <c r="E15" s="70">
        <v>70444592</v>
      </c>
      <c r="F15" s="70">
        <v>69529327</v>
      </c>
      <c r="G15" s="70"/>
      <c r="H15" s="70">
        <v>31506504</v>
      </c>
      <c r="I15" s="70">
        <v>47763988</v>
      </c>
      <c r="J15" s="70">
        <v>64296271</v>
      </c>
      <c r="K15" s="16"/>
      <c r="L15" s="143">
        <f t="shared" ref="L15" si="20">+H15/C15</f>
        <v>0.42471326314654301</v>
      </c>
      <c r="M15" s="143">
        <f>+I15/D15</f>
        <v>0.64578568087114296</v>
      </c>
      <c r="N15" s="143">
        <f t="shared" ref="N15" si="21">+J15/E15</f>
        <v>0.91272117808560804</v>
      </c>
      <c r="O15" s="16"/>
      <c r="P15" s="83">
        <f t="shared" si="13"/>
        <v>-220400</v>
      </c>
      <c r="Q15" s="83">
        <f t="shared" si="14"/>
        <v>-3518008</v>
      </c>
      <c r="R15" s="83">
        <f t="shared" si="15"/>
        <v>-915265</v>
      </c>
      <c r="S15" s="83">
        <f t="shared" si="16"/>
        <v>-4653673</v>
      </c>
      <c r="T15" s="304">
        <f t="shared" si="17"/>
        <v>-6.273233759756279E-2</v>
      </c>
      <c r="U15" s="126"/>
      <c r="V15" s="208">
        <f t="shared" si="18"/>
        <v>-915265</v>
      </c>
    </row>
    <row r="16" spans="1:26" x14ac:dyDescent="0.2">
      <c r="A16" s="20" t="s">
        <v>12</v>
      </c>
      <c r="B16" s="20" t="s">
        <v>4</v>
      </c>
      <c r="C16" s="102"/>
      <c r="D16" s="70"/>
      <c r="E16" s="70">
        <v>1058200</v>
      </c>
      <c r="F16" s="70">
        <v>1100260</v>
      </c>
      <c r="G16" s="70"/>
      <c r="H16" s="70"/>
      <c r="I16" s="70">
        <v>853000</v>
      </c>
      <c r="J16" s="70">
        <v>1100260</v>
      </c>
      <c r="K16" s="16"/>
      <c r="L16" s="142"/>
      <c r="M16" s="142"/>
      <c r="N16" s="142"/>
      <c r="O16" s="16"/>
      <c r="P16" s="83">
        <f t="shared" si="13"/>
        <v>0</v>
      </c>
      <c r="Q16" s="83">
        <f t="shared" si="14"/>
        <v>1058200</v>
      </c>
      <c r="R16" s="83">
        <f t="shared" si="15"/>
        <v>42060</v>
      </c>
      <c r="S16" s="83">
        <f t="shared" si="16"/>
        <v>1100260</v>
      </c>
      <c r="T16" s="304">
        <f t="shared" si="17"/>
        <v>0</v>
      </c>
      <c r="U16" s="126"/>
      <c r="V16" s="208">
        <f t="shared" ref="V16:V76" si="22">+S16-E16+C16</f>
        <v>42060</v>
      </c>
    </row>
    <row r="17" spans="1:23" x14ac:dyDescent="0.2">
      <c r="A17" s="513" t="s">
        <v>516</v>
      </c>
      <c r="B17" s="513" t="s">
        <v>517</v>
      </c>
      <c r="C17" s="102">
        <v>0</v>
      </c>
      <c r="D17" s="70">
        <v>0</v>
      </c>
      <c r="E17" s="70">
        <v>196000</v>
      </c>
      <c r="F17" s="70">
        <v>196000</v>
      </c>
      <c r="G17" s="70"/>
      <c r="H17" s="70">
        <v>0</v>
      </c>
      <c r="I17" s="70">
        <v>196000</v>
      </c>
      <c r="J17" s="70">
        <v>196000</v>
      </c>
      <c r="K17" s="16"/>
      <c r="L17" s="143"/>
      <c r="M17" s="143"/>
      <c r="N17" s="143"/>
      <c r="O17" s="16"/>
      <c r="P17" s="83">
        <f t="shared" si="13"/>
        <v>0</v>
      </c>
      <c r="Q17" s="83">
        <f t="shared" si="14"/>
        <v>196000</v>
      </c>
      <c r="R17" s="83">
        <f t="shared" si="15"/>
        <v>0</v>
      </c>
      <c r="S17" s="83">
        <f t="shared" si="16"/>
        <v>196000</v>
      </c>
      <c r="T17" s="304">
        <f t="shared" si="17"/>
        <v>0</v>
      </c>
      <c r="U17" s="126"/>
      <c r="V17" s="208">
        <f t="shared" si="22"/>
        <v>0</v>
      </c>
    </row>
    <row r="18" spans="1:23" x14ac:dyDescent="0.2">
      <c r="A18" s="513" t="s">
        <v>386</v>
      </c>
      <c r="B18" s="20" t="s">
        <v>6</v>
      </c>
      <c r="C18" s="102">
        <v>1060000</v>
      </c>
      <c r="D18" s="70">
        <v>1060000</v>
      </c>
      <c r="E18" s="70">
        <v>1324200</v>
      </c>
      <c r="F18" s="70">
        <v>1709858</v>
      </c>
      <c r="G18" s="70"/>
      <c r="H18" s="70">
        <v>531000</v>
      </c>
      <c r="I18" s="70">
        <v>1324200</v>
      </c>
      <c r="J18" s="70">
        <v>1709858</v>
      </c>
      <c r="K18" s="16"/>
      <c r="L18" s="142"/>
      <c r="M18" s="142"/>
      <c r="N18" s="142"/>
      <c r="O18" s="16"/>
      <c r="P18" s="83">
        <f t="shared" si="13"/>
        <v>0</v>
      </c>
      <c r="Q18" s="83">
        <f t="shared" si="14"/>
        <v>264200</v>
      </c>
      <c r="R18" s="83">
        <f t="shared" si="15"/>
        <v>385658</v>
      </c>
      <c r="S18" s="83">
        <f t="shared" si="16"/>
        <v>649858</v>
      </c>
      <c r="T18" s="304">
        <f t="shared" si="17"/>
        <v>0.61307358490566033</v>
      </c>
      <c r="U18" s="126"/>
      <c r="V18" s="208">
        <f t="shared" si="22"/>
        <v>385658</v>
      </c>
      <c r="W18" s="2"/>
    </row>
    <row r="19" spans="1:23" x14ac:dyDescent="0.2">
      <c r="A19" s="20" t="s">
        <v>14</v>
      </c>
      <c r="B19" s="20" t="s">
        <v>7</v>
      </c>
      <c r="C19" s="102">
        <f>26*200000</f>
        <v>5200000</v>
      </c>
      <c r="D19" s="70">
        <v>5200000</v>
      </c>
      <c r="E19" s="70">
        <v>5200000</v>
      </c>
      <c r="F19" s="70">
        <v>5514938</v>
      </c>
      <c r="G19" s="70"/>
      <c r="H19" s="70">
        <v>2687481</v>
      </c>
      <c r="I19" s="70">
        <v>3270998</v>
      </c>
      <c r="J19" s="70">
        <v>5514938</v>
      </c>
      <c r="K19" s="16"/>
      <c r="L19" s="143">
        <f t="shared" ref="L19" si="23">+H19/C19</f>
        <v>0.51682326923076927</v>
      </c>
      <c r="M19" s="143">
        <f>+I19/D19</f>
        <v>0.62903807692307689</v>
      </c>
      <c r="N19" s="143">
        <f t="shared" ref="N19" si="24">+J19/E19</f>
        <v>1.060565</v>
      </c>
      <c r="O19" s="16"/>
      <c r="P19" s="83">
        <f t="shared" si="13"/>
        <v>0</v>
      </c>
      <c r="Q19" s="83">
        <f t="shared" si="14"/>
        <v>0</v>
      </c>
      <c r="R19" s="83">
        <f t="shared" si="15"/>
        <v>314938</v>
      </c>
      <c r="S19" s="83">
        <f t="shared" si="16"/>
        <v>314938</v>
      </c>
      <c r="T19" s="304">
        <f t="shared" si="17"/>
        <v>6.0565000000000001E-2</v>
      </c>
      <c r="U19" s="126"/>
      <c r="V19" s="208">
        <f t="shared" si="22"/>
        <v>314938</v>
      </c>
    </row>
    <row r="20" spans="1:23" x14ac:dyDescent="0.2">
      <c r="A20" s="20" t="s">
        <v>15</v>
      </c>
      <c r="B20" s="20" t="s">
        <v>8</v>
      </c>
      <c r="C20" s="102">
        <v>0</v>
      </c>
      <c r="D20" s="70">
        <v>0</v>
      </c>
      <c r="E20" s="70">
        <v>0</v>
      </c>
      <c r="F20" s="70">
        <v>0</v>
      </c>
      <c r="G20" s="70"/>
      <c r="H20" s="70">
        <v>0</v>
      </c>
      <c r="I20" s="70">
        <v>0</v>
      </c>
      <c r="J20" s="70"/>
      <c r="K20" s="16"/>
      <c r="L20" s="142"/>
      <c r="M20" s="142"/>
      <c r="N20" s="142"/>
      <c r="O20" s="16"/>
      <c r="P20" s="83">
        <f t="shared" si="13"/>
        <v>0</v>
      </c>
      <c r="Q20" s="83">
        <f t="shared" si="14"/>
        <v>0</v>
      </c>
      <c r="R20" s="83">
        <f t="shared" si="15"/>
        <v>0</v>
      </c>
      <c r="S20" s="83">
        <f t="shared" si="16"/>
        <v>0</v>
      </c>
      <c r="T20" s="304">
        <f t="shared" si="17"/>
        <v>0</v>
      </c>
      <c r="U20" s="126"/>
      <c r="V20" s="208">
        <f t="shared" si="22"/>
        <v>0</v>
      </c>
    </row>
    <row r="21" spans="1:23" x14ac:dyDescent="0.2">
      <c r="A21" s="20" t="s">
        <v>16</v>
      </c>
      <c r="B21" s="20" t="s">
        <v>9</v>
      </c>
      <c r="C21" s="102">
        <v>410000</v>
      </c>
      <c r="D21" s="70">
        <v>410000</v>
      </c>
      <c r="E21" s="70">
        <v>410000</v>
      </c>
      <c r="F21" s="70">
        <v>541758</v>
      </c>
      <c r="G21" s="70"/>
      <c r="H21" s="70">
        <v>263786</v>
      </c>
      <c r="I21" s="70">
        <v>396120</v>
      </c>
      <c r="J21" s="70">
        <v>541758</v>
      </c>
      <c r="K21" s="16"/>
      <c r="L21" s="143">
        <f t="shared" ref="L21:L23" si="25">+H21/C21</f>
        <v>0.643380487804878</v>
      </c>
      <c r="M21" s="143">
        <f t="shared" ref="M21:M23" si="26">+I21/D21</f>
        <v>0.9661463414634146</v>
      </c>
      <c r="N21" s="143">
        <f t="shared" ref="N21:N23" si="27">+J21/E21</f>
        <v>1.3213609756097562</v>
      </c>
      <c r="O21" s="16"/>
      <c r="P21" s="83">
        <f t="shared" si="13"/>
        <v>0</v>
      </c>
      <c r="Q21" s="83">
        <f t="shared" si="14"/>
        <v>0</v>
      </c>
      <c r="R21" s="83">
        <f t="shared" si="15"/>
        <v>131758</v>
      </c>
      <c r="S21" s="83">
        <f t="shared" si="16"/>
        <v>131758</v>
      </c>
      <c r="T21" s="304">
        <f t="shared" si="17"/>
        <v>0.32136097560975607</v>
      </c>
      <c r="U21" s="126"/>
      <c r="V21" s="208">
        <f t="shared" si="22"/>
        <v>131758</v>
      </c>
    </row>
    <row r="22" spans="1:23" x14ac:dyDescent="0.2">
      <c r="A22" s="20" t="s">
        <v>17</v>
      </c>
      <c r="B22" s="20" t="s">
        <v>10</v>
      </c>
      <c r="C22" s="102">
        <v>0</v>
      </c>
      <c r="D22" s="70">
        <v>0</v>
      </c>
      <c r="E22" s="70">
        <v>0</v>
      </c>
      <c r="F22" s="70">
        <v>0</v>
      </c>
      <c r="G22" s="70"/>
      <c r="H22" s="70">
        <v>0</v>
      </c>
      <c r="I22" s="70">
        <v>0</v>
      </c>
      <c r="J22" s="70"/>
      <c r="K22" s="16"/>
      <c r="L22" s="143" t="e">
        <f t="shared" si="25"/>
        <v>#DIV/0!</v>
      </c>
      <c r="M22" s="143" t="e">
        <f t="shared" si="26"/>
        <v>#DIV/0!</v>
      </c>
      <c r="N22" s="143" t="e">
        <f t="shared" si="27"/>
        <v>#DIV/0!</v>
      </c>
      <c r="O22" s="16"/>
      <c r="P22" s="83">
        <f t="shared" si="13"/>
        <v>0</v>
      </c>
      <c r="Q22" s="83">
        <f t="shared" si="14"/>
        <v>0</v>
      </c>
      <c r="R22" s="83">
        <f t="shared" si="15"/>
        <v>0</v>
      </c>
      <c r="S22" s="83">
        <f t="shared" si="16"/>
        <v>0</v>
      </c>
      <c r="T22" s="304">
        <f t="shared" si="17"/>
        <v>0</v>
      </c>
      <c r="U22" s="126"/>
      <c r="V22" s="208">
        <f t="shared" si="22"/>
        <v>0</v>
      </c>
    </row>
    <row r="23" spans="1:23" x14ac:dyDescent="0.2">
      <c r="A23" s="20" t="s">
        <v>18</v>
      </c>
      <c r="B23" s="20" t="s">
        <v>11</v>
      </c>
      <c r="C23" s="102">
        <v>1985000</v>
      </c>
      <c r="D23" s="70">
        <v>1985000</v>
      </c>
      <c r="E23" s="70">
        <v>2685000</v>
      </c>
      <c r="F23" s="70">
        <v>2685000</v>
      </c>
      <c r="G23" s="70"/>
      <c r="H23" s="70">
        <v>1676166</v>
      </c>
      <c r="I23" s="70">
        <v>2004418</v>
      </c>
      <c r="J23" s="70">
        <v>2568583</v>
      </c>
      <c r="K23" s="16"/>
      <c r="L23" s="143">
        <f t="shared" si="25"/>
        <v>0.84441612090680096</v>
      </c>
      <c r="M23" s="143">
        <f t="shared" si="26"/>
        <v>1.0097823677581863</v>
      </c>
      <c r="N23" s="143">
        <f t="shared" si="27"/>
        <v>0.95664171322160152</v>
      </c>
      <c r="O23" s="16"/>
      <c r="P23" s="83">
        <f t="shared" si="13"/>
        <v>0</v>
      </c>
      <c r="Q23" s="83">
        <f t="shared" si="14"/>
        <v>700000</v>
      </c>
      <c r="R23" s="83">
        <f t="shared" si="15"/>
        <v>0</v>
      </c>
      <c r="S23" s="83">
        <f t="shared" si="16"/>
        <v>700000</v>
      </c>
      <c r="T23" s="304">
        <f t="shared" si="17"/>
        <v>0.3526448362720403</v>
      </c>
      <c r="U23" s="126"/>
      <c r="V23" s="208">
        <f t="shared" si="22"/>
        <v>0</v>
      </c>
    </row>
    <row r="24" spans="1:23" x14ac:dyDescent="0.2">
      <c r="A24" s="20" t="s">
        <v>19</v>
      </c>
      <c r="B24" s="20"/>
      <c r="C24" s="404">
        <f>SUM(C25:C27)</f>
        <v>0</v>
      </c>
      <c r="D24" s="404">
        <f>SUM(D25:D27)</f>
        <v>220400</v>
      </c>
      <c r="E24" s="404">
        <f>SUM(E25:E27)</f>
        <v>520008</v>
      </c>
      <c r="F24" s="404">
        <f>SUM(F25:F27)</f>
        <v>560859</v>
      </c>
      <c r="G24" s="70"/>
      <c r="H24" s="404">
        <f>SUM(H25:H27)</f>
        <v>199748</v>
      </c>
      <c r="I24" s="404">
        <f t="shared" ref="I24:J24" si="28">SUM(I25:I27)</f>
        <v>363831</v>
      </c>
      <c r="J24" s="404">
        <f t="shared" si="28"/>
        <v>546423</v>
      </c>
      <c r="K24" s="16"/>
      <c r="L24" s="142"/>
      <c r="M24" s="142"/>
      <c r="N24" s="142"/>
      <c r="O24" s="16"/>
      <c r="P24" s="83">
        <f t="shared" si="13"/>
        <v>220400</v>
      </c>
      <c r="Q24" s="83">
        <f t="shared" si="14"/>
        <v>299608</v>
      </c>
      <c r="R24" s="83">
        <f t="shared" si="15"/>
        <v>40851</v>
      </c>
      <c r="S24" s="83">
        <f t="shared" si="16"/>
        <v>560859</v>
      </c>
      <c r="T24" s="304">
        <f t="shared" si="17"/>
        <v>0</v>
      </c>
      <c r="U24" s="126"/>
      <c r="V24" s="208">
        <f t="shared" ref="V24:V34" si="29">+S24-E24+C24</f>
        <v>40851</v>
      </c>
    </row>
    <row r="25" spans="1:23" ht="25.5" x14ac:dyDescent="0.2">
      <c r="A25" s="20" t="s">
        <v>20</v>
      </c>
      <c r="B25" s="20" t="s">
        <v>107</v>
      </c>
      <c r="C25" s="102">
        <v>0</v>
      </c>
      <c r="D25" s="70">
        <v>0</v>
      </c>
      <c r="E25" s="70">
        <v>0</v>
      </c>
      <c r="F25" s="70">
        <v>0</v>
      </c>
      <c r="G25" s="70"/>
      <c r="H25" s="70">
        <v>0</v>
      </c>
      <c r="I25" s="70">
        <v>0</v>
      </c>
      <c r="J25" s="70">
        <v>0</v>
      </c>
      <c r="K25" s="16"/>
      <c r="L25" s="143" t="e">
        <f t="shared" ref="L25" si="30">+H25/C25</f>
        <v>#DIV/0!</v>
      </c>
      <c r="M25" s="143" t="e">
        <f>+I25/D25</f>
        <v>#DIV/0!</v>
      </c>
      <c r="N25" s="143" t="e">
        <f t="shared" ref="N25:N26" si="31">+J25/E25</f>
        <v>#DIV/0!</v>
      </c>
      <c r="O25" s="16"/>
      <c r="P25" s="83">
        <f t="shared" si="13"/>
        <v>0</v>
      </c>
      <c r="Q25" s="83">
        <f t="shared" si="14"/>
        <v>0</v>
      </c>
      <c r="R25" s="83">
        <f t="shared" si="15"/>
        <v>0</v>
      </c>
      <c r="S25" s="83">
        <f t="shared" si="16"/>
        <v>0</v>
      </c>
      <c r="T25" s="304">
        <f t="shared" si="17"/>
        <v>0</v>
      </c>
      <c r="U25" s="126"/>
      <c r="V25" s="208">
        <f t="shared" si="29"/>
        <v>0</v>
      </c>
    </row>
    <row r="26" spans="1:23" x14ac:dyDescent="0.2">
      <c r="A26" s="20" t="s">
        <v>22</v>
      </c>
      <c r="B26" s="20" t="s">
        <v>23</v>
      </c>
      <c r="C26" s="102"/>
      <c r="D26" s="70">
        <v>190460</v>
      </c>
      <c r="E26" s="70">
        <v>490068</v>
      </c>
      <c r="F26" s="70">
        <v>530919</v>
      </c>
      <c r="G26" s="70"/>
      <c r="H26" s="70">
        <v>190460</v>
      </c>
      <c r="I26" s="70">
        <v>348327</v>
      </c>
      <c r="J26" s="70">
        <v>530919</v>
      </c>
      <c r="K26" s="16"/>
      <c r="L26" s="142"/>
      <c r="M26" s="142">
        <f>+I26/D26</f>
        <v>1.8288722041373517</v>
      </c>
      <c r="N26" s="142">
        <f t="shared" si="31"/>
        <v>1.0833578197311393</v>
      </c>
      <c r="O26" s="16"/>
      <c r="P26" s="83">
        <f t="shared" si="13"/>
        <v>190460</v>
      </c>
      <c r="Q26" s="83">
        <f t="shared" si="14"/>
        <v>299608</v>
      </c>
      <c r="R26" s="83">
        <f t="shared" si="15"/>
        <v>40851</v>
      </c>
      <c r="S26" s="83">
        <f t="shared" si="16"/>
        <v>530919</v>
      </c>
      <c r="T26" s="304">
        <f t="shared" si="17"/>
        <v>0</v>
      </c>
      <c r="U26" s="126"/>
      <c r="V26" s="208">
        <f t="shared" si="29"/>
        <v>40851</v>
      </c>
    </row>
    <row r="27" spans="1:23" x14ac:dyDescent="0.2">
      <c r="A27" s="20" t="s">
        <v>24</v>
      </c>
      <c r="B27" s="20" t="s">
        <v>25</v>
      </c>
      <c r="C27" s="102">
        <v>0</v>
      </c>
      <c r="D27" s="70">
        <v>29940</v>
      </c>
      <c r="E27" s="70">
        <v>29940</v>
      </c>
      <c r="F27" s="70">
        <v>29940</v>
      </c>
      <c r="G27" s="70"/>
      <c r="H27" s="70">
        <v>9288</v>
      </c>
      <c r="I27" s="70">
        <v>15504</v>
      </c>
      <c r="J27" s="70">
        <v>15504</v>
      </c>
      <c r="K27" s="16"/>
      <c r="L27" s="143" t="e">
        <f t="shared" ref="L27" si="32">+H27/C27</f>
        <v>#DIV/0!</v>
      </c>
      <c r="M27" s="143">
        <f>+I27/D27</f>
        <v>0.51783567134268538</v>
      </c>
      <c r="N27" s="143">
        <f t="shared" ref="N27" si="33">+J27/E27</f>
        <v>0.51783567134268538</v>
      </c>
      <c r="O27" s="16"/>
      <c r="P27" s="83">
        <f t="shared" si="13"/>
        <v>29940</v>
      </c>
      <c r="Q27" s="83">
        <f t="shared" si="14"/>
        <v>0</v>
      </c>
      <c r="R27" s="83">
        <f t="shared" si="15"/>
        <v>0</v>
      </c>
      <c r="S27" s="83">
        <f t="shared" si="16"/>
        <v>29940</v>
      </c>
      <c r="T27" s="304">
        <f t="shared" si="17"/>
        <v>0</v>
      </c>
      <c r="U27" s="126"/>
      <c r="V27" s="208">
        <f t="shared" si="29"/>
        <v>0</v>
      </c>
    </row>
    <row r="28" spans="1:23" x14ac:dyDescent="0.2">
      <c r="A28" s="11"/>
      <c r="B28" s="12"/>
      <c r="C28" s="317"/>
      <c r="D28" s="70"/>
      <c r="E28" s="70"/>
      <c r="F28" s="70"/>
      <c r="G28" s="70"/>
      <c r="H28" s="70"/>
      <c r="I28" s="70"/>
      <c r="J28" s="70"/>
      <c r="K28" s="16"/>
      <c r="L28" s="161"/>
      <c r="M28" s="161"/>
      <c r="N28" s="161"/>
      <c r="O28" s="16"/>
      <c r="P28" s="83"/>
      <c r="Q28" s="83"/>
      <c r="R28" s="83"/>
      <c r="S28" s="83"/>
      <c r="T28" s="304"/>
      <c r="U28" s="126"/>
      <c r="V28" s="208"/>
    </row>
    <row r="29" spans="1:23" x14ac:dyDescent="0.2">
      <c r="A29" s="5" t="s">
        <v>26</v>
      </c>
      <c r="B29" s="5" t="s">
        <v>27</v>
      </c>
      <c r="C29" s="203">
        <f>SUM(C30:C31)</f>
        <v>18770000</v>
      </c>
      <c r="D29" s="203">
        <f t="shared" ref="D29:J29" si="34">SUM(D30:D31)</f>
        <v>18770000</v>
      </c>
      <c r="E29" s="203">
        <f t="shared" si="34"/>
        <v>18770000</v>
      </c>
      <c r="F29" s="203">
        <f t="shared" si="34"/>
        <v>18770000</v>
      </c>
      <c r="G29" s="203"/>
      <c r="H29" s="203">
        <f t="shared" si="34"/>
        <v>9993764</v>
      </c>
      <c r="I29" s="203">
        <f t="shared" si="34"/>
        <v>14461063</v>
      </c>
      <c r="J29" s="203">
        <f t="shared" si="34"/>
        <v>18404376</v>
      </c>
      <c r="K29" s="10"/>
      <c r="L29" s="89">
        <f t="shared" ref="L29:L30" si="35">+H29/C29</f>
        <v>0.53243281832711775</v>
      </c>
      <c r="M29" s="89">
        <f>+I29/D29</f>
        <v>0.77043489611081517</v>
      </c>
      <c r="N29" s="89">
        <f t="shared" ref="N29:N30" si="36">+J29/E29</f>
        <v>0.98052083111347899</v>
      </c>
      <c r="O29" s="10"/>
      <c r="P29" s="322">
        <f t="shared" si="13"/>
        <v>0</v>
      </c>
      <c r="Q29" s="322">
        <f t="shared" si="14"/>
        <v>0</v>
      </c>
      <c r="R29" s="322">
        <f t="shared" si="15"/>
        <v>0</v>
      </c>
      <c r="S29" s="322">
        <f t="shared" si="16"/>
        <v>0</v>
      </c>
      <c r="T29" s="305">
        <f t="shared" si="17"/>
        <v>0</v>
      </c>
      <c r="U29" s="126"/>
      <c r="V29" s="208">
        <f t="shared" si="29"/>
        <v>0</v>
      </c>
    </row>
    <row r="30" spans="1:23" x14ac:dyDescent="0.2">
      <c r="A30" s="20"/>
      <c r="B30" s="20" t="s">
        <v>28</v>
      </c>
      <c r="C30" s="102">
        <v>18770000</v>
      </c>
      <c r="D30" s="70">
        <v>18770000</v>
      </c>
      <c r="E30" s="70">
        <v>18770000</v>
      </c>
      <c r="F30" s="70">
        <v>18770000</v>
      </c>
      <c r="G30" s="70"/>
      <c r="H30" s="70">
        <v>9993764</v>
      </c>
      <c r="I30" s="70">
        <v>14461063</v>
      </c>
      <c r="J30" s="70">
        <v>18404376</v>
      </c>
      <c r="K30" s="16"/>
      <c r="L30" s="143">
        <f t="shared" si="35"/>
        <v>0.53243281832711775</v>
      </c>
      <c r="M30" s="143">
        <f>+I30/D30</f>
        <v>0.77043489611081517</v>
      </c>
      <c r="N30" s="143">
        <f t="shared" si="36"/>
        <v>0.98052083111347899</v>
      </c>
      <c r="O30" s="16"/>
      <c r="P30" s="83">
        <f t="shared" si="13"/>
        <v>0</v>
      </c>
      <c r="Q30" s="83">
        <f t="shared" si="14"/>
        <v>0</v>
      </c>
      <c r="R30" s="83">
        <f t="shared" si="15"/>
        <v>0</v>
      </c>
      <c r="S30" s="83">
        <f t="shared" si="16"/>
        <v>0</v>
      </c>
      <c r="T30" s="304">
        <f t="shared" si="17"/>
        <v>0</v>
      </c>
      <c r="U30" s="126"/>
      <c r="V30" s="208">
        <f t="shared" si="29"/>
        <v>0</v>
      </c>
    </row>
    <row r="31" spans="1:23" x14ac:dyDescent="0.2">
      <c r="A31" s="20"/>
      <c r="B31" s="14"/>
      <c r="C31" s="102"/>
      <c r="D31" s="70"/>
      <c r="E31" s="70"/>
      <c r="F31" s="70"/>
      <c r="G31" s="70"/>
      <c r="H31" s="70"/>
      <c r="I31" s="70"/>
      <c r="J31" s="70"/>
      <c r="K31" s="16"/>
      <c r="L31" s="161"/>
      <c r="M31" s="161"/>
      <c r="N31" s="161"/>
      <c r="O31" s="16"/>
      <c r="P31" s="83"/>
      <c r="Q31" s="83"/>
      <c r="R31" s="83"/>
      <c r="S31" s="83"/>
      <c r="T31" s="304"/>
      <c r="U31" s="126"/>
      <c r="V31" s="208"/>
    </row>
    <row r="32" spans="1:23" x14ac:dyDescent="0.2">
      <c r="A32" s="5" t="s">
        <v>29</v>
      </c>
      <c r="B32" s="5" t="s">
        <v>30</v>
      </c>
      <c r="C32" s="203">
        <f>+C33+C41+C48+C66+C71</f>
        <v>10409999</v>
      </c>
      <c r="D32" s="203">
        <f>+D33+D41+D48+D66+D71</f>
        <v>10409999</v>
      </c>
      <c r="E32" s="203">
        <f t="shared" ref="E32:J32" si="37">+E33+E41+E48+E66+E71</f>
        <v>11681275</v>
      </c>
      <c r="F32" s="203">
        <f t="shared" si="37"/>
        <v>11698996</v>
      </c>
      <c r="G32" s="203"/>
      <c r="H32" s="203">
        <f t="shared" si="37"/>
        <v>5569152</v>
      </c>
      <c r="I32" s="203">
        <f t="shared" si="37"/>
        <v>8335259</v>
      </c>
      <c r="J32" s="203">
        <f t="shared" si="37"/>
        <v>10442086</v>
      </c>
      <c r="K32" s="10"/>
      <c r="L32" s="89">
        <f t="shared" ref="L32" si="38">+H32/C32</f>
        <v>0.53498103121815865</v>
      </c>
      <c r="M32" s="89">
        <f>+I32/D32</f>
        <v>0.80069738719475381</v>
      </c>
      <c r="N32" s="89">
        <f t="shared" ref="N32" si="39">+J32/E32</f>
        <v>0.89391663153208878</v>
      </c>
      <c r="O32" s="10"/>
      <c r="P32" s="322">
        <f t="shared" si="13"/>
        <v>0</v>
      </c>
      <c r="Q32" s="322">
        <f t="shared" si="14"/>
        <v>1271276</v>
      </c>
      <c r="R32" s="322">
        <f t="shared" si="15"/>
        <v>17721</v>
      </c>
      <c r="S32" s="322">
        <f t="shared" si="16"/>
        <v>1288997</v>
      </c>
      <c r="T32" s="305">
        <f t="shared" si="17"/>
        <v>0.12382297058818162</v>
      </c>
      <c r="U32" s="126"/>
      <c r="V32" s="208">
        <f t="shared" si="29"/>
        <v>17721</v>
      </c>
    </row>
    <row r="33" spans="1:22" x14ac:dyDescent="0.2">
      <c r="A33" s="40" t="s">
        <v>31</v>
      </c>
      <c r="B33" s="40" t="s">
        <v>32</v>
      </c>
      <c r="C33" s="404">
        <f>SUM(C34:C40)</f>
        <v>2349421</v>
      </c>
      <c r="D33" s="404">
        <f t="shared" ref="D33:J33" si="40">SUM(D34:D40)</f>
        <v>2349421</v>
      </c>
      <c r="E33" s="404">
        <f t="shared" si="40"/>
        <v>2349421</v>
      </c>
      <c r="F33" s="404">
        <f t="shared" si="40"/>
        <v>2376291</v>
      </c>
      <c r="G33" s="404"/>
      <c r="H33" s="404">
        <f t="shared" si="40"/>
        <v>1704404</v>
      </c>
      <c r="I33" s="404">
        <f t="shared" si="40"/>
        <v>2233530</v>
      </c>
      <c r="J33" s="404">
        <f t="shared" si="40"/>
        <v>2022763</v>
      </c>
      <c r="K33" s="16"/>
      <c r="L33" s="161"/>
      <c r="M33" s="161"/>
      <c r="N33" s="161"/>
      <c r="O33" s="16"/>
      <c r="P33" s="83">
        <f t="shared" si="13"/>
        <v>0</v>
      </c>
      <c r="Q33" s="83">
        <f t="shared" si="14"/>
        <v>0</v>
      </c>
      <c r="R33" s="83">
        <f t="shared" si="15"/>
        <v>26870</v>
      </c>
      <c r="S33" s="83">
        <f t="shared" si="16"/>
        <v>26870</v>
      </c>
      <c r="T33" s="304">
        <f t="shared" si="17"/>
        <v>1.1436860400924313E-2</v>
      </c>
      <c r="U33" s="126"/>
      <c r="V33" s="208">
        <f t="shared" si="29"/>
        <v>26870</v>
      </c>
    </row>
    <row r="34" spans="1:22" x14ac:dyDescent="0.2">
      <c r="A34" s="20" t="s">
        <v>33</v>
      </c>
      <c r="B34" s="20" t="s">
        <v>35</v>
      </c>
      <c r="C34" s="102">
        <v>359012</v>
      </c>
      <c r="D34" s="70">
        <v>359012</v>
      </c>
      <c r="E34" s="70">
        <v>359012</v>
      </c>
      <c r="F34" s="70">
        <v>385882</v>
      </c>
      <c r="G34" s="70"/>
      <c r="H34" s="70">
        <v>294082</v>
      </c>
      <c r="I34" s="70">
        <v>358982</v>
      </c>
      <c r="J34" s="70">
        <v>385882</v>
      </c>
      <c r="K34" s="16"/>
      <c r="L34" s="143">
        <f t="shared" ref="L34" si="41">+H34/C34</f>
        <v>0.81914253562555017</v>
      </c>
      <c r="M34" s="143">
        <f>+I34/D34</f>
        <v>0.99991643733357105</v>
      </c>
      <c r="N34" s="143">
        <f t="shared" ref="N34" si="42">+J34/E34</f>
        <v>1.0748442948982206</v>
      </c>
      <c r="O34" s="16"/>
      <c r="P34" s="83">
        <f t="shared" si="13"/>
        <v>0</v>
      </c>
      <c r="Q34" s="83">
        <f t="shared" si="14"/>
        <v>0</v>
      </c>
      <c r="R34" s="83">
        <f t="shared" si="15"/>
        <v>26870</v>
      </c>
      <c r="S34" s="83">
        <f t="shared" si="16"/>
        <v>26870</v>
      </c>
      <c r="T34" s="304">
        <f t="shared" si="17"/>
        <v>7.484429489822067E-2</v>
      </c>
      <c r="U34" s="126"/>
      <c r="V34" s="208">
        <f t="shared" si="29"/>
        <v>26870</v>
      </c>
    </row>
    <row r="35" spans="1:22" x14ac:dyDescent="0.2">
      <c r="A35" s="20"/>
      <c r="B35" s="20" t="s">
        <v>89</v>
      </c>
      <c r="C35" s="102"/>
      <c r="D35" s="70"/>
      <c r="E35" s="70"/>
      <c r="F35" s="70"/>
      <c r="G35" s="70"/>
      <c r="H35" s="70"/>
      <c r="I35" s="70"/>
      <c r="J35" s="70"/>
      <c r="K35" s="16"/>
      <c r="L35" s="142"/>
      <c r="M35" s="142"/>
      <c r="N35" s="142"/>
      <c r="O35" s="16"/>
      <c r="P35" s="83">
        <f t="shared" si="13"/>
        <v>0</v>
      </c>
      <c r="Q35" s="83">
        <f t="shared" si="14"/>
        <v>0</v>
      </c>
      <c r="R35" s="83">
        <f t="shared" si="15"/>
        <v>0</v>
      </c>
      <c r="S35" s="83">
        <f t="shared" si="16"/>
        <v>0</v>
      </c>
      <c r="T35" s="304">
        <f t="shared" si="17"/>
        <v>0</v>
      </c>
      <c r="U35" s="126"/>
      <c r="V35" s="208">
        <f t="shared" si="22"/>
        <v>0</v>
      </c>
    </row>
    <row r="36" spans="1:22" x14ac:dyDescent="0.2">
      <c r="A36" s="20" t="s">
        <v>34</v>
      </c>
      <c r="B36" s="20" t="s">
        <v>36</v>
      </c>
      <c r="C36" s="102">
        <f>1550409+20000*20+40000</f>
        <v>1990409</v>
      </c>
      <c r="D36" s="70">
        <v>1990409</v>
      </c>
      <c r="E36" s="70">
        <v>1990409</v>
      </c>
      <c r="F36" s="70">
        <v>1990409</v>
      </c>
      <c r="G36" s="70"/>
      <c r="H36" s="70">
        <v>1410322</v>
      </c>
      <c r="I36" s="70">
        <v>1874548</v>
      </c>
      <c r="J36" s="70">
        <v>1636881</v>
      </c>
      <c r="K36" s="16"/>
      <c r="L36" s="143">
        <f t="shared" ref="L36" si="43">+H36/C36</f>
        <v>0.70855889417702589</v>
      </c>
      <c r="M36" s="143">
        <f>+I36/D36</f>
        <v>0.94179035565052205</v>
      </c>
      <c r="N36" s="143">
        <f t="shared" ref="N36" si="44">+J36/E36</f>
        <v>0.82238424364037743</v>
      </c>
      <c r="O36" s="16"/>
      <c r="P36" s="83">
        <f t="shared" si="13"/>
        <v>0</v>
      </c>
      <c r="Q36" s="83">
        <f t="shared" si="14"/>
        <v>0</v>
      </c>
      <c r="R36" s="83">
        <f t="shared" si="15"/>
        <v>0</v>
      </c>
      <c r="S36" s="83">
        <f t="shared" si="16"/>
        <v>0</v>
      </c>
      <c r="T36" s="304">
        <f t="shared" si="17"/>
        <v>0</v>
      </c>
      <c r="U36" s="126"/>
      <c r="V36" s="208">
        <f t="shared" si="22"/>
        <v>0</v>
      </c>
    </row>
    <row r="37" spans="1:22" x14ac:dyDescent="0.2">
      <c r="A37" s="20"/>
      <c r="B37" s="20" t="s">
        <v>105</v>
      </c>
      <c r="C37" s="102"/>
      <c r="D37" s="70"/>
      <c r="E37" s="70"/>
      <c r="F37" s="70"/>
      <c r="G37" s="70"/>
      <c r="H37" s="70"/>
      <c r="I37" s="70"/>
      <c r="J37" s="70"/>
      <c r="K37" s="16"/>
      <c r="L37" s="142"/>
      <c r="M37" s="142"/>
      <c r="N37" s="142"/>
      <c r="O37" s="16"/>
      <c r="P37" s="83">
        <f t="shared" si="13"/>
        <v>0</v>
      </c>
      <c r="Q37" s="83">
        <f t="shared" si="14"/>
        <v>0</v>
      </c>
      <c r="R37" s="83">
        <f t="shared" si="15"/>
        <v>0</v>
      </c>
      <c r="S37" s="83">
        <f t="shared" si="16"/>
        <v>0</v>
      </c>
      <c r="T37" s="304">
        <f t="shared" si="17"/>
        <v>0</v>
      </c>
      <c r="U37" s="126"/>
      <c r="V37" s="208">
        <f t="shared" si="22"/>
        <v>0</v>
      </c>
    </row>
    <row r="38" spans="1:22" x14ac:dyDescent="0.2">
      <c r="A38" s="20"/>
      <c r="B38" s="20" t="s">
        <v>95</v>
      </c>
      <c r="C38" s="102"/>
      <c r="D38" s="70"/>
      <c r="E38" s="70"/>
      <c r="F38" s="70"/>
      <c r="G38" s="70"/>
      <c r="H38" s="70"/>
      <c r="I38" s="70"/>
      <c r="J38" s="70"/>
      <c r="K38" s="16"/>
      <c r="L38" s="142"/>
      <c r="M38" s="142"/>
      <c r="N38" s="142"/>
      <c r="O38" s="16"/>
      <c r="P38" s="83">
        <f t="shared" si="13"/>
        <v>0</v>
      </c>
      <c r="Q38" s="83">
        <f t="shared" si="14"/>
        <v>0</v>
      </c>
      <c r="R38" s="83">
        <f t="shared" si="15"/>
        <v>0</v>
      </c>
      <c r="S38" s="83">
        <f t="shared" si="16"/>
        <v>0</v>
      </c>
      <c r="T38" s="304">
        <f t="shared" si="17"/>
        <v>0</v>
      </c>
      <c r="U38" s="126"/>
      <c r="V38" s="208">
        <f t="shared" si="22"/>
        <v>0</v>
      </c>
    </row>
    <row r="39" spans="1:22" x14ac:dyDescent="0.2">
      <c r="A39" s="20"/>
      <c r="B39" s="20" t="s">
        <v>94</v>
      </c>
      <c r="C39" s="102"/>
      <c r="D39" s="70"/>
      <c r="E39" s="70"/>
      <c r="F39" s="70"/>
      <c r="G39" s="70"/>
      <c r="H39" s="70"/>
      <c r="I39" s="70"/>
      <c r="J39" s="70"/>
      <c r="K39" s="16"/>
      <c r="L39" s="142"/>
      <c r="M39" s="142"/>
      <c r="N39" s="142"/>
      <c r="O39" s="16"/>
      <c r="P39" s="83">
        <f t="shared" si="13"/>
        <v>0</v>
      </c>
      <c r="Q39" s="83">
        <f t="shared" si="14"/>
        <v>0</v>
      </c>
      <c r="R39" s="83">
        <f t="shared" si="15"/>
        <v>0</v>
      </c>
      <c r="S39" s="83">
        <f t="shared" si="16"/>
        <v>0</v>
      </c>
      <c r="T39" s="304">
        <f t="shared" si="17"/>
        <v>0</v>
      </c>
      <c r="U39" s="126"/>
      <c r="V39" s="208">
        <f t="shared" si="22"/>
        <v>0</v>
      </c>
    </row>
    <row r="40" spans="1:22" x14ac:dyDescent="0.2">
      <c r="A40" s="20"/>
      <c r="B40" s="20" t="s">
        <v>93</v>
      </c>
      <c r="C40" s="102"/>
      <c r="D40" s="70"/>
      <c r="E40" s="70"/>
      <c r="F40" s="70"/>
      <c r="G40" s="70"/>
      <c r="H40" s="70"/>
      <c r="I40" s="70"/>
      <c r="J40" s="70"/>
      <c r="K40" s="16"/>
      <c r="L40" s="142"/>
      <c r="M40" s="142"/>
      <c r="N40" s="142"/>
      <c r="O40" s="16"/>
      <c r="P40" s="83">
        <f t="shared" si="13"/>
        <v>0</v>
      </c>
      <c r="Q40" s="83">
        <f t="shared" si="14"/>
        <v>0</v>
      </c>
      <c r="R40" s="83">
        <f t="shared" si="15"/>
        <v>0</v>
      </c>
      <c r="S40" s="83">
        <f t="shared" si="16"/>
        <v>0</v>
      </c>
      <c r="T40" s="304">
        <f t="shared" si="17"/>
        <v>0</v>
      </c>
      <c r="U40" s="126"/>
      <c r="V40" s="208">
        <f t="shared" si="22"/>
        <v>0</v>
      </c>
    </row>
    <row r="41" spans="1:22" x14ac:dyDescent="0.2">
      <c r="A41" s="40" t="s">
        <v>37</v>
      </c>
      <c r="B41" s="40" t="s">
        <v>38</v>
      </c>
      <c r="C41" s="404">
        <f>SUM(C42:C47)</f>
        <v>695833</v>
      </c>
      <c r="D41" s="404">
        <f t="shared" ref="D41:J41" si="45">SUM(D42:D47)</f>
        <v>695833</v>
      </c>
      <c r="E41" s="404">
        <f t="shared" si="45"/>
        <v>695833</v>
      </c>
      <c r="F41" s="404">
        <f t="shared" si="45"/>
        <v>786400</v>
      </c>
      <c r="G41" s="404"/>
      <c r="H41" s="404">
        <f t="shared" si="45"/>
        <v>486401</v>
      </c>
      <c r="I41" s="404">
        <f t="shared" si="45"/>
        <v>556632</v>
      </c>
      <c r="J41" s="404">
        <f t="shared" si="45"/>
        <v>601704</v>
      </c>
      <c r="K41" s="405"/>
      <c r="L41" s="153"/>
      <c r="M41" s="153"/>
      <c r="N41" s="153"/>
      <c r="O41" s="405"/>
      <c r="P41" s="406">
        <f t="shared" si="13"/>
        <v>0</v>
      </c>
      <c r="Q41" s="406">
        <f t="shared" si="14"/>
        <v>0</v>
      </c>
      <c r="R41" s="406">
        <f t="shared" si="15"/>
        <v>90567</v>
      </c>
      <c r="S41" s="406">
        <f t="shared" si="16"/>
        <v>90567</v>
      </c>
      <c r="T41" s="304">
        <f t="shared" si="17"/>
        <v>0.13015623001496049</v>
      </c>
      <c r="U41" s="126"/>
      <c r="V41" s="208">
        <f t="shared" si="22"/>
        <v>90567</v>
      </c>
    </row>
    <row r="42" spans="1:22" x14ac:dyDescent="0.2">
      <c r="A42" s="20" t="s">
        <v>39</v>
      </c>
      <c r="B42" s="20" t="s">
        <v>40</v>
      </c>
      <c r="C42" s="102">
        <v>494371</v>
      </c>
      <c r="D42" s="70">
        <v>494371</v>
      </c>
      <c r="E42" s="70">
        <v>494371</v>
      </c>
      <c r="F42" s="70">
        <v>584938</v>
      </c>
      <c r="G42" s="70"/>
      <c r="H42" s="70">
        <v>396567</v>
      </c>
      <c r="I42" s="70">
        <v>427167</v>
      </c>
      <c r="J42" s="70">
        <v>434009</v>
      </c>
      <c r="K42" s="16"/>
      <c r="L42" s="143">
        <f t="shared" ref="L42" si="46">+H42/C42</f>
        <v>0.80216477099182593</v>
      </c>
      <c r="M42" s="143">
        <f>+I42/D42</f>
        <v>0.86406160555534206</v>
      </c>
      <c r="N42" s="143">
        <f t="shared" ref="N42" si="47">+J42/E42</f>
        <v>0.87790141412016487</v>
      </c>
      <c r="O42" s="16"/>
      <c r="P42" s="83">
        <f t="shared" si="13"/>
        <v>0</v>
      </c>
      <c r="Q42" s="83">
        <f t="shared" si="14"/>
        <v>0</v>
      </c>
      <c r="R42" s="83">
        <f t="shared" si="15"/>
        <v>90567</v>
      </c>
      <c r="S42" s="83">
        <f t="shared" si="16"/>
        <v>90567</v>
      </c>
      <c r="T42" s="304">
        <f t="shared" si="17"/>
        <v>0.18319642535666533</v>
      </c>
      <c r="U42" s="126"/>
      <c r="V42" s="208">
        <f t="shared" si="22"/>
        <v>90567</v>
      </c>
    </row>
    <row r="43" spans="1:22" x14ac:dyDescent="0.2">
      <c r="A43" s="20"/>
      <c r="B43" s="20" t="s">
        <v>41</v>
      </c>
      <c r="C43" s="102"/>
      <c r="D43" s="70"/>
      <c r="E43" s="70"/>
      <c r="F43" s="70"/>
      <c r="G43" s="70"/>
      <c r="H43" s="70"/>
      <c r="I43" s="70"/>
      <c r="J43" s="70"/>
      <c r="K43" s="16"/>
      <c r="L43" s="142"/>
      <c r="M43" s="142"/>
      <c r="N43" s="142"/>
      <c r="O43" s="16"/>
      <c r="P43" s="83">
        <f t="shared" si="13"/>
        <v>0</v>
      </c>
      <c r="Q43" s="83">
        <f t="shared" si="14"/>
        <v>0</v>
      </c>
      <c r="R43" s="83">
        <f t="shared" si="15"/>
        <v>0</v>
      </c>
      <c r="S43" s="83">
        <f t="shared" si="16"/>
        <v>0</v>
      </c>
      <c r="T43" s="304">
        <f t="shared" si="17"/>
        <v>0</v>
      </c>
      <c r="U43" s="126"/>
      <c r="V43" s="208">
        <f t="shared" si="22"/>
        <v>0</v>
      </c>
    </row>
    <row r="44" spans="1:22" x14ac:dyDescent="0.2">
      <c r="A44" s="20"/>
      <c r="B44" s="20" t="s">
        <v>42</v>
      </c>
      <c r="C44" s="102"/>
      <c r="D44" s="70"/>
      <c r="E44" s="70"/>
      <c r="F44" s="70"/>
      <c r="G44" s="70"/>
      <c r="H44" s="70"/>
      <c r="I44" s="70"/>
      <c r="J44" s="70"/>
      <c r="K44" s="16"/>
      <c r="L44" s="142"/>
      <c r="M44" s="142"/>
      <c r="N44" s="142"/>
      <c r="O44" s="16"/>
      <c r="P44" s="83">
        <f t="shared" si="13"/>
        <v>0</v>
      </c>
      <c r="Q44" s="83">
        <f t="shared" si="14"/>
        <v>0</v>
      </c>
      <c r="R44" s="83">
        <f t="shared" si="15"/>
        <v>0</v>
      </c>
      <c r="S44" s="83">
        <f t="shared" si="16"/>
        <v>0</v>
      </c>
      <c r="T44" s="304">
        <f t="shared" si="17"/>
        <v>0</v>
      </c>
      <c r="U44" s="126"/>
      <c r="V44" s="208">
        <f t="shared" si="22"/>
        <v>0</v>
      </c>
    </row>
    <row r="45" spans="1:22" x14ac:dyDescent="0.2">
      <c r="A45" s="20"/>
      <c r="B45" s="20" t="s">
        <v>43</v>
      </c>
      <c r="C45" s="102"/>
      <c r="D45" s="70"/>
      <c r="E45" s="70"/>
      <c r="F45" s="70"/>
      <c r="G45" s="70"/>
      <c r="H45" s="70">
        <v>0</v>
      </c>
      <c r="I45" s="70">
        <v>0</v>
      </c>
      <c r="J45" s="70"/>
      <c r="K45" s="16"/>
      <c r="L45" s="142"/>
      <c r="M45" s="142"/>
      <c r="N45" s="142"/>
      <c r="O45" s="16"/>
      <c r="P45" s="83">
        <f t="shared" si="13"/>
        <v>0</v>
      </c>
      <c r="Q45" s="83">
        <f t="shared" si="14"/>
        <v>0</v>
      </c>
      <c r="R45" s="83">
        <f t="shared" si="15"/>
        <v>0</v>
      </c>
      <c r="S45" s="83">
        <f t="shared" si="16"/>
        <v>0</v>
      </c>
      <c r="T45" s="304">
        <f t="shared" si="17"/>
        <v>0</v>
      </c>
      <c r="U45" s="126"/>
      <c r="V45" s="208">
        <f t="shared" si="22"/>
        <v>0</v>
      </c>
    </row>
    <row r="46" spans="1:22" x14ac:dyDescent="0.2">
      <c r="A46" s="20" t="s">
        <v>44</v>
      </c>
      <c r="B46" s="20" t="s">
        <v>45</v>
      </c>
      <c r="C46" s="102">
        <v>201462</v>
      </c>
      <c r="D46" s="70">
        <v>201462</v>
      </c>
      <c r="E46" s="70">
        <v>201462</v>
      </c>
      <c r="F46" s="70">
        <v>201462</v>
      </c>
      <c r="G46" s="70"/>
      <c r="H46" s="70">
        <v>89834</v>
      </c>
      <c r="I46" s="70">
        <v>129465</v>
      </c>
      <c r="J46" s="70">
        <v>167695</v>
      </c>
      <c r="K46" s="16"/>
      <c r="L46" s="143">
        <f t="shared" ref="L46" si="48">+H46/C46</f>
        <v>0.44591039501245894</v>
      </c>
      <c r="M46" s="143">
        <f>+I46/D46</f>
        <v>0.64262739375167521</v>
      </c>
      <c r="N46" s="143">
        <f t="shared" ref="N46" si="49">+J46/E46</f>
        <v>0.83239022743743241</v>
      </c>
      <c r="O46" s="16"/>
      <c r="P46" s="83">
        <f t="shared" si="13"/>
        <v>0</v>
      </c>
      <c r="Q46" s="83">
        <f t="shared" si="14"/>
        <v>0</v>
      </c>
      <c r="R46" s="83">
        <f t="shared" si="15"/>
        <v>0</v>
      </c>
      <c r="S46" s="83">
        <f t="shared" si="16"/>
        <v>0</v>
      </c>
      <c r="T46" s="304">
        <f t="shared" si="17"/>
        <v>0</v>
      </c>
      <c r="U46" s="126"/>
      <c r="V46" s="208">
        <f t="shared" si="22"/>
        <v>0</v>
      </c>
    </row>
    <row r="47" spans="1:22" x14ac:dyDescent="0.2">
      <c r="A47" s="20"/>
      <c r="B47" s="20" t="s">
        <v>46</v>
      </c>
      <c r="C47" s="102"/>
      <c r="D47" s="70"/>
      <c r="E47" s="70"/>
      <c r="F47" s="70"/>
      <c r="G47" s="70"/>
      <c r="H47" s="70"/>
      <c r="I47" s="70"/>
      <c r="J47" s="70"/>
      <c r="K47" s="16"/>
      <c r="L47" s="142"/>
      <c r="M47" s="142"/>
      <c r="N47" s="142"/>
      <c r="O47" s="16"/>
      <c r="P47" s="83">
        <f t="shared" si="13"/>
        <v>0</v>
      </c>
      <c r="Q47" s="83">
        <f t="shared" si="14"/>
        <v>0</v>
      </c>
      <c r="R47" s="83">
        <f t="shared" si="15"/>
        <v>0</v>
      </c>
      <c r="S47" s="83">
        <f t="shared" si="16"/>
        <v>0</v>
      </c>
      <c r="T47" s="304">
        <f t="shared" si="17"/>
        <v>0</v>
      </c>
      <c r="U47" s="126"/>
      <c r="V47" s="208">
        <f t="shared" si="22"/>
        <v>0</v>
      </c>
    </row>
    <row r="48" spans="1:22" x14ac:dyDescent="0.2">
      <c r="A48" s="40" t="s">
        <v>47</v>
      </c>
      <c r="B48" s="40" t="s">
        <v>48</v>
      </c>
      <c r="C48" s="404">
        <f>SUM(C49:C65)</f>
        <v>4522657</v>
      </c>
      <c r="D48" s="404">
        <f t="shared" ref="D48:J48" si="50">SUM(D49:D65)</f>
        <v>5022657</v>
      </c>
      <c r="E48" s="404">
        <f t="shared" si="50"/>
        <v>5793933</v>
      </c>
      <c r="F48" s="404">
        <f t="shared" si="50"/>
        <v>5668000</v>
      </c>
      <c r="G48" s="404"/>
      <c r="H48" s="404">
        <f t="shared" si="50"/>
        <v>2309552</v>
      </c>
      <c r="I48" s="404">
        <f t="shared" si="50"/>
        <v>3349475</v>
      </c>
      <c r="J48" s="404">
        <f t="shared" si="50"/>
        <v>5032866</v>
      </c>
      <c r="K48" s="16"/>
      <c r="L48" s="142"/>
      <c r="M48" s="142"/>
      <c r="N48" s="142"/>
      <c r="O48" s="16"/>
      <c r="P48" s="83">
        <f t="shared" si="13"/>
        <v>500000</v>
      </c>
      <c r="Q48" s="83">
        <f t="shared" si="14"/>
        <v>771276</v>
      </c>
      <c r="R48" s="83">
        <f t="shared" si="15"/>
        <v>-125933</v>
      </c>
      <c r="S48" s="83">
        <f t="shared" si="16"/>
        <v>1145343</v>
      </c>
      <c r="T48" s="304">
        <f t="shared" si="17"/>
        <v>0.25324560319299033</v>
      </c>
      <c r="U48" s="126"/>
      <c r="V48" s="208">
        <f t="shared" si="22"/>
        <v>-125933</v>
      </c>
    </row>
    <row r="49" spans="1:22" x14ac:dyDescent="0.2">
      <c r="A49" s="20" t="s">
        <v>49</v>
      </c>
      <c r="B49" s="20" t="s">
        <v>50</v>
      </c>
      <c r="C49" s="102">
        <v>1680264</v>
      </c>
      <c r="D49" s="70">
        <v>1680264</v>
      </c>
      <c r="E49" s="70">
        <v>2130264</v>
      </c>
      <c r="F49" s="70">
        <v>1456765</v>
      </c>
      <c r="G49" s="70"/>
      <c r="H49" s="70">
        <v>780570</v>
      </c>
      <c r="I49" s="70">
        <v>957098</v>
      </c>
      <c r="J49" s="70">
        <v>1193982</v>
      </c>
      <c r="K49" s="16"/>
      <c r="L49" s="143">
        <f t="shared" ref="L49" si="51">+H49/C49</f>
        <v>0.46455199897159016</v>
      </c>
      <c r="M49" s="143">
        <f>+I49/D49</f>
        <v>0.56961168006932239</v>
      </c>
      <c r="N49" s="143">
        <f t="shared" ref="N49" si="52">+J49/E49</f>
        <v>0.56048546095695184</v>
      </c>
      <c r="O49" s="16"/>
      <c r="P49" s="83">
        <f t="shared" si="13"/>
        <v>0</v>
      </c>
      <c r="Q49" s="83">
        <f t="shared" si="14"/>
        <v>450000</v>
      </c>
      <c r="R49" s="83">
        <f t="shared" si="15"/>
        <v>-673499</v>
      </c>
      <c r="S49" s="83">
        <f t="shared" si="16"/>
        <v>-223499</v>
      </c>
      <c r="T49" s="304">
        <f t="shared" si="17"/>
        <v>-0.13301421681354836</v>
      </c>
      <c r="U49" s="126"/>
      <c r="V49" s="208">
        <f t="shared" si="22"/>
        <v>-673499</v>
      </c>
    </row>
    <row r="50" spans="1:22" x14ac:dyDescent="0.2">
      <c r="A50" s="20" t="s">
        <v>103</v>
      </c>
      <c r="B50" s="20" t="s">
        <v>97</v>
      </c>
      <c r="C50" s="102"/>
      <c r="D50" s="70"/>
      <c r="E50" s="70"/>
      <c r="F50" s="70"/>
      <c r="G50" s="70"/>
      <c r="H50" s="70"/>
      <c r="I50" s="70"/>
      <c r="J50" s="70"/>
      <c r="K50" s="16"/>
      <c r="L50" s="142"/>
      <c r="M50" s="142"/>
      <c r="N50" s="142"/>
      <c r="O50" s="16"/>
      <c r="P50" s="83">
        <f t="shared" si="13"/>
        <v>0</v>
      </c>
      <c r="Q50" s="83">
        <f t="shared" si="14"/>
        <v>0</v>
      </c>
      <c r="R50" s="83">
        <f t="shared" si="15"/>
        <v>0</v>
      </c>
      <c r="S50" s="83">
        <f t="shared" si="16"/>
        <v>0</v>
      </c>
      <c r="T50" s="304">
        <f t="shared" si="17"/>
        <v>0</v>
      </c>
      <c r="U50" s="126"/>
      <c r="V50" s="208">
        <f t="shared" si="22"/>
        <v>0</v>
      </c>
    </row>
    <row r="51" spans="1:22" x14ac:dyDescent="0.2">
      <c r="A51" s="20"/>
      <c r="B51" s="20" t="s">
        <v>98</v>
      </c>
      <c r="C51" s="102"/>
      <c r="D51" s="70"/>
      <c r="E51" s="70"/>
      <c r="F51" s="70"/>
      <c r="G51" s="70"/>
      <c r="H51" s="70"/>
      <c r="I51" s="70"/>
      <c r="J51" s="70"/>
      <c r="K51" s="16"/>
      <c r="L51" s="142"/>
      <c r="M51" s="142"/>
      <c r="N51" s="142"/>
      <c r="O51" s="16"/>
      <c r="P51" s="83">
        <f t="shared" si="13"/>
        <v>0</v>
      </c>
      <c r="Q51" s="83">
        <f t="shared" si="14"/>
        <v>0</v>
      </c>
      <c r="R51" s="83">
        <f t="shared" si="15"/>
        <v>0</v>
      </c>
      <c r="S51" s="83">
        <f t="shared" si="16"/>
        <v>0</v>
      </c>
      <c r="T51" s="304">
        <f t="shared" si="17"/>
        <v>0</v>
      </c>
      <c r="U51" s="126"/>
      <c r="V51" s="208">
        <f t="shared" si="22"/>
        <v>0</v>
      </c>
    </row>
    <row r="52" spans="1:22" x14ac:dyDescent="0.2">
      <c r="A52" s="20"/>
      <c r="B52" s="20" t="s">
        <v>99</v>
      </c>
      <c r="C52" s="102"/>
      <c r="D52" s="70"/>
      <c r="E52" s="70"/>
      <c r="F52" s="70"/>
      <c r="G52" s="70"/>
      <c r="H52" s="70"/>
      <c r="I52" s="70"/>
      <c r="J52" s="70"/>
      <c r="K52" s="16"/>
      <c r="L52" s="142"/>
      <c r="M52" s="142"/>
      <c r="N52" s="142"/>
      <c r="O52" s="16"/>
      <c r="P52" s="83">
        <f t="shared" si="13"/>
        <v>0</v>
      </c>
      <c r="Q52" s="83">
        <f t="shared" si="14"/>
        <v>0</v>
      </c>
      <c r="R52" s="83">
        <f t="shared" si="15"/>
        <v>0</v>
      </c>
      <c r="S52" s="83">
        <f t="shared" si="16"/>
        <v>0</v>
      </c>
      <c r="T52" s="304">
        <f t="shared" si="17"/>
        <v>0</v>
      </c>
      <c r="U52" s="126"/>
      <c r="V52" s="208">
        <f t="shared" si="22"/>
        <v>0</v>
      </c>
    </row>
    <row r="53" spans="1:22" x14ac:dyDescent="0.2">
      <c r="A53" s="20" t="s">
        <v>51</v>
      </c>
      <c r="B53" s="20" t="s">
        <v>52</v>
      </c>
      <c r="C53" s="102">
        <v>0</v>
      </c>
      <c r="D53" s="70">
        <v>0</v>
      </c>
      <c r="E53" s="70">
        <v>0</v>
      </c>
      <c r="F53" s="70">
        <v>0</v>
      </c>
      <c r="G53" s="70"/>
      <c r="H53" s="70">
        <v>0</v>
      </c>
      <c r="I53" s="70">
        <f>+H53</f>
        <v>0</v>
      </c>
      <c r="J53" s="70">
        <v>0</v>
      </c>
      <c r="K53" s="16"/>
      <c r="L53" s="143" t="e">
        <f t="shared" ref="L53" si="53">+H53/C53</f>
        <v>#DIV/0!</v>
      </c>
      <c r="M53" s="143" t="e">
        <f>+I53/D53</f>
        <v>#DIV/0!</v>
      </c>
      <c r="N53" s="143" t="e">
        <f t="shared" ref="N53" si="54">+J53/E53</f>
        <v>#DIV/0!</v>
      </c>
      <c r="O53" s="16"/>
      <c r="P53" s="83">
        <f t="shared" si="13"/>
        <v>0</v>
      </c>
      <c r="Q53" s="83">
        <f t="shared" si="14"/>
        <v>0</v>
      </c>
      <c r="R53" s="83">
        <f t="shared" si="15"/>
        <v>0</v>
      </c>
      <c r="S53" s="83">
        <f t="shared" si="16"/>
        <v>0</v>
      </c>
      <c r="T53" s="304">
        <f t="shared" si="17"/>
        <v>0</v>
      </c>
      <c r="U53" s="126"/>
      <c r="V53" s="208">
        <f t="shared" si="22"/>
        <v>0</v>
      </c>
    </row>
    <row r="54" spans="1:22" x14ac:dyDescent="0.2">
      <c r="A54" s="20"/>
      <c r="B54" s="20" t="s">
        <v>90</v>
      </c>
      <c r="C54" s="102"/>
      <c r="D54" s="70"/>
      <c r="E54" s="70"/>
      <c r="F54" s="70"/>
      <c r="G54" s="70"/>
      <c r="H54" s="70"/>
      <c r="I54" s="70"/>
      <c r="J54" s="70"/>
      <c r="K54" s="16"/>
      <c r="L54" s="142"/>
      <c r="M54" s="142"/>
      <c r="N54" s="142"/>
      <c r="O54" s="16"/>
      <c r="P54" s="83">
        <f t="shared" si="13"/>
        <v>0</v>
      </c>
      <c r="Q54" s="83">
        <f t="shared" si="14"/>
        <v>0</v>
      </c>
      <c r="R54" s="83">
        <f t="shared" si="15"/>
        <v>0</v>
      </c>
      <c r="S54" s="83">
        <f t="shared" si="16"/>
        <v>0</v>
      </c>
      <c r="T54" s="304">
        <f t="shared" si="17"/>
        <v>0</v>
      </c>
      <c r="U54" s="126"/>
      <c r="V54" s="208">
        <f t="shared" si="22"/>
        <v>0</v>
      </c>
    </row>
    <row r="55" spans="1:22" x14ac:dyDescent="0.2">
      <c r="A55" s="20"/>
      <c r="B55" s="20" t="s">
        <v>53</v>
      </c>
      <c r="C55" s="102"/>
      <c r="D55" s="70"/>
      <c r="E55" s="70"/>
      <c r="F55" s="70"/>
      <c r="G55" s="70"/>
      <c r="H55" s="70"/>
      <c r="I55" s="70"/>
      <c r="J55" s="70"/>
      <c r="K55" s="16"/>
      <c r="L55" s="142"/>
      <c r="M55" s="142"/>
      <c r="N55" s="142"/>
      <c r="O55" s="16"/>
      <c r="P55" s="83">
        <f t="shared" si="13"/>
        <v>0</v>
      </c>
      <c r="Q55" s="83">
        <f t="shared" si="14"/>
        <v>0</v>
      </c>
      <c r="R55" s="83">
        <f t="shared" si="15"/>
        <v>0</v>
      </c>
      <c r="S55" s="83">
        <f t="shared" si="16"/>
        <v>0</v>
      </c>
      <c r="T55" s="304">
        <f t="shared" si="17"/>
        <v>0</v>
      </c>
      <c r="U55" s="126"/>
      <c r="V55" s="208">
        <f t="shared" si="22"/>
        <v>0</v>
      </c>
    </row>
    <row r="56" spans="1:22" x14ac:dyDescent="0.2">
      <c r="A56" s="20" t="s">
        <v>54</v>
      </c>
      <c r="B56" s="20" t="s">
        <v>55</v>
      </c>
      <c r="C56" s="102">
        <v>114173</v>
      </c>
      <c r="D56" s="70">
        <v>114173</v>
      </c>
      <c r="E56" s="70">
        <v>114173</v>
      </c>
      <c r="F56" s="70">
        <v>114173</v>
      </c>
      <c r="G56" s="70"/>
      <c r="H56" s="70"/>
      <c r="I56" s="70">
        <v>7161</v>
      </c>
      <c r="J56" s="70">
        <v>13067</v>
      </c>
      <c r="K56" s="16"/>
      <c r="L56" s="142"/>
      <c r="M56" s="142"/>
      <c r="N56" s="142"/>
      <c r="O56" s="16"/>
      <c r="P56" s="83">
        <f t="shared" si="13"/>
        <v>0</v>
      </c>
      <c r="Q56" s="83">
        <f t="shared" si="14"/>
        <v>0</v>
      </c>
      <c r="R56" s="83">
        <f t="shared" si="15"/>
        <v>0</v>
      </c>
      <c r="S56" s="83">
        <f t="shared" si="16"/>
        <v>0</v>
      </c>
      <c r="T56" s="304">
        <f t="shared" si="17"/>
        <v>0</v>
      </c>
      <c r="U56" s="126"/>
      <c r="V56" s="208">
        <f t="shared" si="22"/>
        <v>0</v>
      </c>
    </row>
    <row r="57" spans="1:22" x14ac:dyDescent="0.2">
      <c r="A57" s="20"/>
      <c r="B57" s="20" t="s">
        <v>56</v>
      </c>
      <c r="C57" s="102"/>
      <c r="D57" s="70"/>
      <c r="E57" s="70"/>
      <c r="F57" s="70"/>
      <c r="G57" s="70"/>
      <c r="H57" s="70"/>
      <c r="I57" s="70"/>
      <c r="J57" s="70"/>
      <c r="K57" s="16"/>
      <c r="L57" s="142"/>
      <c r="M57" s="142"/>
      <c r="N57" s="142"/>
      <c r="O57" s="16"/>
      <c r="P57" s="83">
        <f t="shared" si="13"/>
        <v>0</v>
      </c>
      <c r="Q57" s="83">
        <f t="shared" si="14"/>
        <v>0</v>
      </c>
      <c r="R57" s="83">
        <f t="shared" si="15"/>
        <v>0</v>
      </c>
      <c r="S57" s="83">
        <f t="shared" si="16"/>
        <v>0</v>
      </c>
      <c r="T57" s="304">
        <f t="shared" si="17"/>
        <v>0</v>
      </c>
      <c r="U57" s="126"/>
      <c r="V57" s="208">
        <f t="shared" si="22"/>
        <v>0</v>
      </c>
    </row>
    <row r="58" spans="1:22" x14ac:dyDescent="0.2">
      <c r="A58" s="20" t="s">
        <v>57</v>
      </c>
      <c r="B58" s="20" t="s">
        <v>91</v>
      </c>
      <c r="C58" s="102">
        <v>11900</v>
      </c>
      <c r="D58" s="70">
        <v>11900</v>
      </c>
      <c r="E58" s="70">
        <v>11900</v>
      </c>
      <c r="F58" s="70">
        <v>11900</v>
      </c>
      <c r="G58" s="70"/>
      <c r="H58" s="70">
        <v>0</v>
      </c>
      <c r="I58" s="70">
        <v>0</v>
      </c>
      <c r="J58" s="70">
        <v>0</v>
      </c>
      <c r="K58" s="16"/>
      <c r="L58" s="143">
        <f t="shared" ref="L58" si="55">+H58/C58</f>
        <v>0</v>
      </c>
      <c r="M58" s="143">
        <f>+I58/D58</f>
        <v>0</v>
      </c>
      <c r="N58" s="143">
        <f t="shared" ref="N58" si="56">+J58/E58</f>
        <v>0</v>
      </c>
      <c r="O58" s="16"/>
      <c r="P58" s="83">
        <f t="shared" si="13"/>
        <v>0</v>
      </c>
      <c r="Q58" s="83">
        <f t="shared" si="14"/>
        <v>0</v>
      </c>
      <c r="R58" s="83">
        <f t="shared" si="15"/>
        <v>0</v>
      </c>
      <c r="S58" s="83">
        <f t="shared" si="16"/>
        <v>0</v>
      </c>
      <c r="T58" s="304">
        <f t="shared" si="17"/>
        <v>0</v>
      </c>
      <c r="U58" s="126"/>
      <c r="V58" s="208">
        <f t="shared" si="22"/>
        <v>0</v>
      </c>
    </row>
    <row r="59" spans="1:22" x14ac:dyDescent="0.2">
      <c r="A59" s="20"/>
      <c r="B59" s="20" t="s">
        <v>58</v>
      </c>
      <c r="C59" s="102"/>
      <c r="D59" s="70"/>
      <c r="E59" s="70"/>
      <c r="F59" s="70"/>
      <c r="G59" s="70"/>
      <c r="H59" s="70"/>
      <c r="I59" s="70"/>
      <c r="J59" s="70"/>
      <c r="K59" s="16"/>
      <c r="L59" s="142"/>
      <c r="M59" s="142"/>
      <c r="N59" s="142"/>
      <c r="O59" s="16"/>
      <c r="P59" s="83">
        <f t="shared" si="13"/>
        <v>0</v>
      </c>
      <c r="Q59" s="83">
        <f t="shared" si="14"/>
        <v>0</v>
      </c>
      <c r="R59" s="83">
        <f t="shared" si="15"/>
        <v>0</v>
      </c>
      <c r="S59" s="83">
        <f t="shared" si="16"/>
        <v>0</v>
      </c>
      <c r="T59" s="304">
        <f t="shared" si="17"/>
        <v>0</v>
      </c>
      <c r="U59" s="126"/>
      <c r="V59" s="208">
        <f t="shared" si="22"/>
        <v>0</v>
      </c>
    </row>
    <row r="60" spans="1:22" x14ac:dyDescent="0.2">
      <c r="A60" s="20" t="s">
        <v>59</v>
      </c>
      <c r="B60" s="20" t="s">
        <v>60</v>
      </c>
      <c r="C60" s="102">
        <v>0</v>
      </c>
      <c r="D60" s="70">
        <v>0</v>
      </c>
      <c r="E60" s="70">
        <v>271276</v>
      </c>
      <c r="F60" s="70">
        <v>271276</v>
      </c>
      <c r="G60" s="70"/>
      <c r="H60" s="70"/>
      <c r="I60" s="70"/>
      <c r="J60" s="70">
        <v>271276</v>
      </c>
      <c r="K60" s="16"/>
      <c r="L60" s="142"/>
      <c r="M60" s="142"/>
      <c r="N60" s="142"/>
      <c r="O60" s="16"/>
      <c r="P60" s="83">
        <f t="shared" si="13"/>
        <v>0</v>
      </c>
      <c r="Q60" s="83">
        <f t="shared" si="14"/>
        <v>271276</v>
      </c>
      <c r="R60" s="83">
        <f t="shared" si="15"/>
        <v>0</v>
      </c>
      <c r="S60" s="83">
        <f t="shared" si="16"/>
        <v>271276</v>
      </c>
      <c r="T60" s="304">
        <f t="shared" si="17"/>
        <v>0</v>
      </c>
      <c r="U60" s="126"/>
      <c r="V60" s="208">
        <f t="shared" si="22"/>
        <v>0</v>
      </c>
    </row>
    <row r="61" spans="1:22" ht="25.5" x14ac:dyDescent="0.2">
      <c r="A61" s="20"/>
      <c r="B61" s="20" t="s">
        <v>61</v>
      </c>
      <c r="C61" s="102"/>
      <c r="D61" s="70"/>
      <c r="E61" s="70"/>
      <c r="F61" s="70"/>
      <c r="G61" s="70"/>
      <c r="H61" s="70"/>
      <c r="I61" s="70"/>
      <c r="J61" s="70"/>
      <c r="K61" s="16"/>
      <c r="L61" s="142"/>
      <c r="M61" s="142"/>
      <c r="N61" s="142"/>
      <c r="O61" s="16"/>
      <c r="P61" s="83">
        <f t="shared" si="13"/>
        <v>0</v>
      </c>
      <c r="Q61" s="83">
        <f t="shared" si="14"/>
        <v>0</v>
      </c>
      <c r="R61" s="83">
        <f t="shared" si="15"/>
        <v>0</v>
      </c>
      <c r="S61" s="83">
        <f t="shared" si="16"/>
        <v>0</v>
      </c>
      <c r="T61" s="304">
        <f t="shared" si="17"/>
        <v>0</v>
      </c>
      <c r="U61" s="126"/>
      <c r="V61" s="208">
        <f t="shared" si="22"/>
        <v>0</v>
      </c>
    </row>
    <row r="62" spans="1:22" x14ac:dyDescent="0.2">
      <c r="A62" s="20" t="s">
        <v>62</v>
      </c>
      <c r="B62" s="20" t="s">
        <v>63</v>
      </c>
      <c r="C62" s="102">
        <v>500684</v>
      </c>
      <c r="D62" s="70">
        <v>1000684</v>
      </c>
      <c r="E62" s="70">
        <v>1050684</v>
      </c>
      <c r="F62" s="70">
        <v>1238622</v>
      </c>
      <c r="G62" s="70"/>
      <c r="H62" s="70">
        <v>243848</v>
      </c>
      <c r="I62" s="70">
        <v>671734</v>
      </c>
      <c r="J62" s="70">
        <v>1088622</v>
      </c>
      <c r="K62" s="16"/>
      <c r="L62" s="143">
        <f t="shared" ref="L62" si="57">+H62/C62</f>
        <v>0.48702974331115034</v>
      </c>
      <c r="M62" s="143">
        <f>+I62/D62</f>
        <v>0.67127484800396531</v>
      </c>
      <c r="N62" s="143">
        <f t="shared" ref="N62" si="58">+J62/E62</f>
        <v>1.0361079068492525</v>
      </c>
      <c r="O62" s="16"/>
      <c r="P62" s="83">
        <f t="shared" si="13"/>
        <v>500000</v>
      </c>
      <c r="Q62" s="83">
        <f t="shared" si="14"/>
        <v>50000</v>
      </c>
      <c r="R62" s="83">
        <f t="shared" si="15"/>
        <v>187938</v>
      </c>
      <c r="S62" s="83">
        <f t="shared" si="16"/>
        <v>737938</v>
      </c>
      <c r="T62" s="304">
        <f t="shared" si="17"/>
        <v>1.4738597598485272</v>
      </c>
      <c r="U62" s="126"/>
      <c r="V62" s="208">
        <f t="shared" si="22"/>
        <v>187938</v>
      </c>
    </row>
    <row r="63" spans="1:22" ht="27" customHeight="1" x14ac:dyDescent="0.2">
      <c r="A63" s="20"/>
      <c r="B63" s="20" t="s">
        <v>102</v>
      </c>
      <c r="C63" s="102"/>
      <c r="D63" s="70"/>
      <c r="E63" s="70"/>
      <c r="F63" s="70"/>
      <c r="G63" s="70"/>
      <c r="H63" s="70"/>
      <c r="I63" s="70"/>
      <c r="J63" s="70"/>
      <c r="K63" s="16"/>
      <c r="L63" s="142"/>
      <c r="M63" s="142"/>
      <c r="N63" s="142"/>
      <c r="O63" s="16"/>
      <c r="P63" s="83">
        <f t="shared" si="13"/>
        <v>0</v>
      </c>
      <c r="Q63" s="83">
        <f t="shared" si="14"/>
        <v>0</v>
      </c>
      <c r="R63" s="83">
        <f t="shared" si="15"/>
        <v>0</v>
      </c>
      <c r="S63" s="83">
        <f t="shared" si="16"/>
        <v>0</v>
      </c>
      <c r="T63" s="304">
        <f t="shared" si="17"/>
        <v>0</v>
      </c>
      <c r="U63" s="126"/>
      <c r="V63" s="208">
        <f t="shared" si="22"/>
        <v>0</v>
      </c>
    </row>
    <row r="64" spans="1:22" x14ac:dyDescent="0.2">
      <c r="A64" s="20" t="s">
        <v>64</v>
      </c>
      <c r="B64" s="20" t="s">
        <v>65</v>
      </c>
      <c r="C64" s="102">
        <v>2215636</v>
      </c>
      <c r="D64" s="70">
        <v>2215636</v>
      </c>
      <c r="E64" s="70">
        <v>2215636</v>
      </c>
      <c r="F64" s="70">
        <v>2575264</v>
      </c>
      <c r="G64" s="70"/>
      <c r="H64" s="70">
        <v>1285134</v>
      </c>
      <c r="I64" s="70">
        <v>1713482</v>
      </c>
      <c r="J64" s="70">
        <v>2465919</v>
      </c>
      <c r="K64" s="16"/>
      <c r="L64" s="143">
        <f t="shared" ref="L64" si="59">+H64/C64</f>
        <v>0.58002939110936991</v>
      </c>
      <c r="M64" s="143">
        <f>+I64/D64</f>
        <v>0.77335898134892189</v>
      </c>
      <c r="N64" s="143">
        <f t="shared" ref="N64" si="60">+J64/E64</f>
        <v>1.1129621472119067</v>
      </c>
      <c r="O64" s="16"/>
      <c r="P64" s="83">
        <f t="shared" si="13"/>
        <v>0</v>
      </c>
      <c r="Q64" s="83">
        <f t="shared" si="14"/>
        <v>0</v>
      </c>
      <c r="R64" s="83">
        <f t="shared" si="15"/>
        <v>359628</v>
      </c>
      <c r="S64" s="83">
        <f t="shared" si="16"/>
        <v>359628</v>
      </c>
      <c r="T64" s="304">
        <f t="shared" si="17"/>
        <v>0.1623136652410414</v>
      </c>
      <c r="U64" s="126"/>
      <c r="V64" s="208">
        <f t="shared" si="22"/>
        <v>359628</v>
      </c>
    </row>
    <row r="65" spans="1:22" ht="38.25" x14ac:dyDescent="0.2">
      <c r="A65" s="20"/>
      <c r="B65" s="20" t="s">
        <v>66</v>
      </c>
      <c r="C65" s="102"/>
      <c r="D65" s="70"/>
      <c r="E65" s="70"/>
      <c r="F65" s="70"/>
      <c r="G65" s="70"/>
      <c r="H65" s="70"/>
      <c r="I65" s="70"/>
      <c r="J65" s="70"/>
      <c r="K65" s="16"/>
      <c r="L65" s="142"/>
      <c r="M65" s="142"/>
      <c r="N65" s="142"/>
      <c r="O65" s="16"/>
      <c r="P65" s="83">
        <f t="shared" si="13"/>
        <v>0</v>
      </c>
      <c r="Q65" s="83">
        <f t="shared" si="14"/>
        <v>0</v>
      </c>
      <c r="R65" s="83">
        <f t="shared" si="15"/>
        <v>0</v>
      </c>
      <c r="S65" s="83">
        <f t="shared" si="16"/>
        <v>0</v>
      </c>
      <c r="T65" s="304">
        <f t="shared" si="17"/>
        <v>0</v>
      </c>
      <c r="U65" s="126"/>
      <c r="V65" s="208">
        <f t="shared" si="22"/>
        <v>0</v>
      </c>
    </row>
    <row r="66" spans="1:22" x14ac:dyDescent="0.2">
      <c r="A66" s="40" t="s">
        <v>67</v>
      </c>
      <c r="B66" s="40" t="s">
        <v>68</v>
      </c>
      <c r="C66" s="404">
        <f>SUM(C67:C70)</f>
        <v>966260</v>
      </c>
      <c r="D66" s="404">
        <f t="shared" ref="D66:J66" si="61">SUM(D67:D70)</f>
        <v>456260</v>
      </c>
      <c r="E66" s="404">
        <f t="shared" si="61"/>
        <v>956260</v>
      </c>
      <c r="F66" s="404">
        <f t="shared" si="61"/>
        <v>1145003</v>
      </c>
      <c r="G66" s="404"/>
      <c r="H66" s="404">
        <f t="shared" si="61"/>
        <v>34011</v>
      </c>
      <c r="I66" s="404">
        <f t="shared" si="61"/>
        <v>708032</v>
      </c>
      <c r="J66" s="404">
        <f t="shared" si="61"/>
        <v>1145003</v>
      </c>
      <c r="K66" s="16"/>
      <c r="L66" s="142"/>
      <c r="M66" s="142"/>
      <c r="N66" s="142"/>
      <c r="O66" s="16"/>
      <c r="P66" s="83">
        <f t="shared" si="13"/>
        <v>-510000</v>
      </c>
      <c r="Q66" s="83">
        <f t="shared" si="14"/>
        <v>500000</v>
      </c>
      <c r="R66" s="83">
        <f t="shared" si="15"/>
        <v>188743</v>
      </c>
      <c r="S66" s="83">
        <f t="shared" si="16"/>
        <v>178743</v>
      </c>
      <c r="T66" s="304">
        <f t="shared" si="17"/>
        <v>0.18498437273611656</v>
      </c>
      <c r="U66" s="126"/>
      <c r="V66" s="208">
        <f t="shared" si="22"/>
        <v>188743</v>
      </c>
    </row>
    <row r="67" spans="1:22" x14ac:dyDescent="0.2">
      <c r="A67" s="20" t="s">
        <v>69</v>
      </c>
      <c r="B67" s="20" t="s">
        <v>70</v>
      </c>
      <c r="C67" s="102">
        <v>966260</v>
      </c>
      <c r="D67" s="70">
        <v>456260</v>
      </c>
      <c r="E67" s="70">
        <v>956260</v>
      </c>
      <c r="F67" s="70">
        <v>1145003</v>
      </c>
      <c r="G67" s="70"/>
      <c r="H67" s="70">
        <v>34011</v>
      </c>
      <c r="I67" s="70">
        <v>708032</v>
      </c>
      <c r="J67" s="70">
        <v>1145003</v>
      </c>
      <c r="K67" s="16"/>
      <c r="L67" s="143">
        <f t="shared" ref="L67" si="62">+H67/C67</f>
        <v>3.5198600790677458E-2</v>
      </c>
      <c r="M67" s="143">
        <f>+I67/D67</f>
        <v>1.5518169464778855</v>
      </c>
      <c r="N67" s="143">
        <f t="shared" ref="N67" si="63">+J67/E67</f>
        <v>1.1973762365883756</v>
      </c>
      <c r="O67" s="16"/>
      <c r="P67" s="83">
        <f t="shared" si="13"/>
        <v>-510000</v>
      </c>
      <c r="Q67" s="83">
        <f t="shared" si="14"/>
        <v>500000</v>
      </c>
      <c r="R67" s="83">
        <f t="shared" si="15"/>
        <v>188743</v>
      </c>
      <c r="S67" s="83">
        <f t="shared" si="16"/>
        <v>178743</v>
      </c>
      <c r="T67" s="304">
        <f t="shared" si="17"/>
        <v>0.18498437273611656</v>
      </c>
      <c r="U67" s="126"/>
      <c r="V67" s="208">
        <f t="shared" si="22"/>
        <v>188743</v>
      </c>
    </row>
    <row r="68" spans="1:22" ht="38.25" x14ac:dyDescent="0.2">
      <c r="A68" s="20"/>
      <c r="B68" s="20" t="s">
        <v>71</v>
      </c>
      <c r="C68" s="102"/>
      <c r="D68" s="70"/>
      <c r="E68" s="70"/>
      <c r="F68" s="70"/>
      <c r="G68" s="70"/>
      <c r="H68" s="70"/>
      <c r="I68" s="70"/>
      <c r="J68" s="70"/>
      <c r="K68" s="16"/>
      <c r="L68" s="142"/>
      <c r="M68" s="142"/>
      <c r="N68" s="142"/>
      <c r="O68" s="16"/>
      <c r="P68" s="83">
        <f t="shared" si="13"/>
        <v>0</v>
      </c>
      <c r="Q68" s="83">
        <f t="shared" si="14"/>
        <v>0</v>
      </c>
      <c r="R68" s="83">
        <f t="shared" si="15"/>
        <v>0</v>
      </c>
      <c r="S68" s="83">
        <f t="shared" si="16"/>
        <v>0</v>
      </c>
      <c r="T68" s="304">
        <f t="shared" si="17"/>
        <v>0</v>
      </c>
      <c r="U68" s="126"/>
      <c r="V68" s="208">
        <f t="shared" si="22"/>
        <v>0</v>
      </c>
    </row>
    <row r="69" spans="1:22" x14ac:dyDescent="0.2">
      <c r="A69" s="20" t="s">
        <v>72</v>
      </c>
      <c r="B69" s="20" t="s">
        <v>100</v>
      </c>
      <c r="C69" s="102">
        <v>0</v>
      </c>
      <c r="D69" s="70">
        <v>0</v>
      </c>
      <c r="E69" s="70">
        <v>0</v>
      </c>
      <c r="F69" s="70">
        <v>0</v>
      </c>
      <c r="G69" s="70"/>
      <c r="H69" s="70">
        <v>0</v>
      </c>
      <c r="I69" s="70">
        <v>0</v>
      </c>
      <c r="J69" s="70"/>
      <c r="K69" s="16"/>
      <c r="L69" s="143" t="e">
        <f t="shared" ref="L69" si="64">+H69/C69</f>
        <v>#DIV/0!</v>
      </c>
      <c r="M69" s="143" t="e">
        <f>+I69/D69</f>
        <v>#DIV/0!</v>
      </c>
      <c r="N69" s="143" t="e">
        <f t="shared" ref="N69" si="65">+J69/E69</f>
        <v>#DIV/0!</v>
      </c>
      <c r="O69" s="16"/>
      <c r="P69" s="83">
        <f t="shared" si="13"/>
        <v>0</v>
      </c>
      <c r="Q69" s="83">
        <f t="shared" si="14"/>
        <v>0</v>
      </c>
      <c r="R69" s="83">
        <f t="shared" si="15"/>
        <v>0</v>
      </c>
      <c r="S69" s="83">
        <f t="shared" si="16"/>
        <v>0</v>
      </c>
      <c r="T69" s="304">
        <f t="shared" si="17"/>
        <v>0</v>
      </c>
      <c r="U69" s="126"/>
      <c r="V69" s="208">
        <f t="shared" si="22"/>
        <v>0</v>
      </c>
    </row>
    <row r="70" spans="1:22" ht="26.45" customHeight="1" x14ac:dyDescent="0.2">
      <c r="A70" s="20"/>
      <c r="B70" s="20" t="s">
        <v>73</v>
      </c>
      <c r="C70" s="102"/>
      <c r="D70" s="70"/>
      <c r="E70" s="70"/>
      <c r="F70" s="70"/>
      <c r="G70" s="70"/>
      <c r="H70" s="70"/>
      <c r="I70" s="70"/>
      <c r="J70" s="70"/>
      <c r="K70" s="16"/>
      <c r="L70" s="142"/>
      <c r="M70" s="142"/>
      <c r="N70" s="142"/>
      <c r="O70" s="16"/>
      <c r="P70" s="83">
        <f t="shared" si="13"/>
        <v>0</v>
      </c>
      <c r="Q70" s="83">
        <f t="shared" si="14"/>
        <v>0</v>
      </c>
      <c r="R70" s="83">
        <f t="shared" si="15"/>
        <v>0</v>
      </c>
      <c r="S70" s="83">
        <f t="shared" si="16"/>
        <v>0</v>
      </c>
      <c r="T70" s="304">
        <f t="shared" si="17"/>
        <v>0</v>
      </c>
      <c r="U70" s="126"/>
      <c r="V70" s="208">
        <f t="shared" si="22"/>
        <v>0</v>
      </c>
    </row>
    <row r="71" spans="1:22" x14ac:dyDescent="0.2">
      <c r="A71" s="20" t="s">
        <v>74</v>
      </c>
      <c r="B71" s="20" t="s">
        <v>75</v>
      </c>
      <c r="C71" s="404">
        <f>SUM(C72:C81)</f>
        <v>1875828</v>
      </c>
      <c r="D71" s="404">
        <f t="shared" ref="D71:J71" si="66">SUM(D72:D81)</f>
        <v>1885828</v>
      </c>
      <c r="E71" s="404">
        <f t="shared" si="66"/>
        <v>1885828</v>
      </c>
      <c r="F71" s="404">
        <f t="shared" si="66"/>
        <v>1723302</v>
      </c>
      <c r="G71" s="404"/>
      <c r="H71" s="404">
        <f t="shared" si="66"/>
        <v>1034784</v>
      </c>
      <c r="I71" s="404">
        <f t="shared" si="66"/>
        <v>1487590</v>
      </c>
      <c r="J71" s="404">
        <f t="shared" si="66"/>
        <v>1639750</v>
      </c>
      <c r="K71" s="16"/>
      <c r="L71" s="142"/>
      <c r="M71" s="142"/>
      <c r="N71" s="142"/>
      <c r="O71" s="16"/>
      <c r="P71" s="83">
        <f t="shared" si="13"/>
        <v>10000</v>
      </c>
      <c r="Q71" s="83">
        <f t="shared" si="14"/>
        <v>0</v>
      </c>
      <c r="R71" s="83">
        <f t="shared" si="15"/>
        <v>-162526</v>
      </c>
      <c r="S71" s="83">
        <f t="shared" si="16"/>
        <v>-152526</v>
      </c>
      <c r="T71" s="304">
        <f t="shared" si="17"/>
        <v>-8.1311292933040763E-2</v>
      </c>
      <c r="U71" s="126"/>
      <c r="V71" s="208">
        <f t="shared" si="22"/>
        <v>-162526</v>
      </c>
    </row>
    <row r="72" spans="1:22" x14ac:dyDescent="0.2">
      <c r="A72" s="20" t="s">
        <v>76</v>
      </c>
      <c r="B72" s="20" t="s">
        <v>77</v>
      </c>
      <c r="C72" s="102">
        <v>1399096</v>
      </c>
      <c r="D72" s="187">
        <v>1399096</v>
      </c>
      <c r="E72" s="70">
        <v>1399096</v>
      </c>
      <c r="F72" s="70">
        <v>1236570</v>
      </c>
      <c r="G72" s="70"/>
      <c r="H72" s="70">
        <v>807333</v>
      </c>
      <c r="I72" s="70">
        <v>1033341</v>
      </c>
      <c r="J72" s="70">
        <v>1183725</v>
      </c>
      <c r="K72" s="16"/>
      <c r="L72" s="143">
        <f t="shared" ref="L72" si="67">+H72/C72</f>
        <v>0.57703903091710651</v>
      </c>
      <c r="M72" s="143">
        <f>+I72/D72</f>
        <v>0.73857762440890407</v>
      </c>
      <c r="N72" s="143">
        <f t="shared" ref="N72" si="68">+J72/E72</f>
        <v>0.84606417286590774</v>
      </c>
      <c r="O72" s="16"/>
      <c r="P72" s="83">
        <f t="shared" si="13"/>
        <v>0</v>
      </c>
      <c r="Q72" s="83">
        <f t="shared" si="14"/>
        <v>0</v>
      </c>
      <c r="R72" s="83">
        <f t="shared" si="15"/>
        <v>-162526</v>
      </c>
      <c r="S72" s="83">
        <f t="shared" si="16"/>
        <v>-162526</v>
      </c>
      <c r="T72" s="304">
        <f t="shared" si="17"/>
        <v>-0.11616500940607363</v>
      </c>
      <c r="U72" s="126"/>
      <c r="V72" s="208">
        <f t="shared" si="22"/>
        <v>-162526</v>
      </c>
    </row>
    <row r="73" spans="1:22" x14ac:dyDescent="0.2">
      <c r="A73" s="20"/>
      <c r="B73" s="20" t="s">
        <v>78</v>
      </c>
      <c r="C73" s="102"/>
      <c r="D73" s="70"/>
      <c r="E73" s="70"/>
      <c r="F73" s="70"/>
      <c r="G73" s="70"/>
      <c r="H73" s="70"/>
      <c r="I73" s="70"/>
      <c r="J73" s="70"/>
      <c r="K73" s="16"/>
      <c r="L73" s="142"/>
      <c r="M73" s="142"/>
      <c r="N73" s="142"/>
      <c r="O73" s="16"/>
      <c r="P73" s="83">
        <f t="shared" si="13"/>
        <v>0</v>
      </c>
      <c r="Q73" s="83">
        <f t="shared" si="14"/>
        <v>0</v>
      </c>
      <c r="R73" s="83">
        <f t="shared" si="15"/>
        <v>0</v>
      </c>
      <c r="S73" s="83">
        <f t="shared" si="16"/>
        <v>0</v>
      </c>
      <c r="T73" s="304">
        <f t="shared" si="17"/>
        <v>0</v>
      </c>
      <c r="U73" s="126"/>
      <c r="V73" s="208">
        <f t="shared" si="22"/>
        <v>0</v>
      </c>
    </row>
    <row r="74" spans="1:22" x14ac:dyDescent="0.2">
      <c r="A74" s="20" t="s">
        <v>79</v>
      </c>
      <c r="B74" s="20" t="s">
        <v>80</v>
      </c>
      <c r="C74" s="102">
        <v>11000</v>
      </c>
      <c r="D74" s="70">
        <v>21000</v>
      </c>
      <c r="E74" s="70">
        <v>21000</v>
      </c>
      <c r="F74" s="70">
        <v>21000</v>
      </c>
      <c r="G74" s="70"/>
      <c r="H74" s="70">
        <v>0</v>
      </c>
      <c r="I74" s="70">
        <v>0</v>
      </c>
      <c r="J74" s="70">
        <v>0</v>
      </c>
      <c r="K74" s="16"/>
      <c r="L74" s="142"/>
      <c r="M74" s="142"/>
      <c r="N74" s="142"/>
      <c r="O74" s="16"/>
      <c r="P74" s="83">
        <f t="shared" si="13"/>
        <v>10000</v>
      </c>
      <c r="Q74" s="83">
        <f t="shared" si="14"/>
        <v>0</v>
      </c>
      <c r="R74" s="83">
        <f t="shared" si="15"/>
        <v>0</v>
      </c>
      <c r="S74" s="83">
        <f t="shared" si="16"/>
        <v>10000</v>
      </c>
      <c r="T74" s="304">
        <f t="shared" si="17"/>
        <v>0.90909090909090906</v>
      </c>
      <c r="U74" s="126"/>
      <c r="V74" s="208">
        <f t="shared" si="22"/>
        <v>0</v>
      </c>
    </row>
    <row r="75" spans="1:22" ht="25.5" x14ac:dyDescent="0.2">
      <c r="A75" s="20"/>
      <c r="B75" s="20" t="s">
        <v>101</v>
      </c>
      <c r="C75" s="102"/>
      <c r="D75" s="70"/>
      <c r="E75" s="70"/>
      <c r="F75" s="70"/>
      <c r="G75" s="70"/>
      <c r="H75" s="70"/>
      <c r="I75" s="70"/>
      <c r="J75" s="70"/>
      <c r="K75" s="16"/>
      <c r="L75" s="142"/>
      <c r="M75" s="142"/>
      <c r="N75" s="142"/>
      <c r="O75" s="16"/>
      <c r="P75" s="83">
        <f t="shared" si="13"/>
        <v>0</v>
      </c>
      <c r="Q75" s="83">
        <f t="shared" si="14"/>
        <v>0</v>
      </c>
      <c r="R75" s="83">
        <f t="shared" si="15"/>
        <v>0</v>
      </c>
      <c r="S75" s="83">
        <f t="shared" si="16"/>
        <v>0</v>
      </c>
      <c r="T75" s="304">
        <f t="shared" si="17"/>
        <v>0</v>
      </c>
      <c r="U75" s="126"/>
      <c r="V75" s="208">
        <f t="shared" si="22"/>
        <v>0</v>
      </c>
    </row>
    <row r="76" spans="1:22" x14ac:dyDescent="0.2">
      <c r="A76" s="20" t="s">
        <v>81</v>
      </c>
      <c r="B76" s="20" t="s">
        <v>82</v>
      </c>
      <c r="C76" s="102"/>
      <c r="D76" s="70"/>
      <c r="E76" s="70"/>
      <c r="F76" s="70"/>
      <c r="G76" s="70"/>
      <c r="H76" s="70"/>
      <c r="I76" s="70"/>
      <c r="J76" s="70"/>
      <c r="K76" s="16"/>
      <c r="L76" s="142"/>
      <c r="M76" s="142"/>
      <c r="N76" s="142"/>
      <c r="O76" s="16"/>
      <c r="P76" s="83">
        <f t="shared" si="13"/>
        <v>0</v>
      </c>
      <c r="Q76" s="83">
        <f t="shared" si="14"/>
        <v>0</v>
      </c>
      <c r="R76" s="83">
        <f t="shared" si="15"/>
        <v>0</v>
      </c>
      <c r="S76" s="83">
        <f t="shared" si="16"/>
        <v>0</v>
      </c>
      <c r="T76" s="304">
        <f t="shared" si="17"/>
        <v>0</v>
      </c>
      <c r="U76" s="126"/>
      <c r="V76" s="208">
        <f t="shared" si="22"/>
        <v>0</v>
      </c>
    </row>
    <row r="77" spans="1:22" ht="25.5" x14ac:dyDescent="0.2">
      <c r="A77" s="20"/>
      <c r="B77" s="20" t="s">
        <v>106</v>
      </c>
      <c r="C77" s="102"/>
      <c r="D77" s="70"/>
      <c r="E77" s="70"/>
      <c r="F77" s="70"/>
      <c r="G77" s="70"/>
      <c r="H77" s="70"/>
      <c r="I77" s="70"/>
      <c r="J77" s="70"/>
      <c r="K77" s="16"/>
      <c r="L77" s="142"/>
      <c r="M77" s="142"/>
      <c r="N77" s="142"/>
      <c r="O77" s="16"/>
      <c r="P77" s="83">
        <f t="shared" ref="P77:P80" si="69">+(D77-C77)*P$10</f>
        <v>0</v>
      </c>
      <c r="Q77" s="83">
        <f t="shared" ref="Q77:Q80" si="70">+(E77-D77)*Q$10</f>
        <v>0</v>
      </c>
      <c r="R77" s="83">
        <f t="shared" ref="R77:R80" si="71">+(F77-E77)*R$10</f>
        <v>0</v>
      </c>
      <c r="S77" s="83">
        <f t="shared" ref="S77:S80" si="72">SUM(P77:R77)</f>
        <v>0</v>
      </c>
      <c r="T77" s="304">
        <f t="shared" ref="T77:T99" si="73">IF(C77=0,0,+S77/C77)</f>
        <v>0</v>
      </c>
      <c r="U77" s="126"/>
      <c r="V77" s="208">
        <f t="shared" ref="V77:V80" si="74">+S77-E77+C77</f>
        <v>0</v>
      </c>
    </row>
    <row r="78" spans="1:22" x14ac:dyDescent="0.2">
      <c r="A78" s="20" t="s">
        <v>84</v>
      </c>
      <c r="B78" s="20" t="s">
        <v>85</v>
      </c>
      <c r="C78" s="102"/>
      <c r="D78" s="70"/>
      <c r="E78" s="70"/>
      <c r="F78" s="70"/>
      <c r="G78" s="70"/>
      <c r="H78" s="70"/>
      <c r="I78" s="70"/>
      <c r="J78" s="70"/>
      <c r="K78" s="16"/>
      <c r="L78" s="142"/>
      <c r="M78" s="142"/>
      <c r="N78" s="142"/>
      <c r="O78" s="16"/>
      <c r="P78" s="83">
        <f t="shared" si="69"/>
        <v>0</v>
      </c>
      <c r="Q78" s="83">
        <f t="shared" si="70"/>
        <v>0</v>
      </c>
      <c r="R78" s="83">
        <f t="shared" si="71"/>
        <v>0</v>
      </c>
      <c r="S78" s="83">
        <f t="shared" si="72"/>
        <v>0</v>
      </c>
      <c r="T78" s="304">
        <f t="shared" si="73"/>
        <v>0</v>
      </c>
      <c r="U78" s="126"/>
      <c r="V78" s="208">
        <f t="shared" si="74"/>
        <v>0</v>
      </c>
    </row>
    <row r="79" spans="1:22" x14ac:dyDescent="0.2">
      <c r="A79" s="20"/>
      <c r="B79" s="20" t="s">
        <v>86</v>
      </c>
      <c r="C79" s="102"/>
      <c r="D79" s="70"/>
      <c r="E79" s="70"/>
      <c r="F79" s="70"/>
      <c r="G79" s="70"/>
      <c r="H79" s="70"/>
      <c r="I79" s="70"/>
      <c r="J79" s="70"/>
      <c r="K79" s="16"/>
      <c r="L79" s="142"/>
      <c r="M79" s="142"/>
      <c r="N79" s="142"/>
      <c r="O79" s="16"/>
      <c r="P79" s="83">
        <f t="shared" si="69"/>
        <v>0</v>
      </c>
      <c r="Q79" s="83">
        <f t="shared" si="70"/>
        <v>0</v>
      </c>
      <c r="R79" s="83">
        <f t="shared" si="71"/>
        <v>0</v>
      </c>
      <c r="S79" s="83">
        <f t="shared" si="72"/>
        <v>0</v>
      </c>
      <c r="T79" s="304">
        <f t="shared" si="73"/>
        <v>0</v>
      </c>
      <c r="U79" s="126"/>
      <c r="V79" s="208">
        <f t="shared" si="74"/>
        <v>0</v>
      </c>
    </row>
    <row r="80" spans="1:22" x14ac:dyDescent="0.2">
      <c r="A80" s="20" t="s">
        <v>87</v>
      </c>
      <c r="B80" s="20" t="s">
        <v>88</v>
      </c>
      <c r="C80" s="102">
        <v>465732</v>
      </c>
      <c r="D80" s="70">
        <v>465732</v>
      </c>
      <c r="E80" s="70">
        <v>465732</v>
      </c>
      <c r="F80" s="70">
        <v>465732</v>
      </c>
      <c r="G80" s="70"/>
      <c r="H80" s="70">
        <v>227451</v>
      </c>
      <c r="I80" s="70">
        <v>454249</v>
      </c>
      <c r="J80" s="70">
        <v>456025</v>
      </c>
      <c r="K80" s="16"/>
      <c r="L80" s="143">
        <f t="shared" ref="L80" si="75">+H80/C80</f>
        <v>0.48837314163510342</v>
      </c>
      <c r="M80" s="143">
        <f>+I80/D80</f>
        <v>0.97534418936212242</v>
      </c>
      <c r="N80" s="143">
        <f t="shared" ref="N80" si="76">+J80/E80</f>
        <v>0.97915754124689736</v>
      </c>
      <c r="O80" s="16"/>
      <c r="P80" s="83">
        <f t="shared" si="69"/>
        <v>0</v>
      </c>
      <c r="Q80" s="83">
        <f t="shared" si="70"/>
        <v>0</v>
      </c>
      <c r="R80" s="83">
        <f t="shared" si="71"/>
        <v>0</v>
      </c>
      <c r="S80" s="83">
        <f t="shared" si="72"/>
        <v>0</v>
      </c>
      <c r="T80" s="304">
        <f t="shared" si="73"/>
        <v>0</v>
      </c>
      <c r="U80" s="126"/>
      <c r="V80" s="208">
        <f t="shared" si="74"/>
        <v>0</v>
      </c>
    </row>
    <row r="81" spans="1:24" ht="45.6" customHeight="1" x14ac:dyDescent="0.2">
      <c r="A81" s="20"/>
      <c r="B81" s="20" t="s">
        <v>92</v>
      </c>
      <c r="C81" s="102"/>
      <c r="D81" s="70"/>
      <c r="E81" s="70"/>
      <c r="F81" s="70"/>
      <c r="G81" s="70"/>
      <c r="H81" s="70"/>
      <c r="I81" s="70"/>
      <c r="J81" s="70"/>
      <c r="K81" s="16"/>
      <c r="L81" s="142"/>
      <c r="M81" s="142"/>
      <c r="N81" s="142"/>
      <c r="O81" s="16"/>
      <c r="P81" s="83">
        <f>+(D81-C81)*P$10</f>
        <v>0</v>
      </c>
      <c r="Q81" s="83">
        <f>+(E81-D81)*Q$10</f>
        <v>0</v>
      </c>
      <c r="R81" s="83">
        <f>+(F81-E81)*R$10</f>
        <v>0</v>
      </c>
      <c r="S81" s="83">
        <f t="shared" ref="S81:S82" si="77">SUM(P81:R81)</f>
        <v>0</v>
      </c>
      <c r="T81" s="304">
        <f t="shared" si="73"/>
        <v>0</v>
      </c>
      <c r="U81" s="126"/>
      <c r="V81" s="208">
        <f t="shared" ref="V81:V82" si="78">+S81-E81+C81</f>
        <v>0</v>
      </c>
    </row>
    <row r="82" spans="1:24" x14ac:dyDescent="0.2">
      <c r="A82" s="20"/>
      <c r="B82" s="20"/>
      <c r="C82" s="123"/>
      <c r="D82" s="70"/>
      <c r="E82" s="70"/>
      <c r="F82" s="70"/>
      <c r="G82" s="70"/>
      <c r="H82" s="70"/>
      <c r="I82" s="70"/>
      <c r="J82" s="70"/>
      <c r="K82" s="16"/>
      <c r="L82" s="143" t="e">
        <f t="shared" ref="L82" si="79">+H82/C82</f>
        <v>#DIV/0!</v>
      </c>
      <c r="M82" s="143" t="e">
        <f t="shared" ref="M82:M89" si="80">+I82/D82</f>
        <v>#DIV/0!</v>
      </c>
      <c r="N82" s="143" t="e">
        <f t="shared" ref="N82" si="81">+J82/E82</f>
        <v>#DIV/0!</v>
      </c>
      <c r="O82" s="16"/>
      <c r="P82" s="83">
        <f t="shared" ref="P82" si="82">+(D82-C82)*P$10</f>
        <v>0</v>
      </c>
      <c r="Q82" s="83">
        <f t="shared" ref="Q82" si="83">+(E82-D82)*Q$10</f>
        <v>0</v>
      </c>
      <c r="R82" s="83">
        <f t="shared" ref="R82" si="84">+(F82-E82)*R$10</f>
        <v>0</v>
      </c>
      <c r="S82" s="83">
        <f t="shared" si="77"/>
        <v>0</v>
      </c>
      <c r="T82" s="304">
        <f t="shared" si="73"/>
        <v>0</v>
      </c>
      <c r="U82" s="126"/>
      <c r="V82" s="208">
        <f t="shared" si="78"/>
        <v>0</v>
      </c>
    </row>
    <row r="83" spans="1:24" s="43" customFormat="1" x14ac:dyDescent="0.2">
      <c r="A83" s="3" t="s">
        <v>158</v>
      </c>
      <c r="B83" s="3" t="s">
        <v>159</v>
      </c>
      <c r="C83" s="206">
        <f>SUM(C84)</f>
        <v>1324900</v>
      </c>
      <c r="D83" s="96">
        <f>SUM(D84)</f>
        <v>1324900</v>
      </c>
      <c r="E83" s="96">
        <f>SUM(E84)</f>
        <v>1324900</v>
      </c>
      <c r="F83" s="96">
        <f>SUM(F84)</f>
        <v>1617945</v>
      </c>
      <c r="G83" s="96"/>
      <c r="H83" s="96">
        <f>SUM(H84)</f>
        <v>700659</v>
      </c>
      <c r="I83" s="96">
        <f>+I84</f>
        <v>786949</v>
      </c>
      <c r="J83" s="96">
        <f>+J84</f>
        <v>1617945</v>
      </c>
      <c r="K83" s="33"/>
      <c r="L83" s="316">
        <f t="shared" ref="L83:L89" si="85">+H83/C83</f>
        <v>0.52883915767227718</v>
      </c>
      <c r="M83" s="316">
        <f t="shared" si="80"/>
        <v>0.59396860140387953</v>
      </c>
      <c r="N83" s="316">
        <f t="shared" ref="N83:N89" si="86">+J83/E83</f>
        <v>1.2211827307721337</v>
      </c>
      <c r="O83" s="33"/>
      <c r="P83" s="324">
        <f t="shared" ref="P83:P85" si="87">+(D83-C83)*P$10</f>
        <v>0</v>
      </c>
      <c r="Q83" s="324">
        <f t="shared" ref="Q83:Q85" si="88">+(E83-D83)*Q$10</f>
        <v>0</v>
      </c>
      <c r="R83" s="324">
        <f t="shared" ref="R83:R85" si="89">+(F83-E83)*R$10</f>
        <v>293045</v>
      </c>
      <c r="S83" s="324">
        <f t="shared" ref="S83:S85" si="90">SUM(P83:R83)</f>
        <v>293045</v>
      </c>
      <c r="T83" s="305">
        <f t="shared" ref="T83:T85" si="91">IF(C83=0,0,+S83/C83)</f>
        <v>0.22118273077213374</v>
      </c>
      <c r="U83" s="126"/>
      <c r="V83" s="208">
        <f t="shared" ref="V83:V85" si="92">+S83-E83+C83</f>
        <v>293045</v>
      </c>
    </row>
    <row r="84" spans="1:24" x14ac:dyDescent="0.2">
      <c r="A84" s="513"/>
      <c r="B84" s="513" t="s">
        <v>475</v>
      </c>
      <c r="C84" s="123">
        <v>1324900</v>
      </c>
      <c r="D84" s="70">
        <v>1324900</v>
      </c>
      <c r="E84" s="70">
        <f>520000+523200+281700</f>
        <v>1324900</v>
      </c>
      <c r="F84" s="70">
        <v>1617945</v>
      </c>
      <c r="G84" s="70"/>
      <c r="H84" s="70">
        <v>700659</v>
      </c>
      <c r="I84" s="187">
        <f>519574+100071+167304</f>
        <v>786949</v>
      </c>
      <c r="J84" s="70">
        <v>1617945</v>
      </c>
      <c r="K84" s="16"/>
      <c r="L84" s="143">
        <f t="shared" si="85"/>
        <v>0.52883915767227718</v>
      </c>
      <c r="M84" s="143">
        <f t="shared" si="80"/>
        <v>0.59396860140387953</v>
      </c>
      <c r="N84" s="143">
        <f t="shared" si="86"/>
        <v>1.2211827307721337</v>
      </c>
      <c r="O84" s="16"/>
      <c r="P84" s="83">
        <f t="shared" si="87"/>
        <v>0</v>
      </c>
      <c r="Q84" s="83">
        <f t="shared" si="88"/>
        <v>0</v>
      </c>
      <c r="R84" s="83">
        <f t="shared" si="89"/>
        <v>293045</v>
      </c>
      <c r="S84" s="83">
        <f t="shared" si="90"/>
        <v>293045</v>
      </c>
      <c r="T84" s="304">
        <f t="shared" si="91"/>
        <v>0.22118273077213374</v>
      </c>
      <c r="U84" s="126"/>
      <c r="V84" s="208">
        <f t="shared" si="92"/>
        <v>293045</v>
      </c>
    </row>
    <row r="85" spans="1:24" x14ac:dyDescent="0.2">
      <c r="A85" s="20"/>
      <c r="B85" s="20"/>
      <c r="C85" s="123"/>
      <c r="D85" s="70"/>
      <c r="E85" s="70"/>
      <c r="F85" s="70"/>
      <c r="G85" s="70"/>
      <c r="H85" s="70"/>
      <c r="I85" s="70"/>
      <c r="J85" s="70"/>
      <c r="K85" s="16"/>
      <c r="L85" s="143" t="e">
        <f t="shared" si="85"/>
        <v>#DIV/0!</v>
      </c>
      <c r="M85" s="143" t="e">
        <f t="shared" si="80"/>
        <v>#DIV/0!</v>
      </c>
      <c r="N85" s="143" t="e">
        <f t="shared" si="86"/>
        <v>#DIV/0!</v>
      </c>
      <c r="O85" s="16"/>
      <c r="P85" s="83">
        <f t="shared" si="87"/>
        <v>0</v>
      </c>
      <c r="Q85" s="83">
        <f t="shared" si="88"/>
        <v>0</v>
      </c>
      <c r="R85" s="83">
        <f t="shared" si="89"/>
        <v>0</v>
      </c>
      <c r="S85" s="83">
        <f t="shared" si="90"/>
        <v>0</v>
      </c>
      <c r="T85" s="304">
        <f t="shared" si="91"/>
        <v>0</v>
      </c>
      <c r="U85" s="126"/>
      <c r="V85" s="208">
        <f t="shared" si="92"/>
        <v>0</v>
      </c>
    </row>
    <row r="86" spans="1:24" s="43" customFormat="1" x14ac:dyDescent="0.2">
      <c r="A86" s="3" t="s">
        <v>173</v>
      </c>
      <c r="B86" s="3" t="s">
        <v>174</v>
      </c>
      <c r="C86" s="206">
        <f>SUM(C87)</f>
        <v>0</v>
      </c>
      <c r="D86" s="96">
        <f>SUM(D87)</f>
        <v>0</v>
      </c>
      <c r="E86" s="96">
        <f>SUM(E87)</f>
        <v>0</v>
      </c>
      <c r="F86" s="96">
        <f>SUM(F87)</f>
        <v>0</v>
      </c>
      <c r="G86" s="96"/>
      <c r="H86" s="96">
        <f>SUM(H87)</f>
        <v>0</v>
      </c>
      <c r="I86" s="96">
        <f>+I87</f>
        <v>0</v>
      </c>
      <c r="J86" s="96">
        <f>+J87</f>
        <v>0</v>
      </c>
      <c r="K86" s="33"/>
      <c r="L86" s="316" t="e">
        <f t="shared" ref="L86:L88" si="93">+H86/C86</f>
        <v>#DIV/0!</v>
      </c>
      <c r="M86" s="316" t="e">
        <f t="shared" si="80"/>
        <v>#DIV/0!</v>
      </c>
      <c r="N86" s="316" t="e">
        <f t="shared" ref="N86:N88" si="94">+J86/E86</f>
        <v>#DIV/0!</v>
      </c>
      <c r="O86" s="33"/>
      <c r="P86" s="324">
        <f t="shared" ref="P86:P88" si="95">+(D86-C86)*P$10</f>
        <v>0</v>
      </c>
      <c r="Q86" s="324">
        <f t="shared" ref="Q86:Q88" si="96">+(E86-D86)*Q$10</f>
        <v>0</v>
      </c>
      <c r="R86" s="324">
        <f t="shared" ref="R86:R88" si="97">+(F86-E86)*R$10</f>
        <v>0</v>
      </c>
      <c r="S86" s="324">
        <f t="shared" ref="S86:S88" si="98">SUM(P86:R86)</f>
        <v>0</v>
      </c>
      <c r="T86" s="305">
        <f t="shared" ref="T86:T88" si="99">IF(C86=0,0,+S86/C86)</f>
        <v>0</v>
      </c>
      <c r="U86" s="126"/>
      <c r="V86" s="208">
        <f t="shared" ref="V86:V88" si="100">+S86-E86+C86</f>
        <v>0</v>
      </c>
    </row>
    <row r="87" spans="1:24" x14ac:dyDescent="0.2">
      <c r="A87" s="513"/>
      <c r="B87" s="513"/>
      <c r="C87" s="123"/>
      <c r="D87" s="70"/>
      <c r="E87" s="70"/>
      <c r="F87" s="70"/>
      <c r="G87" s="70"/>
      <c r="H87" s="70"/>
      <c r="I87" s="187"/>
      <c r="J87" s="70"/>
      <c r="K87" s="16"/>
      <c r="L87" s="143" t="e">
        <f t="shared" si="93"/>
        <v>#DIV/0!</v>
      </c>
      <c r="M87" s="143" t="e">
        <f t="shared" si="80"/>
        <v>#DIV/0!</v>
      </c>
      <c r="N87" s="143" t="e">
        <f t="shared" si="94"/>
        <v>#DIV/0!</v>
      </c>
      <c r="O87" s="16"/>
      <c r="P87" s="83">
        <f t="shared" si="95"/>
        <v>0</v>
      </c>
      <c r="Q87" s="83">
        <f t="shared" si="96"/>
        <v>0</v>
      </c>
      <c r="R87" s="83">
        <f t="shared" si="97"/>
        <v>0</v>
      </c>
      <c r="S87" s="83">
        <f t="shared" si="98"/>
        <v>0</v>
      </c>
      <c r="T87" s="304">
        <f t="shared" si="99"/>
        <v>0</v>
      </c>
      <c r="U87" s="126"/>
      <c r="V87" s="208">
        <f t="shared" si="100"/>
        <v>0</v>
      </c>
    </row>
    <row r="88" spans="1:24" hidden="1" x14ac:dyDescent="0.2">
      <c r="A88" s="20"/>
      <c r="B88" s="20"/>
      <c r="C88" s="123"/>
      <c r="D88" s="70"/>
      <c r="E88" s="70"/>
      <c r="F88" s="70"/>
      <c r="G88" s="70"/>
      <c r="H88" s="70"/>
      <c r="I88" s="70"/>
      <c r="J88" s="70"/>
      <c r="K88" s="16"/>
      <c r="L88" s="143" t="e">
        <f t="shared" si="93"/>
        <v>#DIV/0!</v>
      </c>
      <c r="M88" s="143" t="e">
        <f t="shared" si="80"/>
        <v>#DIV/0!</v>
      </c>
      <c r="N88" s="143" t="e">
        <f t="shared" si="94"/>
        <v>#DIV/0!</v>
      </c>
      <c r="O88" s="16"/>
      <c r="P88" s="83">
        <f t="shared" si="95"/>
        <v>0</v>
      </c>
      <c r="Q88" s="83">
        <f t="shared" si="96"/>
        <v>0</v>
      </c>
      <c r="R88" s="83">
        <f t="shared" si="97"/>
        <v>0</v>
      </c>
      <c r="S88" s="83">
        <f t="shared" si="98"/>
        <v>0</v>
      </c>
      <c r="T88" s="304">
        <f t="shared" si="99"/>
        <v>0</v>
      </c>
      <c r="U88" s="126"/>
      <c r="V88" s="208">
        <f t="shared" si="100"/>
        <v>0</v>
      </c>
    </row>
    <row r="89" spans="1:24" ht="18" customHeight="1" x14ac:dyDescent="0.2">
      <c r="A89" s="5"/>
      <c r="B89" s="501" t="s">
        <v>378</v>
      </c>
      <c r="C89" s="509">
        <f>C13+C29+C32+C83+C86</f>
        <v>113342899</v>
      </c>
      <c r="D89" s="509">
        <f>D13+D29+D32+D83+D86</f>
        <v>113342899</v>
      </c>
      <c r="E89" s="509">
        <f>E13+E29+E32+E83+E86</f>
        <v>113614175</v>
      </c>
      <c r="F89" s="509">
        <f>F13+F29+F32+F83+F86</f>
        <v>113924941</v>
      </c>
      <c r="G89" s="509"/>
      <c r="H89" s="509">
        <f>H13+H29+H32+H83+H86</f>
        <v>53128260</v>
      </c>
      <c r="I89" s="509">
        <f>I13+I29+I32+I83+I86</f>
        <v>79755826</v>
      </c>
      <c r="J89" s="509">
        <f>J13+J29+J32+J83+J86</f>
        <v>106938498</v>
      </c>
      <c r="K89" s="6"/>
      <c r="L89" s="89">
        <f t="shared" si="85"/>
        <v>0.46873920173861089</v>
      </c>
      <c r="M89" s="89">
        <f t="shared" si="80"/>
        <v>0.70366848478085953</v>
      </c>
      <c r="N89" s="89">
        <f t="shared" si="86"/>
        <v>0.94124256942410578</v>
      </c>
      <c r="O89" s="6"/>
      <c r="P89" s="509">
        <f>+(D89-C89)*P$10</f>
        <v>0</v>
      </c>
      <c r="Q89" s="509">
        <f>+(E89-D89)*Q$10</f>
        <v>271276</v>
      </c>
      <c r="R89" s="509">
        <f>+(F89-E89)*R$10</f>
        <v>310766</v>
      </c>
      <c r="S89" s="509">
        <f t="shared" ref="S89:S102" si="101">SUM(P89:R89)</f>
        <v>582042</v>
      </c>
      <c r="T89" s="305">
        <f t="shared" si="73"/>
        <v>5.1352312772589307E-3</v>
      </c>
      <c r="U89" s="126"/>
      <c r="V89" s="208">
        <f t="shared" ref="V89:V102" si="102">+S89-E89+C89</f>
        <v>310766</v>
      </c>
    </row>
    <row r="90" spans="1:24" ht="10.35" customHeight="1" x14ac:dyDescent="0.2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102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x14ac:dyDescent="0.2">
      <c r="A93" s="53" t="s">
        <v>241</v>
      </c>
      <c r="B93" s="50" t="s">
        <v>242</v>
      </c>
      <c r="C93" s="318">
        <f>C94</f>
        <v>0</v>
      </c>
      <c r="D93" s="314">
        <f>D94</f>
        <v>0</v>
      </c>
      <c r="E93" s="314">
        <f>E94</f>
        <v>0</v>
      </c>
      <c r="F93" s="314">
        <f>F94</f>
        <v>310766</v>
      </c>
      <c r="G93" s="314"/>
      <c r="H93" s="314">
        <f>+H94</f>
        <v>0</v>
      </c>
      <c r="I93" s="314">
        <f>+I94</f>
        <v>413848</v>
      </c>
      <c r="J93" s="314">
        <f>+J94</f>
        <v>1241544</v>
      </c>
      <c r="K93" s="54"/>
      <c r="L93" s="316" t="e">
        <f t="shared" ref="L93:L102" si="103">+H93/C93</f>
        <v>#DIV/0!</v>
      </c>
      <c r="M93" s="316" t="e">
        <f>+I93/D93</f>
        <v>#DIV/0!</v>
      </c>
      <c r="N93" s="316" t="e">
        <f t="shared" ref="N93:N102" si="104">+J93/E93</f>
        <v>#DIV/0!</v>
      </c>
      <c r="O93" s="54"/>
      <c r="P93" s="323">
        <f t="shared" ref="P93:P102" si="105">+(D93-C93)*P$10</f>
        <v>0</v>
      </c>
      <c r="Q93" s="323">
        <f t="shared" ref="Q93:Q102" si="106">+(E93-D93)*Q$10</f>
        <v>0</v>
      </c>
      <c r="R93" s="323">
        <f t="shared" ref="R93:R102" si="107">+(F93-E93)*R$10</f>
        <v>310766</v>
      </c>
      <c r="S93" s="323">
        <f t="shared" si="101"/>
        <v>310766</v>
      </c>
      <c r="T93" s="305">
        <f t="shared" si="73"/>
        <v>0</v>
      </c>
      <c r="U93" s="126"/>
      <c r="V93" s="208">
        <f t="shared" si="102"/>
        <v>310766</v>
      </c>
    </row>
    <row r="94" spans="1:24" s="52" customFormat="1" x14ac:dyDescent="0.2">
      <c r="A94" s="46" t="s">
        <v>261</v>
      </c>
      <c r="B94" s="46" t="s">
        <v>392</v>
      </c>
      <c r="C94" s="319">
        <f>SUM(C95)</f>
        <v>0</v>
      </c>
      <c r="D94" s="320">
        <v>0</v>
      </c>
      <c r="E94" s="320">
        <v>0</v>
      </c>
      <c r="F94" s="320">
        <v>310766</v>
      </c>
      <c r="G94" s="320"/>
      <c r="H94" s="320">
        <v>0</v>
      </c>
      <c r="I94" s="320">
        <v>413848</v>
      </c>
      <c r="J94" s="320">
        <v>1241544</v>
      </c>
      <c r="K94" s="51"/>
      <c r="L94" s="143" t="e">
        <f t="shared" si="103"/>
        <v>#DIV/0!</v>
      </c>
      <c r="M94" s="143" t="e">
        <f>+I94/D94</f>
        <v>#DIV/0!</v>
      </c>
      <c r="N94" s="143" t="e">
        <f t="shared" si="104"/>
        <v>#DIV/0!</v>
      </c>
      <c r="O94" s="51"/>
      <c r="P94" s="83">
        <f t="shared" si="105"/>
        <v>0</v>
      </c>
      <c r="Q94" s="83">
        <f t="shared" si="106"/>
        <v>0</v>
      </c>
      <c r="R94" s="83">
        <f t="shared" si="107"/>
        <v>310766</v>
      </c>
      <c r="S94" s="83">
        <f t="shared" si="101"/>
        <v>310766</v>
      </c>
      <c r="T94" s="304">
        <f t="shared" si="73"/>
        <v>0</v>
      </c>
      <c r="U94" s="126"/>
      <c r="V94" s="208">
        <f t="shared" si="102"/>
        <v>310766</v>
      </c>
    </row>
    <row r="95" spans="1:24" s="43" customFormat="1" x14ac:dyDescent="0.2">
      <c r="A95" s="3" t="s">
        <v>284</v>
      </c>
      <c r="B95" s="3" t="s">
        <v>285</v>
      </c>
      <c r="C95" s="206">
        <f>C96+C97+C98</f>
        <v>0</v>
      </c>
      <c r="D95" s="69">
        <f>+D96+D98</f>
        <v>0</v>
      </c>
      <c r="E95" s="69">
        <f>+E96+E98</f>
        <v>271276</v>
      </c>
      <c r="F95" s="69">
        <f>+F96+F98</f>
        <v>271276</v>
      </c>
      <c r="G95" s="69"/>
      <c r="H95" s="69">
        <f>+H96+H98</f>
        <v>3822</v>
      </c>
      <c r="I95" s="69">
        <f>+I96+I97+I98</f>
        <v>284276</v>
      </c>
      <c r="J95" s="69">
        <f>+J96+J97+J98</f>
        <v>363847</v>
      </c>
      <c r="K95" s="6"/>
      <c r="L95" s="316" t="e">
        <f t="shared" si="103"/>
        <v>#DIV/0!</v>
      </c>
      <c r="M95" s="316" t="e">
        <f>+I95/D95</f>
        <v>#DIV/0!</v>
      </c>
      <c r="N95" s="316">
        <f t="shared" si="104"/>
        <v>1.3412428670431591</v>
      </c>
      <c r="O95" s="6"/>
      <c r="P95" s="294">
        <f t="shared" si="105"/>
        <v>0</v>
      </c>
      <c r="Q95" s="294">
        <f t="shared" si="106"/>
        <v>271276</v>
      </c>
      <c r="R95" s="294">
        <f t="shared" si="107"/>
        <v>0</v>
      </c>
      <c r="S95" s="294">
        <f t="shared" si="101"/>
        <v>271276</v>
      </c>
      <c r="T95" s="305">
        <f t="shared" si="73"/>
        <v>0</v>
      </c>
      <c r="U95" s="126"/>
      <c r="V95" s="208">
        <f t="shared" si="102"/>
        <v>0</v>
      </c>
    </row>
    <row r="96" spans="1:24" x14ac:dyDescent="0.2">
      <c r="A96" s="46" t="s">
        <v>290</v>
      </c>
      <c r="B96" s="46" t="s">
        <v>518</v>
      </c>
      <c r="C96" s="319">
        <v>0</v>
      </c>
      <c r="D96" s="152">
        <v>0</v>
      </c>
      <c r="E96" s="152">
        <v>271276</v>
      </c>
      <c r="F96" s="152">
        <v>271276</v>
      </c>
      <c r="G96" s="152"/>
      <c r="H96" s="152">
        <v>0</v>
      </c>
      <c r="I96" s="152">
        <f>+H96</f>
        <v>0</v>
      </c>
      <c r="J96" s="152">
        <v>271276</v>
      </c>
      <c r="K96" s="42"/>
      <c r="L96" s="143" t="e">
        <f t="shared" si="103"/>
        <v>#DIV/0!</v>
      </c>
      <c r="M96" s="143" t="e">
        <f t="shared" ref="M96:M98" si="108">+I96/D96</f>
        <v>#DIV/0!</v>
      </c>
      <c r="N96" s="143">
        <f t="shared" si="104"/>
        <v>1</v>
      </c>
      <c r="O96" s="42"/>
      <c r="P96" s="83">
        <f t="shared" si="105"/>
        <v>0</v>
      </c>
      <c r="Q96" s="83">
        <f t="shared" si="106"/>
        <v>271276</v>
      </c>
      <c r="R96" s="83">
        <f t="shared" si="107"/>
        <v>0</v>
      </c>
      <c r="S96" s="83">
        <f t="shared" si="101"/>
        <v>271276</v>
      </c>
      <c r="T96" s="304">
        <f t="shared" si="73"/>
        <v>0</v>
      </c>
      <c r="U96" s="126"/>
      <c r="V96" s="208">
        <f t="shared" si="102"/>
        <v>0</v>
      </c>
    </row>
    <row r="97" spans="1:22" x14ac:dyDescent="0.2">
      <c r="A97" s="46" t="s">
        <v>299</v>
      </c>
      <c r="B97" s="20" t="s">
        <v>300</v>
      </c>
      <c r="C97" s="319"/>
      <c r="D97" s="152"/>
      <c r="E97" s="152"/>
      <c r="F97" s="152"/>
      <c r="G97" s="152"/>
      <c r="H97" s="152"/>
      <c r="I97" s="152"/>
      <c r="J97" s="152">
        <v>75794</v>
      </c>
      <c r="K97" s="42"/>
      <c r="L97" s="143"/>
      <c r="M97" s="143"/>
      <c r="N97" s="143"/>
      <c r="O97" s="42"/>
      <c r="P97" s="83"/>
      <c r="Q97" s="83"/>
      <c r="R97" s="83"/>
      <c r="S97" s="83"/>
      <c r="T97" s="304"/>
      <c r="U97" s="126"/>
      <c r="V97" s="208"/>
    </row>
    <row r="98" spans="1:22" ht="25.5" x14ac:dyDescent="0.2">
      <c r="A98" s="513" t="s">
        <v>471</v>
      </c>
      <c r="B98" s="513" t="s">
        <v>474</v>
      </c>
      <c r="C98" s="123">
        <v>0</v>
      </c>
      <c r="D98" s="70">
        <v>0</v>
      </c>
      <c r="E98" s="70">
        <v>0</v>
      </c>
      <c r="F98" s="70"/>
      <c r="G98" s="70"/>
      <c r="H98" s="70">
        <v>3822</v>
      </c>
      <c r="I98" s="70">
        <f>87+284189</f>
        <v>284276</v>
      </c>
      <c r="J98" s="70">
        <f>131+16646</f>
        <v>16777</v>
      </c>
      <c r="K98" s="16"/>
      <c r="L98" s="143" t="e">
        <f t="shared" si="103"/>
        <v>#DIV/0!</v>
      </c>
      <c r="M98" s="143" t="e">
        <f t="shared" si="108"/>
        <v>#DIV/0!</v>
      </c>
      <c r="N98" s="143" t="e">
        <f t="shared" si="104"/>
        <v>#DIV/0!</v>
      </c>
      <c r="O98" s="16"/>
      <c r="P98" s="83">
        <f t="shared" si="105"/>
        <v>0</v>
      </c>
      <c r="Q98" s="83">
        <f t="shared" si="106"/>
        <v>0</v>
      </c>
      <c r="R98" s="83">
        <f t="shared" si="107"/>
        <v>0</v>
      </c>
      <c r="S98" s="83">
        <f t="shared" si="101"/>
        <v>0</v>
      </c>
      <c r="T98" s="304">
        <f t="shared" si="73"/>
        <v>0</v>
      </c>
      <c r="U98" s="126"/>
      <c r="V98" s="208">
        <f t="shared" si="102"/>
        <v>0</v>
      </c>
    </row>
    <row r="99" spans="1:22" s="43" customFormat="1" x14ac:dyDescent="0.2">
      <c r="A99" s="3" t="s">
        <v>333</v>
      </c>
      <c r="B99" s="3" t="s">
        <v>334</v>
      </c>
      <c r="C99" s="206">
        <f>+C100+C101</f>
        <v>113342899</v>
      </c>
      <c r="D99" s="96">
        <f>SUM(D100:D101)</f>
        <v>113342899</v>
      </c>
      <c r="E99" s="96">
        <f>SUM(E100:E101)</f>
        <v>113342899</v>
      </c>
      <c r="F99" s="96">
        <f>SUM(F100:F101)</f>
        <v>113342899</v>
      </c>
      <c r="G99" s="96"/>
      <c r="H99" s="96">
        <f>SUM(H100:H101)</f>
        <v>58046472</v>
      </c>
      <c r="I99" s="96">
        <f>SUM(I100:I101)</f>
        <v>83562268</v>
      </c>
      <c r="J99" s="96">
        <f>SUM(J100:J101)</f>
        <v>107213217</v>
      </c>
      <c r="K99" s="33"/>
      <c r="L99" s="316">
        <f t="shared" si="103"/>
        <v>0.51213152753398339</v>
      </c>
      <c r="M99" s="316">
        <f>+I99/D99</f>
        <v>0.73725190318274814</v>
      </c>
      <c r="N99" s="316">
        <f t="shared" si="104"/>
        <v>0.94591913517228809</v>
      </c>
      <c r="O99" s="33"/>
      <c r="P99" s="324">
        <f t="shared" si="105"/>
        <v>0</v>
      </c>
      <c r="Q99" s="324">
        <f t="shared" si="106"/>
        <v>0</v>
      </c>
      <c r="R99" s="324">
        <f t="shared" si="107"/>
        <v>0</v>
      </c>
      <c r="S99" s="324">
        <f t="shared" si="101"/>
        <v>0</v>
      </c>
      <c r="T99" s="305">
        <f t="shared" si="73"/>
        <v>0</v>
      </c>
      <c r="U99" s="126"/>
      <c r="V99" s="208">
        <f t="shared" si="102"/>
        <v>0</v>
      </c>
    </row>
    <row r="100" spans="1:22" x14ac:dyDescent="0.2">
      <c r="A100" s="45" t="s">
        <v>359</v>
      </c>
      <c r="B100" s="20" t="s">
        <v>325</v>
      </c>
      <c r="C100" s="123">
        <v>111124591</v>
      </c>
      <c r="D100" s="123">
        <v>111124591</v>
      </c>
      <c r="E100" s="70">
        <v>111124591</v>
      </c>
      <c r="F100" s="70">
        <v>111124591</v>
      </c>
      <c r="G100" s="70"/>
      <c r="H100" s="70">
        <v>55828164</v>
      </c>
      <c r="I100" s="187">
        <v>81343960</v>
      </c>
      <c r="J100" s="70">
        <v>104994909</v>
      </c>
      <c r="K100" s="16"/>
      <c r="L100" s="143">
        <f t="shared" si="103"/>
        <v>0.50239252624110897</v>
      </c>
      <c r="M100" s="143">
        <f>+I100/D100</f>
        <v>0.73200683366294683</v>
      </c>
      <c r="N100" s="143">
        <f t="shared" si="104"/>
        <v>0.94483955401014708</v>
      </c>
      <c r="O100" s="16"/>
      <c r="P100" s="83">
        <f t="shared" si="105"/>
        <v>0</v>
      </c>
      <c r="Q100" s="83">
        <f t="shared" si="106"/>
        <v>0</v>
      </c>
      <c r="R100" s="83">
        <f t="shared" si="107"/>
        <v>0</v>
      </c>
      <c r="S100" s="83">
        <f t="shared" si="101"/>
        <v>0</v>
      </c>
      <c r="T100" s="304">
        <f t="shared" ref="T100:T102" si="109">IF(C100=0,0,+S100/C100)</f>
        <v>0</v>
      </c>
      <c r="U100" s="126"/>
      <c r="V100" s="208">
        <f t="shared" si="102"/>
        <v>0</v>
      </c>
    </row>
    <row r="101" spans="1:22" x14ac:dyDescent="0.2">
      <c r="A101" s="20" t="s">
        <v>347</v>
      </c>
      <c r="B101" s="20" t="s">
        <v>348</v>
      </c>
      <c r="C101" s="595">
        <v>2218308</v>
      </c>
      <c r="D101" s="595">
        <v>2218308</v>
      </c>
      <c r="E101" s="70">
        <v>2218308</v>
      </c>
      <c r="F101" s="70">
        <v>2218308</v>
      </c>
      <c r="G101" s="70"/>
      <c r="H101" s="70">
        <v>2218308</v>
      </c>
      <c r="I101" s="70">
        <v>2218308</v>
      </c>
      <c r="J101" s="70">
        <v>2218308</v>
      </c>
      <c r="K101" s="16"/>
      <c r="L101" s="143">
        <f t="shared" si="103"/>
        <v>1</v>
      </c>
      <c r="M101" s="143">
        <f>+I101/D101</f>
        <v>1</v>
      </c>
      <c r="N101" s="143">
        <f t="shared" si="104"/>
        <v>1</v>
      </c>
      <c r="O101" s="16"/>
      <c r="P101" s="83">
        <f t="shared" si="105"/>
        <v>0</v>
      </c>
      <c r="Q101" s="83">
        <f t="shared" si="106"/>
        <v>0</v>
      </c>
      <c r="R101" s="83">
        <f t="shared" si="107"/>
        <v>0</v>
      </c>
      <c r="S101" s="83">
        <f t="shared" si="101"/>
        <v>0</v>
      </c>
      <c r="T101" s="304">
        <f t="shared" si="109"/>
        <v>0</v>
      </c>
      <c r="U101" s="126"/>
      <c r="V101" s="208">
        <f t="shared" si="102"/>
        <v>0</v>
      </c>
    </row>
    <row r="102" spans="1:22" ht="18" customHeight="1" x14ac:dyDescent="0.2">
      <c r="A102" s="5"/>
      <c r="B102" s="501" t="s">
        <v>377</v>
      </c>
      <c r="C102" s="515">
        <f>+C94+C95+C99</f>
        <v>113342899</v>
      </c>
      <c r="D102" s="515">
        <f>+D93+D95+D99</f>
        <v>113342899</v>
      </c>
      <c r="E102" s="515">
        <f>+E94+E95+E99</f>
        <v>113614175</v>
      </c>
      <c r="F102" s="515">
        <f>+F94+F95+F99</f>
        <v>113924941</v>
      </c>
      <c r="G102" s="515"/>
      <c r="H102" s="515">
        <f>+H94+H95+H99</f>
        <v>58050294</v>
      </c>
      <c r="I102" s="515">
        <f t="shared" ref="I102" si="110">+I94+I95+I99</f>
        <v>84260392</v>
      </c>
      <c r="J102" s="515">
        <f t="shared" ref="J102" si="111">+J94+J95+J99</f>
        <v>108818608</v>
      </c>
      <c r="K102" s="10"/>
      <c r="L102" s="316">
        <f t="shared" si="103"/>
        <v>0.51216524821727027</v>
      </c>
      <c r="M102" s="316">
        <f>+I102/D102</f>
        <v>0.74341130095851882</v>
      </c>
      <c r="N102" s="316">
        <f t="shared" si="104"/>
        <v>0.95779076862548185</v>
      </c>
      <c r="O102" s="10"/>
      <c r="P102" s="514">
        <f t="shared" si="105"/>
        <v>0</v>
      </c>
      <c r="Q102" s="514">
        <f t="shared" si="106"/>
        <v>271276</v>
      </c>
      <c r="R102" s="514">
        <f t="shared" si="107"/>
        <v>310766</v>
      </c>
      <c r="S102" s="514">
        <f t="shared" si="101"/>
        <v>582042</v>
      </c>
      <c r="T102" s="305">
        <f t="shared" si="109"/>
        <v>5.1352312772589307E-3</v>
      </c>
      <c r="U102" s="126"/>
      <c r="V102" s="208">
        <f t="shared" si="102"/>
        <v>310766</v>
      </c>
    </row>
    <row r="103" spans="1:22" x14ac:dyDescent="0.2">
      <c r="C103" s="104"/>
      <c r="D103" s="104"/>
      <c r="E103" s="104"/>
      <c r="F103" s="104"/>
      <c r="G103" s="104"/>
      <c r="H103" s="104"/>
      <c r="I103" s="104"/>
      <c r="J103" s="104"/>
      <c r="L103" s="315"/>
      <c r="M103" s="315"/>
      <c r="N103" s="315"/>
      <c r="P103" s="299"/>
      <c r="Q103" s="299"/>
      <c r="R103" s="299"/>
      <c r="S103" s="299"/>
      <c r="T103" s="128"/>
      <c r="U103" s="321"/>
    </row>
    <row r="104" spans="1:22" x14ac:dyDescent="0.2">
      <c r="C104" s="104"/>
      <c r="D104" s="104"/>
      <c r="E104" s="104"/>
      <c r="F104" s="104"/>
      <c r="G104" s="104"/>
      <c r="H104" s="104"/>
      <c r="I104" s="104"/>
      <c r="J104" s="104"/>
      <c r="L104" s="90"/>
      <c r="M104" s="90"/>
      <c r="N104" s="90"/>
      <c r="P104" s="299"/>
      <c r="Q104" s="299"/>
      <c r="R104" s="299"/>
      <c r="S104" s="299"/>
      <c r="T104" s="128"/>
      <c r="U104" s="321"/>
    </row>
    <row r="105" spans="1:22" x14ac:dyDescent="0.2">
      <c r="P105" s="299"/>
      <c r="Q105" s="299"/>
      <c r="R105" s="299"/>
      <c r="S105" s="299"/>
      <c r="U105" s="9"/>
    </row>
    <row r="106" spans="1:22" x14ac:dyDescent="0.2">
      <c r="P106" s="299"/>
      <c r="Q106" s="299"/>
      <c r="R106" s="299"/>
      <c r="S106" s="299"/>
      <c r="U106" s="9"/>
    </row>
    <row r="107" spans="1:22" x14ac:dyDescent="0.2">
      <c r="A107" s="591"/>
      <c r="B107" s="61"/>
      <c r="C107" s="103"/>
      <c r="P107" s="299"/>
      <c r="Q107" s="299"/>
      <c r="R107" s="299"/>
      <c r="S107" s="299"/>
      <c r="U107" s="9"/>
    </row>
    <row r="108" spans="1:22" x14ac:dyDescent="0.2">
      <c r="P108" s="299"/>
      <c r="Q108" s="299"/>
      <c r="R108" s="299"/>
      <c r="S108" s="299"/>
      <c r="U108" s="9"/>
    </row>
    <row r="109" spans="1:22" x14ac:dyDescent="0.2">
      <c r="P109" s="299"/>
      <c r="Q109" s="299"/>
      <c r="R109" s="299"/>
      <c r="S109" s="299"/>
    </row>
    <row r="110" spans="1:22" x14ac:dyDescent="0.2">
      <c r="P110" s="299"/>
      <c r="Q110" s="299"/>
      <c r="R110" s="299"/>
      <c r="S110" s="299"/>
    </row>
    <row r="111" spans="1:22" x14ac:dyDescent="0.2">
      <c r="P111" s="299"/>
      <c r="Q111" s="299"/>
      <c r="R111" s="299"/>
      <c r="S111" s="299"/>
      <c r="U111" s="2"/>
    </row>
    <row r="112" spans="1:22" x14ac:dyDescent="0.2">
      <c r="P112" s="299"/>
      <c r="Q112" s="299"/>
      <c r="R112" s="299"/>
      <c r="S112" s="299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4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view="pageBreakPreview" topLeftCell="A70" zoomScaleNormal="100" zoomScaleSheetLayoutView="100" workbookViewId="0">
      <selection activeCell="F93" sqref="F93"/>
    </sheetView>
  </sheetViews>
  <sheetFormatPr defaultRowHeight="12.75" x14ac:dyDescent="0.2"/>
  <cols>
    <col min="1" max="1" width="6.85546875" style="13" bestFit="1" customWidth="1"/>
    <col min="2" max="2" width="53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0.85546875" customWidth="1"/>
    <col min="22" max="22" width="3.42578125" customWidth="1"/>
  </cols>
  <sheetData>
    <row r="1" spans="1:26" ht="26.25" x14ac:dyDescent="0.4">
      <c r="A1" s="325" t="s">
        <v>430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585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31145000</v>
      </c>
      <c r="D5" s="273">
        <f t="shared" ref="D5:E5" si="0">+D89</f>
        <v>32745000</v>
      </c>
      <c r="E5" s="273">
        <f t="shared" si="0"/>
        <v>32745000</v>
      </c>
      <c r="F5" s="273">
        <f>+F89</f>
        <v>33745000</v>
      </c>
      <c r="G5" s="273"/>
      <c r="H5" s="273">
        <f>+H89</f>
        <v>14585841</v>
      </c>
      <c r="I5" s="273">
        <f t="shared" ref="I5:J5" si="1">+I89</f>
        <v>26249690</v>
      </c>
      <c r="J5" s="273">
        <f t="shared" si="1"/>
        <v>33240653</v>
      </c>
      <c r="K5" s="95"/>
      <c r="L5" s="32">
        <f t="shared" ref="L5:N6" si="2">IF(H5&gt;0,H5/C5,0)</f>
        <v>0.46832046877508426</v>
      </c>
      <c r="M5" s="32">
        <f t="shared" si="2"/>
        <v>0.80163963963963969</v>
      </c>
      <c r="N5" s="32">
        <f t="shared" si="2"/>
        <v>1.0151367537028555</v>
      </c>
      <c r="O5" s="95"/>
      <c r="P5" s="273">
        <f>+P89</f>
        <v>1600000</v>
      </c>
      <c r="Q5" s="273">
        <f>+Q89</f>
        <v>0</v>
      </c>
      <c r="R5" s="273">
        <f>+R89</f>
        <v>1000000</v>
      </c>
      <c r="S5" s="273">
        <f>+S89</f>
        <v>2600000</v>
      </c>
      <c r="T5" s="139">
        <f>IF(C5=0,0,+S5/C5)</f>
        <v>8.3480494461390276E-2</v>
      </c>
      <c r="U5" s="124"/>
      <c r="V5" s="211">
        <f t="shared" ref="V5:V7" si="3">+S5-E5+C5</f>
        <v>1000000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31145000</v>
      </c>
      <c r="D6" s="275">
        <f t="shared" ref="D6:J6" si="4">+D102</f>
        <v>32745000</v>
      </c>
      <c r="E6" s="275">
        <f t="shared" si="4"/>
        <v>32745000</v>
      </c>
      <c r="F6" s="275">
        <f t="shared" si="4"/>
        <v>33745000</v>
      </c>
      <c r="G6" s="275"/>
      <c r="H6" s="275">
        <f t="shared" si="4"/>
        <v>17270726</v>
      </c>
      <c r="I6" s="275">
        <f t="shared" si="4"/>
        <v>28788342</v>
      </c>
      <c r="J6" s="275">
        <f t="shared" si="4"/>
        <v>33756259</v>
      </c>
      <c r="K6" s="69"/>
      <c r="L6" s="32">
        <f t="shared" si="2"/>
        <v>0.55452644084122649</v>
      </c>
      <c r="M6" s="32">
        <f t="shared" si="2"/>
        <v>0.87916756756756753</v>
      </c>
      <c r="N6" s="32">
        <f t="shared" si="2"/>
        <v>1.0308828523438693</v>
      </c>
      <c r="O6" s="69"/>
      <c r="P6" s="275">
        <f>+P102</f>
        <v>1600000</v>
      </c>
      <c r="Q6" s="275">
        <f t="shared" ref="Q6:S6" si="5">+Q102</f>
        <v>0</v>
      </c>
      <c r="R6" s="275">
        <f t="shared" si="5"/>
        <v>1000000</v>
      </c>
      <c r="S6" s="275">
        <f t="shared" si="5"/>
        <v>2600000</v>
      </c>
      <c r="T6" s="32">
        <f>IF(C6=0,0,+S6/C6)</f>
        <v>8.3480494461390276E-2</v>
      </c>
      <c r="U6" s="124"/>
      <c r="V6" s="211">
        <f t="shared" si="3"/>
        <v>1000000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2684885</v>
      </c>
      <c r="I7" s="275">
        <f>+I6-I5</f>
        <v>2538652</v>
      </c>
      <c r="J7" s="275">
        <f t="shared" ref="J7" si="7">+J6-J5</f>
        <v>515606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57" t="s">
        <v>408</v>
      </c>
      <c r="D9" s="662"/>
      <c r="E9" s="662"/>
      <c r="F9" s="663"/>
      <c r="G9" s="165"/>
      <c r="H9" s="657" t="s">
        <v>407</v>
      </c>
      <c r="I9" s="662"/>
      <c r="J9" s="662"/>
      <c r="K9" s="662"/>
      <c r="L9" s="662"/>
      <c r="M9" s="662"/>
      <c r="N9" s="663"/>
      <c r="O9" s="165"/>
      <c r="P9" s="657" t="s">
        <v>404</v>
      </c>
      <c r="Q9" s="662"/>
      <c r="R9" s="662"/>
      <c r="S9" s="662"/>
      <c r="T9" s="663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654" t="s">
        <v>421</v>
      </c>
      <c r="I10" s="664"/>
      <c r="J10" s="665"/>
      <c r="K10" s="140"/>
      <c r="L10" s="654" t="s">
        <v>420</v>
      </c>
      <c r="M10" s="664"/>
      <c r="N10" s="665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ht="12.75" customHeight="1" x14ac:dyDescent="0.2">
      <c r="A12" s="14"/>
      <c r="B12" s="20"/>
      <c r="C12" s="242"/>
      <c r="D12" s="242"/>
      <c r="E12" s="242"/>
      <c r="F12" s="242"/>
      <c r="G12" s="242"/>
      <c r="H12" s="242"/>
      <c r="I12" s="242"/>
      <c r="J12" s="242"/>
      <c r="K12" s="242"/>
      <c r="L12" s="142"/>
      <c r="M12" s="142"/>
      <c r="N12" s="142"/>
      <c r="O12" s="242"/>
      <c r="P12" s="242"/>
      <c r="Q12" s="242"/>
      <c r="R12" s="242"/>
      <c r="S12" s="242"/>
    </row>
    <row r="13" spans="1:26" ht="12.75" customHeight="1" x14ac:dyDescent="0.2">
      <c r="A13" s="7" t="s">
        <v>0</v>
      </c>
      <c r="B13" s="5" t="s">
        <v>3</v>
      </c>
      <c r="C13" s="237">
        <f>SUM(C14:C28)</f>
        <v>14060000</v>
      </c>
      <c r="D13" s="237">
        <f t="shared" ref="D13:J13" si="9">SUM(D14:D28)</f>
        <v>14060000</v>
      </c>
      <c r="E13" s="237">
        <f t="shared" si="9"/>
        <v>14060000</v>
      </c>
      <c r="F13" s="237">
        <f t="shared" si="9"/>
        <v>14053263</v>
      </c>
      <c r="G13" s="237"/>
      <c r="H13" s="237">
        <f t="shared" si="9"/>
        <v>6508406</v>
      </c>
      <c r="I13" s="237">
        <f t="shared" si="9"/>
        <v>10416832</v>
      </c>
      <c r="J13" s="237">
        <f t="shared" si="9"/>
        <v>14053263</v>
      </c>
      <c r="K13" s="237"/>
      <c r="L13" s="89">
        <f>+H13/D13</f>
        <v>0.46290227596017069</v>
      </c>
      <c r="M13" s="89">
        <f>+I13/E13</f>
        <v>0.74088421052631581</v>
      </c>
      <c r="N13" s="89">
        <f>+J13/F13</f>
        <v>1</v>
      </c>
      <c r="O13" s="237"/>
      <c r="P13" s="237">
        <f t="shared" ref="P13:P22" si="10">+(D13-C13)*P$10</f>
        <v>0</v>
      </c>
      <c r="Q13" s="237">
        <f t="shared" ref="Q13:Q22" si="11">+(E13-D13)*Q$10</f>
        <v>0</v>
      </c>
      <c r="R13" s="237">
        <f t="shared" ref="R13:R22" si="12">+(F13-E13)*R$10</f>
        <v>-6737</v>
      </c>
      <c r="S13" s="237">
        <f>SUM(P13:R13)</f>
        <v>-6737</v>
      </c>
      <c r="T13" s="304">
        <f>IF(C13=0,0,+S13/C13)</f>
        <v>-4.7916073968705549E-4</v>
      </c>
      <c r="U13" s="126"/>
      <c r="V13" s="208">
        <f>+S13-E13+C13</f>
        <v>-6737</v>
      </c>
    </row>
    <row r="14" spans="1:26" ht="12.75" customHeight="1" x14ac:dyDescent="0.2">
      <c r="A14" s="14" t="s">
        <v>1</v>
      </c>
      <c r="B14" s="20"/>
      <c r="C14" s="242"/>
      <c r="D14" s="242"/>
      <c r="E14" s="242"/>
      <c r="F14" s="242"/>
      <c r="G14" s="242"/>
      <c r="H14" s="242"/>
      <c r="I14" s="242"/>
      <c r="J14" s="242"/>
      <c r="K14" s="242"/>
      <c r="L14" s="142"/>
      <c r="M14" s="142"/>
      <c r="N14" s="142"/>
      <c r="O14" s="242"/>
      <c r="P14" s="328">
        <f t="shared" si="10"/>
        <v>0</v>
      </c>
      <c r="Q14" s="328">
        <f t="shared" si="11"/>
        <v>0</v>
      </c>
      <c r="R14" s="328">
        <f t="shared" si="12"/>
        <v>0</v>
      </c>
      <c r="S14" s="328">
        <f>SUM(P14:R14)</f>
        <v>0</v>
      </c>
      <c r="T14" s="304">
        <f>IF(C14=0,0,+S14/C14)</f>
        <v>0</v>
      </c>
      <c r="U14" s="126"/>
      <c r="V14" s="208">
        <f>+S14-E14+C14</f>
        <v>0</v>
      </c>
    </row>
    <row r="15" spans="1:26" ht="12.75" customHeight="1" x14ac:dyDescent="0.2">
      <c r="A15" s="14" t="s">
        <v>2</v>
      </c>
      <c r="B15" s="513" t="s">
        <v>362</v>
      </c>
      <c r="C15" s="242">
        <v>13038000</v>
      </c>
      <c r="D15" s="242">
        <v>13038000</v>
      </c>
      <c r="E15" s="242">
        <v>13033000</v>
      </c>
      <c r="F15" s="242">
        <v>12812000</v>
      </c>
      <c r="G15" s="242"/>
      <c r="H15" s="242">
        <v>6186268</v>
      </c>
      <c r="I15" s="242">
        <v>9520170</v>
      </c>
      <c r="J15" s="242">
        <v>12812000</v>
      </c>
      <c r="K15" s="242"/>
      <c r="L15" s="143">
        <f>+H15/D15</f>
        <v>0.47447982819450835</v>
      </c>
      <c r="M15" s="143">
        <f>+I15/E15</f>
        <v>0.73046650809483615</v>
      </c>
      <c r="N15" s="143">
        <f>+J15/F15</f>
        <v>1</v>
      </c>
      <c r="O15" s="242"/>
    </row>
    <row r="16" spans="1:26" ht="12.75" customHeight="1" x14ac:dyDescent="0.2">
      <c r="A16" s="14" t="s">
        <v>12</v>
      </c>
      <c r="B16" s="20" t="s">
        <v>4</v>
      </c>
      <c r="C16" s="242"/>
      <c r="D16" s="242"/>
      <c r="E16" s="242"/>
      <c r="F16" s="242"/>
      <c r="G16" s="242"/>
      <c r="H16" s="242"/>
      <c r="I16" s="242"/>
      <c r="J16" s="242"/>
      <c r="K16" s="242"/>
      <c r="L16" s="142"/>
      <c r="M16" s="142"/>
      <c r="N16" s="142"/>
      <c r="O16" s="242"/>
      <c r="P16" s="328">
        <f t="shared" si="10"/>
        <v>0</v>
      </c>
      <c r="Q16" s="328">
        <f t="shared" si="11"/>
        <v>0</v>
      </c>
      <c r="R16" s="328">
        <f t="shared" si="12"/>
        <v>0</v>
      </c>
      <c r="S16" s="328">
        <f t="shared" ref="S16:S22" si="13">SUM(P16:R16)</f>
        <v>0</v>
      </c>
      <c r="T16" s="304">
        <f t="shared" ref="T16:T47" si="14">IF(C16=0,0,+S16/C16)</f>
        <v>0</v>
      </c>
      <c r="U16" s="126"/>
      <c r="V16" s="208">
        <f t="shared" ref="V16:V47" si="15">+S16-E16+C16</f>
        <v>0</v>
      </c>
    </row>
    <row r="17" spans="1:22" ht="12.75" customHeight="1" x14ac:dyDescent="0.2">
      <c r="A17" s="14" t="s">
        <v>13</v>
      </c>
      <c r="B17" s="20" t="s">
        <v>5</v>
      </c>
      <c r="C17" s="242"/>
      <c r="D17" s="242"/>
      <c r="E17" s="242"/>
      <c r="F17" s="242"/>
      <c r="G17" s="242"/>
      <c r="H17" s="242"/>
      <c r="I17" s="242"/>
      <c r="J17" s="242"/>
      <c r="K17" s="242"/>
      <c r="L17" s="142"/>
      <c r="M17" s="142"/>
      <c r="N17" s="142"/>
      <c r="O17" s="242"/>
      <c r="P17" s="328">
        <f t="shared" si="10"/>
        <v>0</v>
      </c>
      <c r="Q17" s="328">
        <f t="shared" si="11"/>
        <v>0</v>
      </c>
      <c r="R17" s="328">
        <f t="shared" si="12"/>
        <v>0</v>
      </c>
      <c r="S17" s="328">
        <f t="shared" si="13"/>
        <v>0</v>
      </c>
      <c r="T17" s="304">
        <f t="shared" si="14"/>
        <v>0</v>
      </c>
      <c r="U17" s="126"/>
      <c r="V17" s="208">
        <f t="shared" si="15"/>
        <v>0</v>
      </c>
    </row>
    <row r="18" spans="1:22" ht="12.75" customHeight="1" x14ac:dyDescent="0.2">
      <c r="A18" s="560" t="s">
        <v>386</v>
      </c>
      <c r="B18" s="20" t="s">
        <v>6</v>
      </c>
      <c r="C18" s="242">
        <v>380000</v>
      </c>
      <c r="D18" s="242">
        <v>380000</v>
      </c>
      <c r="E18" s="242">
        <v>380000</v>
      </c>
      <c r="F18" s="242">
        <v>380000</v>
      </c>
      <c r="G18" s="242"/>
      <c r="H18" s="242">
        <v>0</v>
      </c>
      <c r="I18" s="242">
        <v>380000</v>
      </c>
      <c r="J18" s="242">
        <v>380000</v>
      </c>
      <c r="K18" s="242"/>
      <c r="L18" s="142"/>
      <c r="M18" s="142"/>
      <c r="N18" s="142"/>
      <c r="O18" s="242"/>
      <c r="P18" s="328">
        <f t="shared" si="10"/>
        <v>0</v>
      </c>
      <c r="Q18" s="328">
        <f t="shared" si="11"/>
        <v>0</v>
      </c>
      <c r="R18" s="328">
        <f t="shared" si="12"/>
        <v>0</v>
      </c>
      <c r="S18" s="328">
        <f t="shared" si="13"/>
        <v>0</v>
      </c>
      <c r="T18" s="304">
        <f t="shared" si="14"/>
        <v>0</v>
      </c>
      <c r="U18" s="126"/>
      <c r="V18" s="208">
        <f t="shared" si="15"/>
        <v>0</v>
      </c>
    </row>
    <row r="19" spans="1:22" ht="12.75" customHeight="1" x14ac:dyDescent="0.2">
      <c r="A19" s="14" t="s">
        <v>14</v>
      </c>
      <c r="B19" s="20" t="s">
        <v>7</v>
      </c>
      <c r="C19" s="561">
        <f>5000*12*5-5000</f>
        <v>295000</v>
      </c>
      <c r="D19" s="242">
        <v>295000</v>
      </c>
      <c r="E19" s="242">
        <v>300000</v>
      </c>
      <c r="F19" s="242">
        <v>560000</v>
      </c>
      <c r="G19" s="242"/>
      <c r="H19" s="242">
        <v>150000</v>
      </c>
      <c r="I19" s="242">
        <v>300000</v>
      </c>
      <c r="J19" s="242">
        <v>560000</v>
      </c>
      <c r="K19" s="242"/>
      <c r="L19" s="143">
        <f>+H19/D19</f>
        <v>0.50847457627118642</v>
      </c>
      <c r="M19" s="143">
        <f>+I19/E19</f>
        <v>1</v>
      </c>
      <c r="N19" s="143">
        <f>+J19/F19</f>
        <v>1</v>
      </c>
      <c r="O19" s="242"/>
      <c r="P19" s="328">
        <f t="shared" si="10"/>
        <v>0</v>
      </c>
      <c r="Q19" s="328">
        <f t="shared" si="11"/>
        <v>5000</v>
      </c>
      <c r="R19" s="328">
        <f t="shared" si="12"/>
        <v>260000</v>
      </c>
      <c r="S19" s="328">
        <f t="shared" si="13"/>
        <v>265000</v>
      </c>
      <c r="T19" s="304">
        <f t="shared" si="14"/>
        <v>0.89830508474576276</v>
      </c>
      <c r="U19" s="126"/>
      <c r="V19" s="208">
        <f t="shared" si="15"/>
        <v>260000</v>
      </c>
    </row>
    <row r="20" spans="1:22" ht="12.75" customHeight="1" x14ac:dyDescent="0.2">
      <c r="A20" s="14" t="s">
        <v>15</v>
      </c>
      <c r="B20" s="20" t="s">
        <v>8</v>
      </c>
      <c r="C20" s="242"/>
      <c r="D20" s="242"/>
      <c r="E20" s="242"/>
      <c r="F20" s="242"/>
      <c r="G20" s="242"/>
      <c r="H20" s="242"/>
      <c r="I20" s="242"/>
      <c r="J20" s="242"/>
      <c r="K20" s="242"/>
      <c r="L20" s="142"/>
      <c r="M20" s="142"/>
      <c r="N20" s="142"/>
      <c r="O20" s="242"/>
      <c r="P20" s="328">
        <f t="shared" si="10"/>
        <v>0</v>
      </c>
      <c r="Q20" s="328">
        <f t="shared" si="11"/>
        <v>0</v>
      </c>
      <c r="R20" s="328">
        <f t="shared" si="12"/>
        <v>0</v>
      </c>
      <c r="S20" s="328">
        <f t="shared" si="13"/>
        <v>0</v>
      </c>
      <c r="T20" s="304">
        <f t="shared" si="14"/>
        <v>0</v>
      </c>
      <c r="U20" s="126"/>
      <c r="V20" s="208">
        <f t="shared" si="15"/>
        <v>0</v>
      </c>
    </row>
    <row r="21" spans="1:22" ht="12.75" customHeight="1" x14ac:dyDescent="0.2">
      <c r="A21" s="14" t="s">
        <v>16</v>
      </c>
      <c r="B21" s="20" t="s">
        <v>9</v>
      </c>
      <c r="C21" s="242">
        <v>147000</v>
      </c>
      <c r="D21" s="242">
        <v>147000</v>
      </c>
      <c r="E21" s="242">
        <v>147000</v>
      </c>
      <c r="F21" s="242">
        <v>134332</v>
      </c>
      <c r="G21" s="242"/>
      <c r="H21" s="242">
        <v>61060</v>
      </c>
      <c r="I21" s="242">
        <v>85484</v>
      </c>
      <c r="J21" s="242">
        <v>134332</v>
      </c>
      <c r="K21" s="242"/>
      <c r="L21" s="143">
        <f>+H21/D21</f>
        <v>0.41537414965986397</v>
      </c>
      <c r="M21" s="143">
        <f>+I21/E21</f>
        <v>0.58152380952380955</v>
      </c>
      <c r="N21" s="143">
        <f>+J21/F21</f>
        <v>1</v>
      </c>
      <c r="O21" s="242"/>
      <c r="P21" s="328">
        <f t="shared" si="10"/>
        <v>0</v>
      </c>
      <c r="Q21" s="328">
        <f t="shared" si="11"/>
        <v>0</v>
      </c>
      <c r="R21" s="328">
        <f t="shared" si="12"/>
        <v>-12668</v>
      </c>
      <c r="S21" s="328">
        <f t="shared" si="13"/>
        <v>-12668</v>
      </c>
      <c r="T21" s="304">
        <f t="shared" si="14"/>
        <v>-8.6176870748299314E-2</v>
      </c>
      <c r="U21" s="126"/>
      <c r="V21" s="208">
        <f t="shared" si="15"/>
        <v>-12668</v>
      </c>
    </row>
    <row r="22" spans="1:22" ht="12.75" customHeight="1" x14ac:dyDescent="0.2">
      <c r="A22" s="14" t="s">
        <v>17</v>
      </c>
      <c r="B22" s="20" t="s">
        <v>10</v>
      </c>
      <c r="C22" s="242"/>
      <c r="D22" s="242"/>
      <c r="E22" s="242"/>
      <c r="F22" s="242"/>
      <c r="G22" s="242"/>
      <c r="H22" s="242"/>
      <c r="I22" s="242"/>
      <c r="J22" s="242"/>
      <c r="K22" s="242"/>
      <c r="L22" s="142"/>
      <c r="M22" s="142"/>
      <c r="N22" s="142"/>
      <c r="O22" s="242"/>
      <c r="P22" s="328">
        <f t="shared" si="10"/>
        <v>0</v>
      </c>
      <c r="Q22" s="328">
        <f t="shared" si="11"/>
        <v>0</v>
      </c>
      <c r="R22" s="328">
        <f t="shared" si="12"/>
        <v>0</v>
      </c>
      <c r="S22" s="328">
        <f t="shared" si="13"/>
        <v>0</v>
      </c>
      <c r="T22" s="304">
        <f t="shared" si="14"/>
        <v>0</v>
      </c>
      <c r="U22" s="126"/>
      <c r="V22" s="208">
        <f t="shared" si="15"/>
        <v>0</v>
      </c>
    </row>
    <row r="23" spans="1:22" ht="12.75" customHeight="1" x14ac:dyDescent="0.2">
      <c r="A23" s="14" t="s">
        <v>18</v>
      </c>
      <c r="B23" s="20" t="s">
        <v>11</v>
      </c>
      <c r="C23" s="242">
        <v>200000</v>
      </c>
      <c r="D23" s="242">
        <v>200000</v>
      </c>
      <c r="E23" s="242">
        <v>200000</v>
      </c>
      <c r="F23" s="242">
        <v>166931</v>
      </c>
      <c r="G23" s="242"/>
      <c r="H23" s="242">
        <v>111078</v>
      </c>
      <c r="I23" s="242">
        <v>131178</v>
      </c>
      <c r="J23" s="242">
        <v>166931</v>
      </c>
      <c r="K23" s="242"/>
      <c r="L23" s="143">
        <f>+H23/D23</f>
        <v>0.55539000000000005</v>
      </c>
      <c r="M23" s="143">
        <f>+I23/E23</f>
        <v>0.65588999999999997</v>
      </c>
      <c r="N23" s="143">
        <f>+J23/F23</f>
        <v>1</v>
      </c>
      <c r="O23" s="242"/>
      <c r="P23" s="328">
        <f t="shared" ref="P23:P67" si="16">+(D23-C23)*P$10</f>
        <v>0</v>
      </c>
      <c r="Q23" s="328">
        <f t="shared" ref="Q23:Q67" si="17">+(E23-D23)*Q$10</f>
        <v>0</v>
      </c>
      <c r="R23" s="328">
        <f t="shared" ref="R23:R67" si="18">+(F23-E23)*R$10</f>
        <v>-33069</v>
      </c>
      <c r="S23" s="328">
        <f t="shared" ref="S23" si="19">SUM(P23:R23)</f>
        <v>-33069</v>
      </c>
      <c r="T23" s="304">
        <f t="shared" si="14"/>
        <v>-0.16534499999999999</v>
      </c>
      <c r="U23" s="126"/>
      <c r="V23" s="208">
        <f t="shared" si="15"/>
        <v>-33069</v>
      </c>
    </row>
    <row r="24" spans="1:22" ht="12.75" customHeight="1" x14ac:dyDescent="0.2">
      <c r="A24" s="14" t="s">
        <v>19</v>
      </c>
      <c r="B24" s="20"/>
      <c r="C24" s="242"/>
      <c r="D24" s="242"/>
      <c r="E24" s="242"/>
      <c r="F24" s="242"/>
      <c r="G24" s="242"/>
      <c r="H24" s="242"/>
      <c r="I24" s="242"/>
      <c r="J24" s="242"/>
      <c r="K24" s="242"/>
      <c r="L24" s="142"/>
      <c r="M24" s="142"/>
      <c r="N24" s="142"/>
      <c r="O24" s="242"/>
      <c r="P24" s="328">
        <f t="shared" si="16"/>
        <v>0</v>
      </c>
      <c r="Q24" s="328">
        <f t="shared" si="17"/>
        <v>0</v>
      </c>
      <c r="R24" s="328">
        <f t="shared" si="18"/>
        <v>0</v>
      </c>
      <c r="S24" s="328">
        <f t="shared" ref="S24:S95" si="20">SUM(P24:R24)</f>
        <v>0</v>
      </c>
      <c r="T24" s="304">
        <f t="shared" si="14"/>
        <v>0</v>
      </c>
      <c r="U24" s="126"/>
      <c r="V24" s="208">
        <f t="shared" si="15"/>
        <v>0</v>
      </c>
    </row>
    <row r="25" spans="1:22" ht="12.75" customHeight="1" x14ac:dyDescent="0.2">
      <c r="A25" s="14" t="s">
        <v>20</v>
      </c>
      <c r="B25" s="513" t="s">
        <v>476</v>
      </c>
      <c r="C25" s="242"/>
      <c r="D25" s="242"/>
      <c r="E25" s="242"/>
      <c r="F25" s="242"/>
      <c r="G25" s="242"/>
      <c r="H25" s="242"/>
      <c r="I25" s="242"/>
      <c r="J25" s="242"/>
      <c r="K25" s="242"/>
      <c r="L25" s="142"/>
      <c r="M25" s="142"/>
      <c r="N25" s="142"/>
      <c r="O25" s="242"/>
      <c r="P25" s="328">
        <f t="shared" si="16"/>
        <v>0</v>
      </c>
      <c r="Q25" s="328">
        <f t="shared" si="17"/>
        <v>0</v>
      </c>
      <c r="R25" s="328">
        <f t="shared" si="18"/>
        <v>0</v>
      </c>
      <c r="S25" s="328">
        <f t="shared" si="20"/>
        <v>0</v>
      </c>
      <c r="T25" s="304">
        <f t="shared" si="14"/>
        <v>0</v>
      </c>
      <c r="U25" s="126"/>
      <c r="V25" s="208">
        <f t="shared" si="15"/>
        <v>0</v>
      </c>
    </row>
    <row r="26" spans="1:22" ht="12.75" customHeight="1" x14ac:dyDescent="0.2">
      <c r="A26" s="14" t="s">
        <v>22</v>
      </c>
      <c r="B26" s="20" t="s">
        <v>23</v>
      </c>
      <c r="C26" s="242"/>
      <c r="D26" s="242"/>
      <c r="E26" s="242"/>
      <c r="F26" s="242"/>
      <c r="G26" s="242"/>
      <c r="H26" s="242"/>
      <c r="I26" s="242"/>
      <c r="J26" s="242"/>
      <c r="K26" s="242"/>
      <c r="L26" s="142"/>
      <c r="M26" s="142"/>
      <c r="N26" s="142"/>
      <c r="O26" s="242"/>
      <c r="P26" s="328">
        <f t="shared" si="16"/>
        <v>0</v>
      </c>
      <c r="Q26" s="328">
        <f t="shared" si="17"/>
        <v>0</v>
      </c>
      <c r="R26" s="328">
        <f t="shared" si="18"/>
        <v>0</v>
      </c>
      <c r="S26" s="328">
        <f t="shared" si="20"/>
        <v>0</v>
      </c>
      <c r="T26" s="304">
        <f t="shared" si="14"/>
        <v>0</v>
      </c>
      <c r="U26" s="126"/>
      <c r="V26" s="208">
        <f t="shared" si="15"/>
        <v>0</v>
      </c>
    </row>
    <row r="27" spans="1:22" ht="12.75" customHeight="1" x14ac:dyDescent="0.2">
      <c r="A27" s="14" t="s">
        <v>24</v>
      </c>
      <c r="B27" s="20" t="s">
        <v>25</v>
      </c>
      <c r="C27" s="242"/>
      <c r="D27" s="242">
        <v>0</v>
      </c>
      <c r="E27" s="242">
        <v>0</v>
      </c>
      <c r="F27" s="242">
        <v>0</v>
      </c>
      <c r="G27" s="242"/>
      <c r="H27" s="242">
        <v>0</v>
      </c>
      <c r="I27" s="242">
        <v>0</v>
      </c>
      <c r="J27" s="242"/>
      <c r="K27" s="242"/>
      <c r="L27" s="142"/>
      <c r="M27" s="142"/>
      <c r="N27" s="142"/>
      <c r="O27" s="242"/>
      <c r="P27" s="328">
        <f t="shared" si="16"/>
        <v>0</v>
      </c>
      <c r="Q27" s="328">
        <f t="shared" si="17"/>
        <v>0</v>
      </c>
      <c r="R27" s="328">
        <f t="shared" si="18"/>
        <v>0</v>
      </c>
      <c r="S27" s="328">
        <f t="shared" si="20"/>
        <v>0</v>
      </c>
      <c r="T27" s="304">
        <f t="shared" si="14"/>
        <v>0</v>
      </c>
      <c r="U27" s="126"/>
      <c r="V27" s="208">
        <f t="shared" si="15"/>
        <v>0</v>
      </c>
    </row>
    <row r="28" spans="1:22" ht="12.75" customHeight="1" x14ac:dyDescent="0.2">
      <c r="A28" s="14"/>
      <c r="B28" s="14"/>
      <c r="C28" s="242"/>
      <c r="D28" s="242"/>
      <c r="E28" s="242"/>
      <c r="F28" s="242"/>
      <c r="G28" s="242"/>
      <c r="H28" s="242"/>
      <c r="I28" s="242"/>
      <c r="J28" s="242"/>
      <c r="K28" s="242"/>
      <c r="L28" s="161"/>
      <c r="M28" s="161"/>
      <c r="N28" s="161"/>
      <c r="O28" s="242"/>
      <c r="P28" s="328">
        <f t="shared" si="16"/>
        <v>0</v>
      </c>
      <c r="Q28" s="328">
        <f t="shared" si="17"/>
        <v>0</v>
      </c>
      <c r="R28" s="328">
        <f t="shared" si="18"/>
        <v>0</v>
      </c>
      <c r="S28" s="328">
        <f t="shared" si="20"/>
        <v>0</v>
      </c>
      <c r="T28" s="304">
        <f t="shared" si="14"/>
        <v>0</v>
      </c>
      <c r="U28" s="126"/>
      <c r="V28" s="208">
        <f t="shared" si="15"/>
        <v>0</v>
      </c>
    </row>
    <row r="29" spans="1:22" ht="12.75" customHeight="1" x14ac:dyDescent="0.2">
      <c r="A29" s="7" t="s">
        <v>26</v>
      </c>
      <c r="B29" s="5" t="s">
        <v>27</v>
      </c>
      <c r="C29" s="237">
        <f>SUM(C30:C31)</f>
        <v>3122000</v>
      </c>
      <c r="D29" s="237">
        <f t="shared" ref="D29:J29" si="21">SUM(D30:D31)</f>
        <v>3122000</v>
      </c>
      <c r="E29" s="237">
        <f t="shared" si="21"/>
        <v>3122000</v>
      </c>
      <c r="F29" s="237">
        <f t="shared" si="21"/>
        <v>3192883</v>
      </c>
      <c r="G29" s="237"/>
      <c r="H29" s="237">
        <f t="shared" si="21"/>
        <v>1584849</v>
      </c>
      <c r="I29" s="237">
        <f t="shared" si="21"/>
        <v>2457659</v>
      </c>
      <c r="J29" s="237">
        <f t="shared" si="21"/>
        <v>3192883</v>
      </c>
      <c r="K29" s="237"/>
      <c r="L29" s="89">
        <f t="shared" ref="L29:N30" si="22">+H29/D29</f>
        <v>0.50763901345291484</v>
      </c>
      <c r="M29" s="89">
        <f t="shared" si="22"/>
        <v>0.78720659833440099</v>
      </c>
      <c r="N29" s="89">
        <f t="shared" si="22"/>
        <v>1</v>
      </c>
      <c r="O29" s="237"/>
      <c r="P29" s="237">
        <f t="shared" si="16"/>
        <v>0</v>
      </c>
      <c r="Q29" s="237">
        <f t="shared" si="17"/>
        <v>0</v>
      </c>
      <c r="R29" s="237">
        <f t="shared" si="18"/>
        <v>70883</v>
      </c>
      <c r="S29" s="237">
        <f t="shared" si="20"/>
        <v>70883</v>
      </c>
      <c r="T29" s="304">
        <f t="shared" si="14"/>
        <v>2.2704356181934657E-2</v>
      </c>
      <c r="U29" s="126"/>
      <c r="V29" s="208">
        <f t="shared" si="15"/>
        <v>70883</v>
      </c>
    </row>
    <row r="30" spans="1:22" ht="12.75" customHeight="1" x14ac:dyDescent="0.2">
      <c r="A30" s="14"/>
      <c r="B30" s="20" t="s">
        <v>28</v>
      </c>
      <c r="C30" s="242">
        <v>3122000</v>
      </c>
      <c r="D30" s="242">
        <v>3122000</v>
      </c>
      <c r="E30" s="242">
        <v>3122000</v>
      </c>
      <c r="F30" s="242">
        <v>3192883</v>
      </c>
      <c r="G30" s="242"/>
      <c r="H30" s="242">
        <v>1584849</v>
      </c>
      <c r="I30" s="242">
        <v>2457659</v>
      </c>
      <c r="J30" s="242">
        <v>3192883</v>
      </c>
      <c r="K30" s="242"/>
      <c r="L30" s="143">
        <f t="shared" si="22"/>
        <v>0.50763901345291484</v>
      </c>
      <c r="M30" s="143">
        <f t="shared" si="22"/>
        <v>0.78720659833440099</v>
      </c>
      <c r="N30" s="143">
        <f t="shared" si="22"/>
        <v>1</v>
      </c>
      <c r="O30" s="242"/>
      <c r="P30" s="328">
        <f t="shared" si="16"/>
        <v>0</v>
      </c>
      <c r="Q30" s="328">
        <f t="shared" si="17"/>
        <v>0</v>
      </c>
      <c r="R30" s="328">
        <f t="shared" si="18"/>
        <v>70883</v>
      </c>
      <c r="S30" s="328">
        <f t="shared" si="20"/>
        <v>70883</v>
      </c>
      <c r="T30" s="304">
        <f t="shared" si="14"/>
        <v>2.2704356181934657E-2</v>
      </c>
      <c r="U30" s="126"/>
      <c r="V30" s="208">
        <f t="shared" si="15"/>
        <v>70883</v>
      </c>
    </row>
    <row r="31" spans="1:22" ht="12.75" customHeight="1" x14ac:dyDescent="0.2">
      <c r="A31" s="14"/>
      <c r="B31" s="14"/>
      <c r="C31" s="242"/>
      <c r="D31" s="242"/>
      <c r="E31" s="242"/>
      <c r="F31" s="242"/>
      <c r="G31" s="242"/>
      <c r="H31" s="242"/>
      <c r="I31" s="242"/>
      <c r="J31" s="242"/>
      <c r="K31" s="242"/>
      <c r="L31" s="161"/>
      <c r="M31" s="161"/>
      <c r="N31" s="161"/>
      <c r="O31" s="242"/>
      <c r="P31" s="328">
        <f t="shared" si="16"/>
        <v>0</v>
      </c>
      <c r="Q31" s="328">
        <f t="shared" si="17"/>
        <v>0</v>
      </c>
      <c r="R31" s="328">
        <f t="shared" si="18"/>
        <v>0</v>
      </c>
      <c r="S31" s="328">
        <f t="shared" si="20"/>
        <v>0</v>
      </c>
      <c r="T31" s="304">
        <f t="shared" si="14"/>
        <v>0</v>
      </c>
      <c r="U31" s="126"/>
      <c r="V31" s="208">
        <f t="shared" si="15"/>
        <v>0</v>
      </c>
    </row>
    <row r="32" spans="1:22" ht="12.75" customHeight="1" x14ac:dyDescent="0.2">
      <c r="A32" s="7" t="s">
        <v>29</v>
      </c>
      <c r="B32" s="5" t="s">
        <v>30</v>
      </c>
      <c r="C32" s="237">
        <f>+C33+C48+C66+C71</f>
        <v>13613000</v>
      </c>
      <c r="D32" s="237">
        <f>+D33+D48+D66+D71</f>
        <v>15199000</v>
      </c>
      <c r="E32" s="237">
        <f>+E33+E41+E48+E66+E71</f>
        <v>14945140</v>
      </c>
      <c r="F32" s="237">
        <f>+F33+F41+F48+F66+F71</f>
        <v>15843014</v>
      </c>
      <c r="G32" s="237"/>
      <c r="H32" s="237">
        <f t="shared" ref="H32" si="23">+H33+H48+H66+H71</f>
        <v>6129626</v>
      </c>
      <c r="I32" s="237">
        <f>+I33+I41+I48+I66+I71</f>
        <v>12757339</v>
      </c>
      <c r="J32" s="237">
        <f>+J33+J41+J48+J66+J71</f>
        <v>15338667</v>
      </c>
      <c r="K32" s="237"/>
      <c r="L32" s="89">
        <f>+H32/D32</f>
        <v>0.40329140075004932</v>
      </c>
      <c r="M32" s="89">
        <f>+I32/E32</f>
        <v>0.85361120738915797</v>
      </c>
      <c r="N32" s="89">
        <f>+J32/F32</f>
        <v>0.96816596892485229</v>
      </c>
      <c r="O32" s="237"/>
      <c r="P32" s="237">
        <f t="shared" si="16"/>
        <v>1586000</v>
      </c>
      <c r="Q32" s="237">
        <f t="shared" si="17"/>
        <v>-253860</v>
      </c>
      <c r="R32" s="237">
        <f t="shared" si="18"/>
        <v>897874</v>
      </c>
      <c r="S32" s="237">
        <f t="shared" si="20"/>
        <v>2230014</v>
      </c>
      <c r="T32" s="304">
        <f t="shared" si="14"/>
        <v>0.16381502975097334</v>
      </c>
      <c r="U32" s="126"/>
      <c r="V32" s="208">
        <f t="shared" si="15"/>
        <v>897874</v>
      </c>
    </row>
    <row r="33" spans="1:22" ht="12.75" customHeight="1" x14ac:dyDescent="0.2">
      <c r="A33" s="39" t="s">
        <v>31</v>
      </c>
      <c r="B33" s="40" t="s">
        <v>32</v>
      </c>
      <c r="C33" s="301">
        <f>SUM(C34:C40)</f>
        <v>3590000</v>
      </c>
      <c r="D33" s="301">
        <f t="shared" ref="D33:J33" si="24">SUM(D34:D40)</f>
        <v>3590000</v>
      </c>
      <c r="E33" s="301">
        <f t="shared" si="24"/>
        <v>2873599</v>
      </c>
      <c r="F33" s="301">
        <f t="shared" si="24"/>
        <v>3299412</v>
      </c>
      <c r="G33" s="301"/>
      <c r="H33" s="301">
        <f t="shared" si="24"/>
        <v>1144085</v>
      </c>
      <c r="I33" s="301">
        <f t="shared" si="24"/>
        <v>2110410</v>
      </c>
      <c r="J33" s="301">
        <f t="shared" si="24"/>
        <v>3288047</v>
      </c>
      <c r="K33" s="242"/>
      <c r="L33" s="161"/>
      <c r="M33" s="161"/>
      <c r="N33" s="161"/>
      <c r="O33" s="242"/>
      <c r="P33" s="242">
        <f t="shared" si="16"/>
        <v>0</v>
      </c>
      <c r="Q33" s="242">
        <f t="shared" si="17"/>
        <v>-716401</v>
      </c>
      <c r="R33" s="242">
        <f t="shared" si="18"/>
        <v>425813</v>
      </c>
      <c r="S33" s="242">
        <f t="shared" si="20"/>
        <v>-290588</v>
      </c>
      <c r="T33" s="304">
        <f t="shared" si="14"/>
        <v>-8.0943732590529255E-2</v>
      </c>
      <c r="U33" s="126"/>
      <c r="V33" s="208">
        <f t="shared" si="15"/>
        <v>425813</v>
      </c>
    </row>
    <row r="34" spans="1:22" ht="12.75" customHeight="1" x14ac:dyDescent="0.2">
      <c r="A34" s="14" t="s">
        <v>33</v>
      </c>
      <c r="B34" s="20" t="s">
        <v>35</v>
      </c>
      <c r="C34" s="242">
        <v>1490000</v>
      </c>
      <c r="D34" s="242">
        <v>1490000</v>
      </c>
      <c r="E34" s="242">
        <v>666970</v>
      </c>
      <c r="F34" s="242">
        <v>966221</v>
      </c>
      <c r="G34" s="242"/>
      <c r="H34" s="242">
        <v>147648</v>
      </c>
      <c r="I34" s="242">
        <v>481596</v>
      </c>
      <c r="J34" s="242">
        <v>966221</v>
      </c>
      <c r="K34" s="242"/>
      <c r="L34" s="143">
        <f>+H34/D34</f>
        <v>9.9092617449664425E-2</v>
      </c>
      <c r="M34" s="143">
        <f>+I34/E34</f>
        <v>0.72206546021560192</v>
      </c>
      <c r="N34" s="143">
        <f>+J34/F34</f>
        <v>1</v>
      </c>
      <c r="O34" s="242"/>
      <c r="P34" s="328">
        <f t="shared" si="16"/>
        <v>0</v>
      </c>
      <c r="Q34" s="328">
        <f t="shared" si="17"/>
        <v>-823030</v>
      </c>
      <c r="R34" s="328">
        <f t="shared" si="18"/>
        <v>299251</v>
      </c>
      <c r="S34" s="328">
        <f t="shared" si="20"/>
        <v>-523779</v>
      </c>
      <c r="T34" s="304">
        <f t="shared" si="14"/>
        <v>-0.35152953020134226</v>
      </c>
      <c r="U34" s="126"/>
      <c r="V34" s="208">
        <f t="shared" si="15"/>
        <v>299251</v>
      </c>
    </row>
    <row r="35" spans="1:22" ht="15.75" customHeight="1" x14ac:dyDescent="0.2">
      <c r="A35" s="14"/>
      <c r="B35" s="20" t="s">
        <v>89</v>
      </c>
      <c r="C35" s="242"/>
      <c r="D35" s="242"/>
      <c r="E35" s="242"/>
      <c r="F35" s="242"/>
      <c r="G35" s="242"/>
      <c r="H35" s="242"/>
      <c r="I35" s="242"/>
      <c r="J35" s="242"/>
      <c r="K35" s="242"/>
      <c r="L35" s="143"/>
      <c r="M35" s="143"/>
      <c r="N35" s="143"/>
      <c r="O35" s="242"/>
      <c r="P35" s="242">
        <f t="shared" si="16"/>
        <v>0</v>
      </c>
      <c r="Q35" s="242">
        <f t="shared" si="17"/>
        <v>0</v>
      </c>
      <c r="R35" s="242">
        <f t="shared" si="18"/>
        <v>0</v>
      </c>
      <c r="S35" s="242">
        <f t="shared" si="20"/>
        <v>0</v>
      </c>
      <c r="T35" s="304">
        <f t="shared" si="14"/>
        <v>0</v>
      </c>
      <c r="U35" s="126"/>
      <c r="V35" s="208">
        <f t="shared" si="15"/>
        <v>0</v>
      </c>
    </row>
    <row r="36" spans="1:22" ht="12.75" customHeight="1" x14ac:dyDescent="0.2">
      <c r="A36" s="14" t="s">
        <v>34</v>
      </c>
      <c r="B36" s="20" t="s">
        <v>36</v>
      </c>
      <c r="C36" s="242">
        <v>2100000</v>
      </c>
      <c r="D36" s="242">
        <v>2100000</v>
      </c>
      <c r="E36" s="242">
        <v>2206629</v>
      </c>
      <c r="F36" s="242">
        <v>2333191</v>
      </c>
      <c r="G36" s="242"/>
      <c r="H36" s="242">
        <v>996437</v>
      </c>
      <c r="I36" s="242">
        <v>1628814</v>
      </c>
      <c r="J36" s="242">
        <v>2321826</v>
      </c>
      <c r="K36" s="242"/>
      <c r="L36" s="143">
        <f>+H36/D36</f>
        <v>0.47449380952380954</v>
      </c>
      <c r="M36" s="143">
        <f>+I36/E36</f>
        <v>0.73814583239864973</v>
      </c>
      <c r="N36" s="143">
        <f>+J36/F36</f>
        <v>0.99512898858258925</v>
      </c>
      <c r="O36" s="242"/>
      <c r="P36" s="328">
        <f t="shared" si="16"/>
        <v>0</v>
      </c>
      <c r="Q36" s="328">
        <f t="shared" si="17"/>
        <v>106629</v>
      </c>
      <c r="R36" s="328">
        <f t="shared" si="18"/>
        <v>126562</v>
      </c>
      <c r="S36" s="328">
        <f t="shared" si="20"/>
        <v>233191</v>
      </c>
      <c r="T36" s="304">
        <f t="shared" si="14"/>
        <v>0.11104333333333333</v>
      </c>
      <c r="U36" s="126"/>
      <c r="V36" s="208">
        <f t="shared" si="15"/>
        <v>126562</v>
      </c>
    </row>
    <row r="37" spans="1:22" ht="12.75" customHeight="1" x14ac:dyDescent="0.2">
      <c r="A37" s="14"/>
      <c r="B37" s="20" t="s">
        <v>105</v>
      </c>
      <c r="C37" s="242"/>
      <c r="D37" s="242"/>
      <c r="E37" s="242"/>
      <c r="F37" s="242"/>
      <c r="G37" s="242"/>
      <c r="H37" s="242"/>
      <c r="I37" s="242"/>
      <c r="J37" s="242"/>
      <c r="K37" s="242"/>
      <c r="L37" s="143"/>
      <c r="M37" s="143"/>
      <c r="N37" s="143"/>
      <c r="O37" s="242"/>
      <c r="P37" s="242">
        <f t="shared" si="16"/>
        <v>0</v>
      </c>
      <c r="Q37" s="242">
        <f t="shared" si="17"/>
        <v>0</v>
      </c>
      <c r="R37" s="242">
        <f t="shared" si="18"/>
        <v>0</v>
      </c>
      <c r="S37" s="242">
        <f t="shared" si="20"/>
        <v>0</v>
      </c>
      <c r="T37" s="304">
        <f t="shared" si="14"/>
        <v>0</v>
      </c>
      <c r="U37" s="126"/>
      <c r="V37" s="208">
        <f t="shared" si="15"/>
        <v>0</v>
      </c>
    </row>
    <row r="38" spans="1:22" ht="12.75" customHeight="1" x14ac:dyDescent="0.2">
      <c r="A38" s="14"/>
      <c r="B38" s="20" t="s">
        <v>95</v>
      </c>
      <c r="C38" s="242"/>
      <c r="D38" s="242"/>
      <c r="E38" s="242"/>
      <c r="F38" s="242"/>
      <c r="G38" s="242"/>
      <c r="H38" s="242"/>
      <c r="I38" s="242"/>
      <c r="J38" s="242"/>
      <c r="K38" s="242"/>
      <c r="L38" s="143"/>
      <c r="M38" s="143"/>
      <c r="N38" s="143"/>
      <c r="O38" s="242"/>
      <c r="P38" s="242">
        <f t="shared" si="16"/>
        <v>0</v>
      </c>
      <c r="Q38" s="242">
        <f t="shared" si="17"/>
        <v>0</v>
      </c>
      <c r="R38" s="242">
        <f t="shared" si="18"/>
        <v>0</v>
      </c>
      <c r="S38" s="242">
        <f t="shared" si="20"/>
        <v>0</v>
      </c>
      <c r="T38" s="304">
        <f t="shared" si="14"/>
        <v>0</v>
      </c>
      <c r="U38" s="126"/>
      <c r="V38" s="208">
        <f t="shared" si="15"/>
        <v>0</v>
      </c>
    </row>
    <row r="39" spans="1:22" ht="12.75" customHeight="1" x14ac:dyDescent="0.2">
      <c r="A39" s="14"/>
      <c r="B39" s="20" t="s">
        <v>94</v>
      </c>
      <c r="C39" s="242"/>
      <c r="D39" s="242"/>
      <c r="E39" s="242"/>
      <c r="F39" s="242"/>
      <c r="G39" s="242"/>
      <c r="H39" s="242"/>
      <c r="I39" s="242"/>
      <c r="J39" s="242"/>
      <c r="K39" s="242"/>
      <c r="L39" s="143"/>
      <c r="M39" s="143"/>
      <c r="N39" s="143"/>
      <c r="O39" s="242"/>
      <c r="P39" s="242">
        <f t="shared" si="16"/>
        <v>0</v>
      </c>
      <c r="Q39" s="242">
        <f t="shared" si="17"/>
        <v>0</v>
      </c>
      <c r="R39" s="242">
        <f t="shared" si="18"/>
        <v>0</v>
      </c>
      <c r="S39" s="242">
        <f t="shared" si="20"/>
        <v>0</v>
      </c>
      <c r="T39" s="304">
        <f t="shared" si="14"/>
        <v>0</v>
      </c>
      <c r="U39" s="126"/>
      <c r="V39" s="208">
        <f t="shared" si="15"/>
        <v>0</v>
      </c>
    </row>
    <row r="40" spans="1:22" ht="12.75" customHeight="1" x14ac:dyDescent="0.2">
      <c r="A40" s="14"/>
      <c r="B40" s="20" t="s">
        <v>93</v>
      </c>
      <c r="C40" s="242"/>
      <c r="D40" s="242"/>
      <c r="E40" s="242"/>
      <c r="F40" s="242"/>
      <c r="G40" s="242"/>
      <c r="H40" s="242"/>
      <c r="I40" s="242"/>
      <c r="J40" s="242"/>
      <c r="K40" s="242"/>
      <c r="L40" s="143"/>
      <c r="M40" s="143"/>
      <c r="N40" s="143"/>
      <c r="O40" s="242"/>
      <c r="P40" s="242">
        <f t="shared" si="16"/>
        <v>0</v>
      </c>
      <c r="Q40" s="242">
        <f t="shared" si="17"/>
        <v>0</v>
      </c>
      <c r="R40" s="242">
        <f t="shared" si="18"/>
        <v>0</v>
      </c>
      <c r="S40" s="242">
        <f t="shared" si="20"/>
        <v>0</v>
      </c>
      <c r="T40" s="304">
        <f t="shared" si="14"/>
        <v>0</v>
      </c>
      <c r="U40" s="126"/>
      <c r="V40" s="208">
        <f t="shared" si="15"/>
        <v>0</v>
      </c>
    </row>
    <row r="41" spans="1:22" ht="12.75" customHeight="1" x14ac:dyDescent="0.2">
      <c r="A41" s="39" t="s">
        <v>37</v>
      </c>
      <c r="B41" s="40" t="s">
        <v>38</v>
      </c>
      <c r="C41" s="301">
        <f>SUM(C42:C47)</f>
        <v>100000</v>
      </c>
      <c r="D41" s="301">
        <v>90000</v>
      </c>
      <c r="E41" s="301">
        <f t="shared" ref="E41:J41" si="25">SUM(E42:E47)</f>
        <v>70000</v>
      </c>
      <c r="F41" s="301">
        <f t="shared" si="25"/>
        <v>101860</v>
      </c>
      <c r="G41" s="301"/>
      <c r="H41" s="301">
        <f t="shared" si="25"/>
        <v>0</v>
      </c>
      <c r="I41" s="301">
        <f t="shared" si="25"/>
        <v>70000</v>
      </c>
      <c r="J41" s="301">
        <f t="shared" si="25"/>
        <v>101860</v>
      </c>
      <c r="K41" s="242"/>
      <c r="L41" s="143"/>
      <c r="M41" s="143"/>
      <c r="N41" s="143"/>
      <c r="O41" s="242"/>
      <c r="P41" s="242">
        <f t="shared" si="16"/>
        <v>-10000</v>
      </c>
      <c r="Q41" s="242">
        <f t="shared" si="17"/>
        <v>-20000</v>
      </c>
      <c r="R41" s="242">
        <f t="shared" si="18"/>
        <v>31860</v>
      </c>
      <c r="S41" s="242">
        <f t="shared" si="20"/>
        <v>1860</v>
      </c>
      <c r="T41" s="304">
        <f t="shared" si="14"/>
        <v>1.8599999999999998E-2</v>
      </c>
      <c r="U41" s="126"/>
      <c r="V41" s="208">
        <f t="shared" si="15"/>
        <v>31860</v>
      </c>
    </row>
    <row r="42" spans="1:22" ht="12.75" customHeight="1" x14ac:dyDescent="0.2">
      <c r="A42" s="14" t="s">
        <v>39</v>
      </c>
      <c r="B42" s="20" t="s">
        <v>40</v>
      </c>
      <c r="C42" s="242">
        <v>90000</v>
      </c>
      <c r="D42" s="242"/>
      <c r="E42" s="242">
        <v>70000</v>
      </c>
      <c r="F42" s="242">
        <v>101860</v>
      </c>
      <c r="G42" s="242"/>
      <c r="H42" s="242">
        <v>0</v>
      </c>
      <c r="I42" s="242">
        <v>70000</v>
      </c>
      <c r="J42" s="242">
        <v>101860</v>
      </c>
      <c r="K42" s="242"/>
      <c r="L42" s="143"/>
      <c r="M42" s="143"/>
      <c r="N42" s="143"/>
      <c r="O42" s="242"/>
      <c r="P42" s="242">
        <f t="shared" si="16"/>
        <v>-90000</v>
      </c>
      <c r="Q42" s="242">
        <f t="shared" si="17"/>
        <v>70000</v>
      </c>
      <c r="R42" s="242">
        <f t="shared" si="18"/>
        <v>31860</v>
      </c>
      <c r="S42" s="242">
        <f t="shared" si="20"/>
        <v>11860</v>
      </c>
      <c r="T42" s="304">
        <f t="shared" si="14"/>
        <v>0.13177777777777777</v>
      </c>
      <c r="U42" s="126"/>
      <c r="V42" s="208">
        <f t="shared" si="15"/>
        <v>31860</v>
      </c>
    </row>
    <row r="43" spans="1:22" ht="12.75" customHeight="1" x14ac:dyDescent="0.2">
      <c r="A43" s="14"/>
      <c r="B43" s="20" t="s">
        <v>41</v>
      </c>
      <c r="C43" s="242"/>
      <c r="D43" s="242"/>
      <c r="E43" s="242"/>
      <c r="F43" s="242"/>
      <c r="G43" s="242"/>
      <c r="H43" s="242"/>
      <c r="I43" s="242"/>
      <c r="J43" s="242"/>
      <c r="K43" s="242"/>
      <c r="L43" s="143"/>
      <c r="M43" s="143"/>
      <c r="N43" s="143"/>
      <c r="O43" s="242"/>
      <c r="P43" s="242">
        <f t="shared" si="16"/>
        <v>0</v>
      </c>
      <c r="Q43" s="242">
        <f t="shared" si="17"/>
        <v>0</v>
      </c>
      <c r="R43" s="242">
        <f t="shared" si="18"/>
        <v>0</v>
      </c>
      <c r="S43" s="242">
        <f t="shared" si="20"/>
        <v>0</v>
      </c>
      <c r="T43" s="304">
        <f t="shared" si="14"/>
        <v>0</v>
      </c>
      <c r="U43" s="126"/>
      <c r="V43" s="208">
        <f t="shared" si="15"/>
        <v>0</v>
      </c>
    </row>
    <row r="44" spans="1:22" ht="12.75" customHeight="1" x14ac:dyDescent="0.2">
      <c r="A44" s="14"/>
      <c r="B44" s="20" t="s">
        <v>42</v>
      </c>
      <c r="C44" s="242"/>
      <c r="D44" s="242"/>
      <c r="E44" s="242"/>
      <c r="F44" s="242"/>
      <c r="G44" s="242"/>
      <c r="H44" s="242"/>
      <c r="I44" s="242"/>
      <c r="J44" s="242"/>
      <c r="K44" s="242"/>
      <c r="L44" s="143"/>
      <c r="M44" s="143"/>
      <c r="N44" s="143"/>
      <c r="O44" s="242"/>
      <c r="P44" s="242">
        <f t="shared" si="16"/>
        <v>0</v>
      </c>
      <c r="Q44" s="242">
        <f t="shared" si="17"/>
        <v>0</v>
      </c>
      <c r="R44" s="242">
        <f t="shared" si="18"/>
        <v>0</v>
      </c>
      <c r="S44" s="242">
        <f t="shared" si="20"/>
        <v>0</v>
      </c>
      <c r="T44" s="304">
        <f t="shared" si="14"/>
        <v>0</v>
      </c>
      <c r="U44" s="126"/>
      <c r="V44" s="208">
        <f t="shared" si="15"/>
        <v>0</v>
      </c>
    </row>
    <row r="45" spans="1:22" ht="12.75" customHeight="1" x14ac:dyDescent="0.2">
      <c r="A45" s="14"/>
      <c r="B45" s="20" t="s">
        <v>43</v>
      </c>
      <c r="C45" s="242"/>
      <c r="D45" s="242"/>
      <c r="E45" s="242"/>
      <c r="F45" s="242"/>
      <c r="G45" s="242"/>
      <c r="H45" s="242"/>
      <c r="I45" s="242"/>
      <c r="J45" s="242"/>
      <c r="K45" s="242"/>
      <c r="L45" s="143"/>
      <c r="M45" s="143"/>
      <c r="N45" s="143"/>
      <c r="O45" s="242"/>
      <c r="P45" s="242">
        <f t="shared" si="16"/>
        <v>0</v>
      </c>
      <c r="Q45" s="242">
        <f t="shared" si="17"/>
        <v>0</v>
      </c>
      <c r="R45" s="242">
        <f t="shared" si="18"/>
        <v>0</v>
      </c>
      <c r="S45" s="242">
        <f t="shared" si="20"/>
        <v>0</v>
      </c>
      <c r="T45" s="304">
        <f t="shared" si="14"/>
        <v>0</v>
      </c>
      <c r="U45" s="126"/>
      <c r="V45" s="208">
        <f t="shared" si="15"/>
        <v>0</v>
      </c>
    </row>
    <row r="46" spans="1:22" ht="12.75" customHeight="1" x14ac:dyDescent="0.2">
      <c r="A46" s="14" t="s">
        <v>44</v>
      </c>
      <c r="B46" s="20" t="s">
        <v>45</v>
      </c>
      <c r="C46" s="242">
        <v>10000</v>
      </c>
      <c r="D46" s="242">
        <v>10000</v>
      </c>
      <c r="E46" s="242">
        <v>0</v>
      </c>
      <c r="F46" s="242">
        <v>0</v>
      </c>
      <c r="G46" s="242"/>
      <c r="H46" s="242">
        <v>0</v>
      </c>
      <c r="I46" s="242">
        <v>0</v>
      </c>
      <c r="J46" s="242">
        <v>0</v>
      </c>
      <c r="K46" s="242"/>
      <c r="L46" s="143"/>
      <c r="M46" s="143"/>
      <c r="N46" s="143"/>
      <c r="O46" s="242"/>
      <c r="P46" s="242">
        <f t="shared" si="16"/>
        <v>0</v>
      </c>
      <c r="Q46" s="242">
        <f t="shared" si="17"/>
        <v>-10000</v>
      </c>
      <c r="R46" s="242">
        <f t="shared" si="18"/>
        <v>0</v>
      </c>
      <c r="S46" s="242">
        <f t="shared" si="20"/>
        <v>-10000</v>
      </c>
      <c r="T46" s="304">
        <f t="shared" si="14"/>
        <v>-1</v>
      </c>
      <c r="U46" s="126"/>
      <c r="V46" s="208">
        <f t="shared" si="15"/>
        <v>0</v>
      </c>
    </row>
    <row r="47" spans="1:22" ht="12.75" customHeight="1" x14ac:dyDescent="0.2">
      <c r="A47" s="14"/>
      <c r="B47" s="20" t="s">
        <v>46</v>
      </c>
      <c r="C47" s="242"/>
      <c r="D47" s="242"/>
      <c r="E47" s="242"/>
      <c r="F47" s="242"/>
      <c r="G47" s="242"/>
      <c r="H47" s="242"/>
      <c r="I47" s="242"/>
      <c r="J47" s="242"/>
      <c r="K47" s="242"/>
      <c r="L47" s="143"/>
      <c r="M47" s="143"/>
      <c r="N47" s="143"/>
      <c r="O47" s="242"/>
      <c r="P47" s="242">
        <f t="shared" si="16"/>
        <v>0</v>
      </c>
      <c r="Q47" s="242">
        <f t="shared" si="17"/>
        <v>0</v>
      </c>
      <c r="R47" s="242">
        <f t="shared" si="18"/>
        <v>0</v>
      </c>
      <c r="S47" s="242">
        <f t="shared" si="20"/>
        <v>0</v>
      </c>
      <c r="T47" s="304">
        <f t="shared" si="14"/>
        <v>0</v>
      </c>
      <c r="U47" s="126"/>
      <c r="V47" s="208">
        <f t="shared" si="15"/>
        <v>0</v>
      </c>
    </row>
    <row r="48" spans="1:22" ht="12.75" customHeight="1" x14ac:dyDescent="0.2">
      <c r="A48" s="39" t="s">
        <v>47</v>
      </c>
      <c r="B48" s="40" t="s">
        <v>48</v>
      </c>
      <c r="C48" s="301">
        <f>SUM(C49:C65)</f>
        <v>7745000</v>
      </c>
      <c r="D48" s="301">
        <f t="shared" ref="D48:J48" si="26">SUM(D49:D65)</f>
        <v>9726000</v>
      </c>
      <c r="E48" s="301">
        <f t="shared" si="26"/>
        <v>9488100</v>
      </c>
      <c r="F48" s="301">
        <f t="shared" si="26"/>
        <v>9872013</v>
      </c>
      <c r="G48" s="301"/>
      <c r="H48" s="301">
        <f t="shared" si="26"/>
        <v>3909349</v>
      </c>
      <c r="I48" s="301">
        <f t="shared" si="26"/>
        <v>8535352</v>
      </c>
      <c r="J48" s="301">
        <f t="shared" si="26"/>
        <v>9532618</v>
      </c>
      <c r="K48" s="242"/>
      <c r="L48" s="143"/>
      <c r="M48" s="143"/>
      <c r="N48" s="143"/>
      <c r="O48" s="242"/>
      <c r="P48" s="242">
        <f t="shared" si="16"/>
        <v>1981000</v>
      </c>
      <c r="Q48" s="242">
        <f t="shared" si="17"/>
        <v>-237900</v>
      </c>
      <c r="R48" s="242">
        <f t="shared" si="18"/>
        <v>383913</v>
      </c>
      <c r="S48" s="242">
        <f t="shared" si="20"/>
        <v>2127013</v>
      </c>
      <c r="T48" s="304">
        <f t="shared" ref="T48:T64" si="27">IF(C48=0,0,+S48/C48)</f>
        <v>0.27463047127178825</v>
      </c>
      <c r="U48" s="126"/>
      <c r="V48" s="208">
        <f t="shared" ref="V48:V64" si="28">+S48-E48+C48</f>
        <v>383913</v>
      </c>
    </row>
    <row r="49" spans="1:22" ht="12.75" customHeight="1" x14ac:dyDescent="0.2">
      <c r="A49" s="14" t="s">
        <v>49</v>
      </c>
      <c r="B49" s="20" t="s">
        <v>50</v>
      </c>
      <c r="C49" s="242">
        <v>1300000</v>
      </c>
      <c r="D49" s="242">
        <v>3300000</v>
      </c>
      <c r="E49" s="242">
        <v>3400000</v>
      </c>
      <c r="F49" s="242">
        <v>3038698</v>
      </c>
      <c r="G49" s="242"/>
      <c r="H49" s="242">
        <v>2620810</v>
      </c>
      <c r="I49" s="242">
        <v>2701455</v>
      </c>
      <c r="J49" s="242">
        <v>2783657</v>
      </c>
      <c r="K49" s="242"/>
      <c r="L49" s="143">
        <f>+H49/D49</f>
        <v>0.79418484848484849</v>
      </c>
      <c r="M49" s="143">
        <f>+I49/E49</f>
        <v>0.79454558823529409</v>
      </c>
      <c r="N49" s="143">
        <f>+J49/F49</f>
        <v>0.91606898744133181</v>
      </c>
      <c r="O49" s="242"/>
      <c r="P49" s="328">
        <f t="shared" si="16"/>
        <v>2000000</v>
      </c>
      <c r="Q49" s="328">
        <f t="shared" si="17"/>
        <v>100000</v>
      </c>
      <c r="R49" s="328">
        <f t="shared" si="18"/>
        <v>-361302</v>
      </c>
      <c r="S49" s="328">
        <f t="shared" si="20"/>
        <v>1738698</v>
      </c>
      <c r="T49" s="304">
        <f t="shared" si="27"/>
        <v>1.3374600000000001</v>
      </c>
      <c r="U49" s="126"/>
      <c r="V49" s="208">
        <f t="shared" si="28"/>
        <v>-361302</v>
      </c>
    </row>
    <row r="50" spans="1:22" ht="12.75" customHeight="1" x14ac:dyDescent="0.2">
      <c r="A50" s="14" t="s">
        <v>103</v>
      </c>
      <c r="B50" s="20" t="s">
        <v>97</v>
      </c>
      <c r="C50" s="242"/>
      <c r="D50" s="242"/>
      <c r="E50" s="242">
        <v>0</v>
      </c>
      <c r="F50" s="242"/>
      <c r="G50" s="242"/>
      <c r="H50" s="242"/>
      <c r="I50" s="242"/>
      <c r="J50" s="242"/>
      <c r="K50" s="242"/>
      <c r="L50" s="143"/>
      <c r="M50" s="143"/>
      <c r="N50" s="143"/>
      <c r="O50" s="242"/>
      <c r="P50" s="242">
        <f t="shared" si="16"/>
        <v>0</v>
      </c>
      <c r="Q50" s="242">
        <f t="shared" si="17"/>
        <v>0</v>
      </c>
      <c r="R50" s="242">
        <f t="shared" si="18"/>
        <v>0</v>
      </c>
      <c r="S50" s="242">
        <f t="shared" si="20"/>
        <v>0</v>
      </c>
      <c r="T50" s="304">
        <f t="shared" si="27"/>
        <v>0</v>
      </c>
      <c r="U50" s="126"/>
      <c r="V50" s="208">
        <f t="shared" si="28"/>
        <v>0</v>
      </c>
    </row>
    <row r="51" spans="1:22" ht="12.75" customHeight="1" x14ac:dyDescent="0.2">
      <c r="A51" s="14"/>
      <c r="B51" s="20" t="s">
        <v>98</v>
      </c>
      <c r="C51" s="242"/>
      <c r="D51" s="242"/>
      <c r="E51" s="242"/>
      <c r="F51" s="242"/>
      <c r="G51" s="242"/>
      <c r="H51" s="242"/>
      <c r="I51" s="242"/>
      <c r="J51" s="242"/>
      <c r="K51" s="242"/>
      <c r="L51" s="143"/>
      <c r="M51" s="143"/>
      <c r="N51" s="143"/>
      <c r="O51" s="242"/>
      <c r="P51" s="242">
        <f t="shared" si="16"/>
        <v>0</v>
      </c>
      <c r="Q51" s="242">
        <f t="shared" si="17"/>
        <v>0</v>
      </c>
      <c r="R51" s="242">
        <f t="shared" si="18"/>
        <v>0</v>
      </c>
      <c r="S51" s="242">
        <f t="shared" si="20"/>
        <v>0</v>
      </c>
      <c r="T51" s="304">
        <f t="shared" si="27"/>
        <v>0</v>
      </c>
      <c r="U51" s="126"/>
      <c r="V51" s="208">
        <f t="shared" si="28"/>
        <v>0</v>
      </c>
    </row>
    <row r="52" spans="1:22" ht="12.75" customHeight="1" x14ac:dyDescent="0.2">
      <c r="A52" s="14"/>
      <c r="B52" s="20" t="s">
        <v>99</v>
      </c>
      <c r="C52" s="242"/>
      <c r="D52" s="242"/>
      <c r="E52" s="242"/>
      <c r="F52" s="242"/>
      <c r="G52" s="242"/>
      <c r="H52" s="242"/>
      <c r="I52" s="242"/>
      <c r="J52" s="242"/>
      <c r="K52" s="242"/>
      <c r="L52" s="143"/>
      <c r="M52" s="143"/>
      <c r="N52" s="143"/>
      <c r="O52" s="242"/>
      <c r="P52" s="242">
        <f t="shared" si="16"/>
        <v>0</v>
      </c>
      <c r="Q52" s="242">
        <f t="shared" si="17"/>
        <v>0</v>
      </c>
      <c r="R52" s="242">
        <f t="shared" si="18"/>
        <v>0</v>
      </c>
      <c r="S52" s="242">
        <f t="shared" si="20"/>
        <v>0</v>
      </c>
      <c r="T52" s="304">
        <f t="shared" si="27"/>
        <v>0</v>
      </c>
      <c r="U52" s="126"/>
      <c r="V52" s="208">
        <f t="shared" si="28"/>
        <v>0</v>
      </c>
    </row>
    <row r="53" spans="1:22" ht="12.75" customHeight="1" x14ac:dyDescent="0.2">
      <c r="A53" s="14" t="s">
        <v>51</v>
      </c>
      <c r="B53" s="20" t="s">
        <v>52</v>
      </c>
      <c r="C53" s="242"/>
      <c r="D53" s="242"/>
      <c r="E53" s="242"/>
      <c r="F53" s="242"/>
      <c r="G53" s="242"/>
      <c r="H53" s="242"/>
      <c r="I53" s="242"/>
      <c r="J53" s="242"/>
      <c r="K53" s="242"/>
      <c r="L53" s="143"/>
      <c r="M53" s="143"/>
      <c r="N53" s="143"/>
      <c r="O53" s="242"/>
      <c r="P53" s="242">
        <f t="shared" si="16"/>
        <v>0</v>
      </c>
      <c r="Q53" s="242">
        <f t="shared" si="17"/>
        <v>0</v>
      </c>
      <c r="R53" s="242">
        <f t="shared" si="18"/>
        <v>0</v>
      </c>
      <c r="S53" s="242">
        <f t="shared" si="20"/>
        <v>0</v>
      </c>
      <c r="T53" s="304">
        <f t="shared" si="27"/>
        <v>0</v>
      </c>
      <c r="U53" s="126"/>
      <c r="V53" s="208">
        <f t="shared" si="28"/>
        <v>0</v>
      </c>
    </row>
    <row r="54" spans="1:22" ht="12.75" customHeight="1" x14ac:dyDescent="0.2">
      <c r="A54" s="14"/>
      <c r="B54" s="20" t="s">
        <v>90</v>
      </c>
      <c r="C54" s="242"/>
      <c r="D54" s="242"/>
      <c r="E54" s="242"/>
      <c r="F54" s="242"/>
      <c r="G54" s="242"/>
      <c r="H54" s="242"/>
      <c r="I54" s="242"/>
      <c r="J54" s="242"/>
      <c r="K54" s="242"/>
      <c r="L54" s="143"/>
      <c r="M54" s="143"/>
      <c r="N54" s="143"/>
      <c r="O54" s="242"/>
      <c r="P54" s="242">
        <f t="shared" si="16"/>
        <v>0</v>
      </c>
      <c r="Q54" s="242">
        <f t="shared" si="17"/>
        <v>0</v>
      </c>
      <c r="R54" s="242">
        <f t="shared" si="18"/>
        <v>0</v>
      </c>
      <c r="S54" s="242">
        <f t="shared" si="20"/>
        <v>0</v>
      </c>
      <c r="T54" s="304">
        <f t="shared" si="27"/>
        <v>0</v>
      </c>
      <c r="U54" s="126"/>
      <c r="V54" s="208">
        <f t="shared" si="28"/>
        <v>0</v>
      </c>
    </row>
    <row r="55" spans="1:22" ht="12.75" customHeight="1" x14ac:dyDescent="0.2">
      <c r="A55" s="14"/>
      <c r="B55" s="20" t="s">
        <v>53</v>
      </c>
      <c r="C55" s="242"/>
      <c r="D55" s="242"/>
      <c r="E55" s="242"/>
      <c r="F55" s="242"/>
      <c r="G55" s="242"/>
      <c r="H55" s="242"/>
      <c r="I55" s="242"/>
      <c r="J55" s="242"/>
      <c r="K55" s="242"/>
      <c r="L55" s="143"/>
      <c r="M55" s="143"/>
      <c r="N55" s="143"/>
      <c r="O55" s="242"/>
      <c r="P55" s="242">
        <f t="shared" si="16"/>
        <v>0</v>
      </c>
      <c r="Q55" s="242">
        <f t="shared" si="17"/>
        <v>0</v>
      </c>
      <c r="R55" s="242">
        <f t="shared" si="18"/>
        <v>0</v>
      </c>
      <c r="S55" s="242">
        <f t="shared" si="20"/>
        <v>0</v>
      </c>
      <c r="T55" s="304">
        <f t="shared" si="27"/>
        <v>0</v>
      </c>
      <c r="U55" s="126"/>
      <c r="V55" s="208">
        <f t="shared" si="28"/>
        <v>0</v>
      </c>
    </row>
    <row r="56" spans="1:22" ht="12.75" customHeight="1" x14ac:dyDescent="0.2">
      <c r="A56" s="14" t="s">
        <v>54</v>
      </c>
      <c r="B56" s="20" t="s">
        <v>55</v>
      </c>
      <c r="C56" s="242">
        <v>1020000</v>
      </c>
      <c r="D56" s="242">
        <v>1020000</v>
      </c>
      <c r="E56" s="242">
        <v>1449100</v>
      </c>
      <c r="F56" s="242">
        <v>1683500</v>
      </c>
      <c r="G56" s="242"/>
      <c r="H56" s="242">
        <v>548500</v>
      </c>
      <c r="I56" s="242">
        <v>1449098</v>
      </c>
      <c r="J56" s="242">
        <v>1683500</v>
      </c>
      <c r="K56" s="242"/>
      <c r="L56" s="143">
        <f>+H56/D56</f>
        <v>0.53774509803921566</v>
      </c>
      <c r="M56" s="143">
        <f>+I56/E56</f>
        <v>0.99999861983299976</v>
      </c>
      <c r="N56" s="143">
        <f>+J56/F56</f>
        <v>1</v>
      </c>
      <c r="O56" s="242"/>
      <c r="P56" s="328">
        <f t="shared" si="16"/>
        <v>0</v>
      </c>
      <c r="Q56" s="328">
        <f t="shared" si="17"/>
        <v>429100</v>
      </c>
      <c r="R56" s="328">
        <f t="shared" si="18"/>
        <v>234400</v>
      </c>
      <c r="S56" s="328">
        <f t="shared" si="20"/>
        <v>663500</v>
      </c>
      <c r="T56" s="304">
        <f t="shared" si="27"/>
        <v>0.65049019607843139</v>
      </c>
      <c r="U56" s="126"/>
      <c r="V56" s="208">
        <f t="shared" si="28"/>
        <v>234400</v>
      </c>
    </row>
    <row r="57" spans="1:22" ht="12.75" customHeight="1" x14ac:dyDescent="0.2">
      <c r="A57" s="14"/>
      <c r="B57" s="20" t="s">
        <v>56</v>
      </c>
      <c r="C57" s="242"/>
      <c r="D57" s="242"/>
      <c r="E57" s="242">
        <v>0</v>
      </c>
      <c r="F57" s="242"/>
      <c r="G57" s="242"/>
      <c r="H57" s="242"/>
      <c r="I57" s="242"/>
      <c r="J57" s="242"/>
      <c r="K57" s="242"/>
      <c r="L57" s="143"/>
      <c r="M57" s="143"/>
      <c r="N57" s="143"/>
      <c r="O57" s="242"/>
      <c r="P57" s="242">
        <f t="shared" si="16"/>
        <v>0</v>
      </c>
      <c r="Q57" s="242">
        <f t="shared" si="17"/>
        <v>0</v>
      </c>
      <c r="R57" s="242">
        <f t="shared" si="18"/>
        <v>0</v>
      </c>
      <c r="S57" s="242">
        <f t="shared" si="20"/>
        <v>0</v>
      </c>
      <c r="T57" s="304">
        <f t="shared" si="27"/>
        <v>0</v>
      </c>
      <c r="U57" s="126"/>
      <c r="V57" s="208">
        <f t="shared" si="28"/>
        <v>0</v>
      </c>
    </row>
    <row r="58" spans="1:22" ht="12.75" customHeight="1" x14ac:dyDescent="0.2">
      <c r="A58" s="14" t="s">
        <v>57</v>
      </c>
      <c r="B58" s="20" t="s">
        <v>91</v>
      </c>
      <c r="C58" s="242">
        <v>75000</v>
      </c>
      <c r="D58" s="242">
        <v>75000</v>
      </c>
      <c r="E58" s="242">
        <v>108000</v>
      </c>
      <c r="F58" s="242">
        <v>108000</v>
      </c>
      <c r="G58" s="242"/>
      <c r="H58" s="242">
        <v>53000</v>
      </c>
      <c r="I58" s="242">
        <v>108000</v>
      </c>
      <c r="J58" s="242">
        <v>108000</v>
      </c>
      <c r="K58" s="242"/>
      <c r="L58" s="143">
        <f>+H58/D58</f>
        <v>0.70666666666666667</v>
      </c>
      <c r="M58" s="143">
        <f>+I58/E58</f>
        <v>1</v>
      </c>
      <c r="N58" s="143">
        <f>+J58/F58</f>
        <v>1</v>
      </c>
      <c r="O58" s="242"/>
      <c r="P58" s="328">
        <f t="shared" si="16"/>
        <v>0</v>
      </c>
      <c r="Q58" s="328">
        <f t="shared" si="17"/>
        <v>33000</v>
      </c>
      <c r="R58" s="328">
        <f t="shared" si="18"/>
        <v>0</v>
      </c>
      <c r="S58" s="328">
        <f t="shared" si="20"/>
        <v>33000</v>
      </c>
      <c r="T58" s="304">
        <f t="shared" si="27"/>
        <v>0.44</v>
      </c>
      <c r="U58" s="126"/>
      <c r="V58" s="208">
        <f t="shared" si="28"/>
        <v>0</v>
      </c>
    </row>
    <row r="59" spans="1:22" ht="12.75" customHeight="1" x14ac:dyDescent="0.2">
      <c r="A59" s="14"/>
      <c r="B59" s="20" t="s">
        <v>58</v>
      </c>
      <c r="C59" s="242"/>
      <c r="D59" s="242"/>
      <c r="E59" s="242">
        <v>0</v>
      </c>
      <c r="F59" s="242"/>
      <c r="G59" s="242"/>
      <c r="H59" s="242"/>
      <c r="I59" s="242"/>
      <c r="J59" s="242"/>
      <c r="K59" s="242"/>
      <c r="L59" s="143"/>
      <c r="M59" s="143"/>
      <c r="N59" s="143"/>
      <c r="O59" s="242"/>
      <c r="P59" s="242">
        <f t="shared" si="16"/>
        <v>0</v>
      </c>
      <c r="Q59" s="242">
        <f t="shared" si="17"/>
        <v>0</v>
      </c>
      <c r="R59" s="242">
        <f t="shared" si="18"/>
        <v>0</v>
      </c>
      <c r="S59" s="242">
        <f t="shared" si="20"/>
        <v>0</v>
      </c>
      <c r="T59" s="304">
        <f t="shared" si="27"/>
        <v>0</v>
      </c>
      <c r="U59" s="126"/>
      <c r="V59" s="208">
        <f t="shared" si="28"/>
        <v>0</v>
      </c>
    </row>
    <row r="60" spans="1:22" ht="12.75" customHeight="1" x14ac:dyDescent="0.2">
      <c r="A60" s="14" t="s">
        <v>59</v>
      </c>
      <c r="B60" s="20" t="s">
        <v>60</v>
      </c>
      <c r="C60" s="242"/>
      <c r="D60" s="242"/>
      <c r="E60" s="242"/>
      <c r="F60" s="242"/>
      <c r="G60" s="242"/>
      <c r="H60" s="242">
        <v>0</v>
      </c>
      <c r="I60" s="242"/>
      <c r="J60" s="242"/>
      <c r="K60" s="242"/>
      <c r="L60" s="143"/>
      <c r="M60" s="143"/>
      <c r="N60" s="143"/>
      <c r="O60" s="242"/>
      <c r="P60" s="242">
        <f t="shared" si="16"/>
        <v>0</v>
      </c>
      <c r="Q60" s="242">
        <f t="shared" si="17"/>
        <v>0</v>
      </c>
      <c r="R60" s="242">
        <f t="shared" si="18"/>
        <v>0</v>
      </c>
      <c r="S60" s="242">
        <f t="shared" si="20"/>
        <v>0</v>
      </c>
      <c r="T60" s="304">
        <f t="shared" si="27"/>
        <v>0</v>
      </c>
      <c r="U60" s="126"/>
      <c r="V60" s="208">
        <f t="shared" si="28"/>
        <v>0</v>
      </c>
    </row>
    <row r="61" spans="1:22" ht="12.75" customHeight="1" x14ac:dyDescent="0.2">
      <c r="A61" s="20"/>
      <c r="B61" s="20" t="s">
        <v>61</v>
      </c>
      <c r="C61" s="242"/>
      <c r="D61" s="242"/>
      <c r="E61" s="242"/>
      <c r="F61" s="242"/>
      <c r="G61" s="242"/>
      <c r="H61" s="242"/>
      <c r="I61" s="242"/>
      <c r="J61" s="242"/>
      <c r="K61" s="242"/>
      <c r="L61" s="143"/>
      <c r="M61" s="143"/>
      <c r="N61" s="143"/>
      <c r="O61" s="242"/>
      <c r="P61" s="242">
        <f t="shared" si="16"/>
        <v>0</v>
      </c>
      <c r="Q61" s="242">
        <f t="shared" si="17"/>
        <v>0</v>
      </c>
      <c r="R61" s="242">
        <f t="shared" si="18"/>
        <v>0</v>
      </c>
      <c r="S61" s="242">
        <f t="shared" si="20"/>
        <v>0</v>
      </c>
      <c r="T61" s="304">
        <f t="shared" si="27"/>
        <v>0</v>
      </c>
      <c r="U61" s="126"/>
      <c r="V61" s="208">
        <f t="shared" si="28"/>
        <v>0</v>
      </c>
    </row>
    <row r="62" spans="1:22" ht="12.75" customHeight="1" x14ac:dyDescent="0.2">
      <c r="A62" s="14" t="s">
        <v>62</v>
      </c>
      <c r="B62" s="20" t="s">
        <v>63</v>
      </c>
      <c r="C62" s="242">
        <v>950000</v>
      </c>
      <c r="D62" s="242">
        <v>936000</v>
      </c>
      <c r="E62" s="242">
        <v>136000</v>
      </c>
      <c r="F62" s="242">
        <v>71854</v>
      </c>
      <c r="G62" s="242"/>
      <c r="H62" s="242">
        <v>37500</v>
      </c>
      <c r="I62" s="242">
        <v>37500</v>
      </c>
      <c r="J62" s="242">
        <v>37500</v>
      </c>
      <c r="K62" s="242"/>
      <c r="L62" s="143">
        <f>+H62/D62</f>
        <v>4.0064102564102567E-2</v>
      </c>
      <c r="M62" s="143">
        <f>+I62/E62</f>
        <v>0.27573529411764708</v>
      </c>
      <c r="N62" s="143">
        <f>+J62/F62</f>
        <v>0.52189161354969804</v>
      </c>
      <c r="O62" s="242"/>
      <c r="P62" s="328">
        <f t="shared" si="16"/>
        <v>-14000</v>
      </c>
      <c r="Q62" s="328">
        <f t="shared" si="17"/>
        <v>-800000</v>
      </c>
      <c r="R62" s="328">
        <f t="shared" si="18"/>
        <v>-64146</v>
      </c>
      <c r="S62" s="328">
        <f t="shared" si="20"/>
        <v>-878146</v>
      </c>
      <c r="T62" s="304">
        <f t="shared" si="27"/>
        <v>-0.92436421052631579</v>
      </c>
      <c r="U62" s="126"/>
      <c r="V62" s="208">
        <f t="shared" si="28"/>
        <v>-64146</v>
      </c>
    </row>
    <row r="63" spans="1:22" ht="25.5" customHeight="1" x14ac:dyDescent="0.2">
      <c r="A63" s="14"/>
      <c r="B63" s="20" t="s">
        <v>102</v>
      </c>
      <c r="C63" s="242"/>
      <c r="D63" s="242"/>
      <c r="E63" s="242"/>
      <c r="F63" s="242"/>
      <c r="G63" s="242"/>
      <c r="H63" s="242"/>
      <c r="I63" s="242"/>
      <c r="J63" s="242"/>
      <c r="K63" s="242"/>
      <c r="L63" s="143"/>
      <c r="M63" s="143"/>
      <c r="N63" s="143"/>
      <c r="O63" s="242"/>
      <c r="P63" s="242">
        <f t="shared" si="16"/>
        <v>0</v>
      </c>
      <c r="Q63" s="242">
        <f t="shared" si="17"/>
        <v>0</v>
      </c>
      <c r="R63" s="242">
        <f t="shared" si="18"/>
        <v>0</v>
      </c>
      <c r="S63" s="242">
        <f t="shared" si="20"/>
        <v>0</v>
      </c>
      <c r="T63" s="304">
        <f t="shared" si="27"/>
        <v>0</v>
      </c>
      <c r="U63" s="126"/>
      <c r="V63" s="208">
        <f t="shared" si="28"/>
        <v>0</v>
      </c>
    </row>
    <row r="64" spans="1:22" ht="12.75" customHeight="1" x14ac:dyDescent="0.2">
      <c r="A64" s="14" t="s">
        <v>64</v>
      </c>
      <c r="B64" s="20" t="s">
        <v>65</v>
      </c>
      <c r="C64" s="242">
        <f>2900000+1500000</f>
        <v>4400000</v>
      </c>
      <c r="D64" s="242">
        <v>4395000</v>
      </c>
      <c r="E64" s="242">
        <v>4395000</v>
      </c>
      <c r="F64" s="242">
        <v>4969961</v>
      </c>
      <c r="G64" s="242"/>
      <c r="H64" s="242">
        <v>649539</v>
      </c>
      <c r="I64" s="242">
        <v>4239299</v>
      </c>
      <c r="J64" s="242">
        <v>4919961</v>
      </c>
      <c r="K64" s="242"/>
      <c r="L64" s="143">
        <f>+H64/D64</f>
        <v>0.14779044368600683</v>
      </c>
      <c r="M64" s="143">
        <f>+I64/E64</f>
        <v>0.9645731513083049</v>
      </c>
      <c r="N64" s="143">
        <f>+J64/F64</f>
        <v>0.98993955888185037</v>
      </c>
      <c r="O64" s="242"/>
      <c r="P64" s="328">
        <f t="shared" si="16"/>
        <v>-5000</v>
      </c>
      <c r="Q64" s="328">
        <f t="shared" si="17"/>
        <v>0</v>
      </c>
      <c r="R64" s="328">
        <f t="shared" si="18"/>
        <v>574961</v>
      </c>
      <c r="S64" s="328">
        <f t="shared" si="20"/>
        <v>569961</v>
      </c>
      <c r="T64" s="304">
        <f t="shared" si="27"/>
        <v>0.12953659090909092</v>
      </c>
      <c r="U64" s="126"/>
      <c r="V64" s="208">
        <f t="shared" si="28"/>
        <v>574961</v>
      </c>
    </row>
    <row r="65" spans="1:22" ht="33" customHeight="1" x14ac:dyDescent="0.2">
      <c r="A65" s="14"/>
      <c r="B65" s="20" t="s">
        <v>66</v>
      </c>
      <c r="C65" s="242"/>
      <c r="D65" s="242"/>
      <c r="E65" s="242"/>
      <c r="F65" s="242"/>
      <c r="G65" s="242"/>
      <c r="H65" s="242"/>
      <c r="I65" s="242"/>
      <c r="J65" s="242"/>
      <c r="K65" s="242"/>
      <c r="L65" s="143"/>
      <c r="M65" s="143"/>
      <c r="N65" s="143"/>
      <c r="O65" s="242"/>
      <c r="P65" s="242">
        <f t="shared" si="16"/>
        <v>0</v>
      </c>
      <c r="Q65" s="242">
        <f t="shared" si="17"/>
        <v>0</v>
      </c>
      <c r="R65" s="242">
        <f t="shared" si="18"/>
        <v>0</v>
      </c>
      <c r="S65" s="242">
        <f t="shared" si="20"/>
        <v>0</v>
      </c>
      <c r="T65" s="304">
        <f t="shared" ref="T65:T102" si="29">IF(C65=0,0,+S65/C65)</f>
        <v>0</v>
      </c>
      <c r="U65" s="126"/>
      <c r="V65" s="208">
        <f t="shared" ref="V65:V102" si="30">+S65-E65+C65</f>
        <v>0</v>
      </c>
    </row>
    <row r="66" spans="1:22" ht="12.75" customHeight="1" x14ac:dyDescent="0.2">
      <c r="A66" s="39" t="s">
        <v>67</v>
      </c>
      <c r="B66" s="40" t="s">
        <v>68</v>
      </c>
      <c r="C66" s="301">
        <f>SUM(C67:C70)</f>
        <v>78000</v>
      </c>
      <c r="D66" s="301">
        <f t="shared" ref="D66:J66" si="31">SUM(D67:D70)</f>
        <v>78000</v>
      </c>
      <c r="E66" s="301">
        <f t="shared" si="31"/>
        <v>78000</v>
      </c>
      <c r="F66" s="301">
        <f t="shared" si="31"/>
        <v>78000</v>
      </c>
      <c r="G66" s="301"/>
      <c r="H66" s="301">
        <f t="shared" si="31"/>
        <v>29875</v>
      </c>
      <c r="I66" s="301">
        <f t="shared" si="31"/>
        <v>29875</v>
      </c>
      <c r="J66" s="301">
        <f t="shared" si="31"/>
        <v>77823</v>
      </c>
      <c r="K66" s="242"/>
      <c r="L66" s="143"/>
      <c r="M66" s="143"/>
      <c r="N66" s="143"/>
      <c r="O66" s="242"/>
      <c r="P66" s="242">
        <f t="shared" si="16"/>
        <v>0</v>
      </c>
      <c r="Q66" s="242">
        <f t="shared" si="17"/>
        <v>0</v>
      </c>
      <c r="R66" s="242">
        <f t="shared" si="18"/>
        <v>0</v>
      </c>
      <c r="S66" s="242">
        <f t="shared" si="20"/>
        <v>0</v>
      </c>
      <c r="T66" s="304">
        <f t="shared" si="29"/>
        <v>0</v>
      </c>
      <c r="U66" s="126"/>
      <c r="V66" s="208">
        <f t="shared" si="30"/>
        <v>0</v>
      </c>
    </row>
    <row r="67" spans="1:22" ht="12.75" customHeight="1" x14ac:dyDescent="0.2">
      <c r="A67" s="14" t="s">
        <v>69</v>
      </c>
      <c r="B67" s="20" t="s">
        <v>70</v>
      </c>
      <c r="C67" s="242">
        <v>78000</v>
      </c>
      <c r="D67" s="242">
        <v>78000</v>
      </c>
      <c r="E67" s="242">
        <v>78000</v>
      </c>
      <c r="F67" s="242">
        <v>78000</v>
      </c>
      <c r="G67" s="242"/>
      <c r="H67" s="242">
        <v>29875</v>
      </c>
      <c r="I67" s="242">
        <v>29875</v>
      </c>
      <c r="J67" s="242">
        <v>77823</v>
      </c>
      <c r="K67" s="242"/>
      <c r="L67" s="143">
        <f>+H67/D67</f>
        <v>0.38301282051282054</v>
      </c>
      <c r="M67" s="143">
        <f>+I67/E67</f>
        <v>0.38301282051282054</v>
      </c>
      <c r="N67" s="143">
        <f>+J67/F67</f>
        <v>0.9977307692307692</v>
      </c>
      <c r="O67" s="242"/>
      <c r="P67" s="328">
        <f t="shared" si="16"/>
        <v>0</v>
      </c>
      <c r="Q67" s="328">
        <f t="shared" si="17"/>
        <v>0</v>
      </c>
      <c r="R67" s="328">
        <f t="shared" si="18"/>
        <v>0</v>
      </c>
      <c r="S67" s="328">
        <f t="shared" si="20"/>
        <v>0</v>
      </c>
      <c r="T67" s="304">
        <f t="shared" si="29"/>
        <v>0</v>
      </c>
      <c r="U67" s="126"/>
      <c r="V67" s="208">
        <f t="shared" si="30"/>
        <v>0</v>
      </c>
    </row>
    <row r="68" spans="1:22" ht="39.6" customHeight="1" x14ac:dyDescent="0.2">
      <c r="A68" s="14"/>
      <c r="B68" s="20" t="s">
        <v>71</v>
      </c>
      <c r="C68" s="242"/>
      <c r="D68" s="242"/>
      <c r="E68" s="242">
        <v>0</v>
      </c>
      <c r="F68" s="242"/>
      <c r="G68" s="242"/>
      <c r="H68" s="242"/>
      <c r="I68" s="242"/>
      <c r="J68" s="242"/>
      <c r="K68" s="242"/>
      <c r="L68" s="143"/>
      <c r="M68" s="143"/>
      <c r="N68" s="143"/>
      <c r="O68" s="242"/>
      <c r="P68" s="242"/>
      <c r="Q68" s="242"/>
      <c r="R68" s="242"/>
      <c r="S68" s="242"/>
      <c r="T68" s="304">
        <f t="shared" si="29"/>
        <v>0</v>
      </c>
      <c r="U68" s="126"/>
      <c r="V68" s="208">
        <f t="shared" si="30"/>
        <v>0</v>
      </c>
    </row>
    <row r="69" spans="1:22" ht="12.75" customHeight="1" x14ac:dyDescent="0.2">
      <c r="A69" s="14" t="s">
        <v>72</v>
      </c>
      <c r="B69" s="20" t="s">
        <v>100</v>
      </c>
      <c r="C69" s="242">
        <v>0</v>
      </c>
      <c r="D69" s="242">
        <v>0</v>
      </c>
      <c r="E69" s="242">
        <v>0</v>
      </c>
      <c r="F69" s="242">
        <v>0</v>
      </c>
      <c r="G69" s="242"/>
      <c r="H69" s="242">
        <v>0</v>
      </c>
      <c r="I69" s="242">
        <v>0</v>
      </c>
      <c r="J69" s="242"/>
      <c r="K69" s="242"/>
      <c r="L69" s="143" t="e">
        <f>+H69/D69</f>
        <v>#DIV/0!</v>
      </c>
      <c r="M69" s="143" t="e">
        <f>+I69/E69</f>
        <v>#DIV/0!</v>
      </c>
      <c r="N69" s="143" t="e">
        <f>+J69/F69</f>
        <v>#DIV/0!</v>
      </c>
      <c r="O69" s="242"/>
      <c r="P69" s="328">
        <f t="shared" ref="P69:P95" si="32">+(D69-C69)*P$10</f>
        <v>0</v>
      </c>
      <c r="Q69" s="328">
        <f t="shared" ref="Q69:Q95" si="33">+(E69-D69)*Q$10</f>
        <v>0</v>
      </c>
      <c r="R69" s="328">
        <f t="shared" ref="R69:R95" si="34">+(F69-E69)*R$10</f>
        <v>0</v>
      </c>
      <c r="S69" s="328">
        <f t="shared" si="20"/>
        <v>0</v>
      </c>
      <c r="T69" s="304">
        <f t="shared" si="29"/>
        <v>0</v>
      </c>
      <c r="U69" s="126"/>
      <c r="V69" s="208">
        <f t="shared" si="30"/>
        <v>0</v>
      </c>
    </row>
    <row r="70" spans="1:22" ht="12.75" customHeight="1" x14ac:dyDescent="0.2">
      <c r="A70" s="14"/>
      <c r="B70" s="20" t="s">
        <v>73</v>
      </c>
      <c r="C70" s="242"/>
      <c r="D70" s="242"/>
      <c r="E70" s="242">
        <v>0</v>
      </c>
      <c r="F70" s="242"/>
      <c r="G70" s="242"/>
      <c r="H70" s="242"/>
      <c r="I70" s="242"/>
      <c r="J70" s="242"/>
      <c r="K70" s="242"/>
      <c r="L70" s="143"/>
      <c r="M70" s="143"/>
      <c r="N70" s="143"/>
      <c r="O70" s="242"/>
      <c r="P70" s="242">
        <f t="shared" si="32"/>
        <v>0</v>
      </c>
      <c r="Q70" s="242">
        <f t="shared" si="33"/>
        <v>0</v>
      </c>
      <c r="R70" s="242">
        <f t="shared" si="34"/>
        <v>0</v>
      </c>
      <c r="S70" s="242">
        <f t="shared" si="20"/>
        <v>0</v>
      </c>
      <c r="T70" s="304">
        <f t="shared" si="29"/>
        <v>0</v>
      </c>
      <c r="U70" s="126"/>
      <c r="V70" s="208">
        <f t="shared" si="30"/>
        <v>0</v>
      </c>
    </row>
    <row r="71" spans="1:22" ht="12.75" customHeight="1" x14ac:dyDescent="0.2">
      <c r="A71" s="39" t="s">
        <v>74</v>
      </c>
      <c r="B71" s="40" t="s">
        <v>75</v>
      </c>
      <c r="C71" s="301">
        <f>SUM(C72:C81)</f>
        <v>2200000</v>
      </c>
      <c r="D71" s="301">
        <f t="shared" ref="D71:J71" si="35">SUM(D72:D81)</f>
        <v>1805000</v>
      </c>
      <c r="E71" s="301">
        <f t="shared" si="35"/>
        <v>2435441</v>
      </c>
      <c r="F71" s="301">
        <f t="shared" si="35"/>
        <v>2491729</v>
      </c>
      <c r="G71" s="301"/>
      <c r="H71" s="301">
        <f t="shared" si="35"/>
        <v>1046317</v>
      </c>
      <c r="I71" s="301">
        <f t="shared" si="35"/>
        <v>2011702</v>
      </c>
      <c r="J71" s="301">
        <f t="shared" si="35"/>
        <v>2338319</v>
      </c>
      <c r="K71" s="242"/>
      <c r="L71" s="143"/>
      <c r="M71" s="143"/>
      <c r="N71" s="143"/>
      <c r="O71" s="242"/>
      <c r="P71" s="242">
        <f t="shared" si="32"/>
        <v>-395000</v>
      </c>
      <c r="Q71" s="242">
        <f t="shared" si="33"/>
        <v>630441</v>
      </c>
      <c r="R71" s="242">
        <f t="shared" si="34"/>
        <v>56288</v>
      </c>
      <c r="S71" s="242">
        <f t="shared" si="20"/>
        <v>291729</v>
      </c>
      <c r="T71" s="304">
        <f t="shared" si="29"/>
        <v>0.13260409090909092</v>
      </c>
      <c r="U71" s="126"/>
      <c r="V71" s="208">
        <f t="shared" si="30"/>
        <v>56288</v>
      </c>
    </row>
    <row r="72" spans="1:22" ht="12.75" customHeight="1" x14ac:dyDescent="0.2">
      <c r="A72" s="14" t="s">
        <v>76</v>
      </c>
      <c r="B72" s="20" t="s">
        <v>77</v>
      </c>
      <c r="C72" s="242">
        <v>2200000</v>
      </c>
      <c r="D72" s="242">
        <v>1789000</v>
      </c>
      <c r="E72" s="242">
        <v>2419441</v>
      </c>
      <c r="F72" s="242">
        <v>2464450</v>
      </c>
      <c r="G72" s="242"/>
      <c r="H72" s="242">
        <v>1034300</v>
      </c>
      <c r="I72" s="242">
        <v>1997387</v>
      </c>
      <c r="J72" s="242">
        <v>2311040</v>
      </c>
      <c r="K72" s="242"/>
      <c r="L72" s="143">
        <f>+H72/D72</f>
        <v>0.57814421464505306</v>
      </c>
      <c r="M72" s="143">
        <f>+I72/E72</f>
        <v>0.82555722582199775</v>
      </c>
      <c r="N72" s="143">
        <f>+J72/F72</f>
        <v>0.93775081661222581</v>
      </c>
      <c r="O72" s="242"/>
      <c r="P72" s="328">
        <f t="shared" si="32"/>
        <v>-411000</v>
      </c>
      <c r="Q72" s="328">
        <f t="shared" si="33"/>
        <v>630441</v>
      </c>
      <c r="R72" s="328">
        <f t="shared" si="34"/>
        <v>45009</v>
      </c>
      <c r="S72" s="328">
        <f t="shared" si="20"/>
        <v>264450</v>
      </c>
      <c r="T72" s="304">
        <f t="shared" si="29"/>
        <v>0.12020454545454545</v>
      </c>
      <c r="U72" s="126"/>
      <c r="V72" s="208">
        <f t="shared" si="30"/>
        <v>45009</v>
      </c>
    </row>
    <row r="73" spans="1:22" ht="12.75" customHeight="1" x14ac:dyDescent="0.2">
      <c r="A73" s="14"/>
      <c r="B73" s="20" t="s">
        <v>78</v>
      </c>
      <c r="C73" s="242"/>
      <c r="D73" s="242"/>
      <c r="E73" s="242"/>
      <c r="F73" s="242"/>
      <c r="G73" s="242"/>
      <c r="H73" s="242"/>
      <c r="I73" s="242"/>
      <c r="J73" s="242"/>
      <c r="K73" s="242"/>
      <c r="L73" s="143"/>
      <c r="M73" s="143"/>
      <c r="N73" s="143"/>
      <c r="O73" s="242"/>
      <c r="P73" s="242">
        <f t="shared" si="32"/>
        <v>0</v>
      </c>
      <c r="Q73" s="242">
        <f t="shared" si="33"/>
        <v>0</v>
      </c>
      <c r="R73" s="242">
        <f t="shared" si="34"/>
        <v>0</v>
      </c>
      <c r="S73" s="242">
        <f t="shared" si="20"/>
        <v>0</v>
      </c>
      <c r="T73" s="304">
        <f t="shared" si="29"/>
        <v>0</v>
      </c>
      <c r="U73" s="126"/>
      <c r="V73" s="208">
        <f t="shared" si="30"/>
        <v>0</v>
      </c>
    </row>
    <row r="74" spans="1:22" ht="12.75" customHeight="1" x14ac:dyDescent="0.2">
      <c r="A74" s="14" t="s">
        <v>79</v>
      </c>
      <c r="B74" s="20" t="s">
        <v>80</v>
      </c>
      <c r="C74" s="242">
        <v>0</v>
      </c>
      <c r="D74" s="242">
        <v>11000</v>
      </c>
      <c r="E74" s="242">
        <v>11000</v>
      </c>
      <c r="F74" s="242">
        <v>11000</v>
      </c>
      <c r="G74" s="242"/>
      <c r="H74" s="242">
        <v>11000</v>
      </c>
      <c r="I74" s="242">
        <v>11000</v>
      </c>
      <c r="J74" s="242">
        <v>11000</v>
      </c>
      <c r="K74" s="242"/>
      <c r="L74" s="143">
        <f>+H74/D74</f>
        <v>1</v>
      </c>
      <c r="M74" s="143">
        <f>+I74/E74</f>
        <v>1</v>
      </c>
      <c r="N74" s="143">
        <f>+J74/F74</f>
        <v>1</v>
      </c>
      <c r="O74" s="242"/>
      <c r="P74" s="328">
        <f t="shared" si="32"/>
        <v>11000</v>
      </c>
      <c r="Q74" s="328">
        <f t="shared" si="33"/>
        <v>0</v>
      </c>
      <c r="R74" s="328">
        <f t="shared" si="34"/>
        <v>0</v>
      </c>
      <c r="S74" s="328">
        <f t="shared" si="20"/>
        <v>11000</v>
      </c>
      <c r="T74" s="304">
        <f t="shared" si="29"/>
        <v>0</v>
      </c>
      <c r="U74" s="126"/>
      <c r="V74" s="208">
        <f t="shared" si="30"/>
        <v>0</v>
      </c>
    </row>
    <row r="75" spans="1:22" ht="12.75" customHeight="1" x14ac:dyDescent="0.2">
      <c r="A75" s="14"/>
      <c r="B75" s="20" t="s">
        <v>101</v>
      </c>
      <c r="C75" s="242"/>
      <c r="D75" s="242"/>
      <c r="E75" s="242"/>
      <c r="F75" s="242"/>
      <c r="G75" s="242"/>
      <c r="H75" s="242"/>
      <c r="I75" s="242"/>
      <c r="J75" s="242"/>
      <c r="K75" s="242"/>
      <c r="L75" s="143"/>
      <c r="M75" s="143"/>
      <c r="N75" s="143"/>
      <c r="O75" s="242"/>
      <c r="P75" s="242">
        <f t="shared" si="32"/>
        <v>0</v>
      </c>
      <c r="Q75" s="242">
        <f t="shared" si="33"/>
        <v>0</v>
      </c>
      <c r="R75" s="242">
        <f t="shared" si="34"/>
        <v>0</v>
      </c>
      <c r="S75" s="242">
        <f t="shared" si="20"/>
        <v>0</v>
      </c>
      <c r="T75" s="304">
        <f t="shared" si="29"/>
        <v>0</v>
      </c>
      <c r="U75" s="126"/>
      <c r="V75" s="208">
        <f t="shared" si="30"/>
        <v>0</v>
      </c>
    </row>
    <row r="76" spans="1:22" ht="12.75" customHeight="1" x14ac:dyDescent="0.2">
      <c r="A76" s="14" t="s">
        <v>81</v>
      </c>
      <c r="B76" s="20" t="s">
        <v>82</v>
      </c>
      <c r="C76" s="242"/>
      <c r="D76" s="242"/>
      <c r="E76" s="242"/>
      <c r="F76" s="242"/>
      <c r="G76" s="242"/>
      <c r="H76" s="242"/>
      <c r="I76" s="242"/>
      <c r="J76" s="242"/>
      <c r="K76" s="242"/>
      <c r="L76" s="143"/>
      <c r="M76" s="143"/>
      <c r="N76" s="143"/>
      <c r="O76" s="242"/>
      <c r="P76" s="242">
        <f t="shared" si="32"/>
        <v>0</v>
      </c>
      <c r="Q76" s="242">
        <f t="shared" si="33"/>
        <v>0</v>
      </c>
      <c r="R76" s="242">
        <f t="shared" si="34"/>
        <v>0</v>
      </c>
      <c r="S76" s="242">
        <f t="shared" si="20"/>
        <v>0</v>
      </c>
      <c r="T76" s="304">
        <f t="shared" si="29"/>
        <v>0</v>
      </c>
      <c r="U76" s="126"/>
      <c r="V76" s="208">
        <f t="shared" si="30"/>
        <v>0</v>
      </c>
    </row>
    <row r="77" spans="1:22" ht="12.75" customHeight="1" x14ac:dyDescent="0.2">
      <c r="A77" s="14"/>
      <c r="B77" s="20" t="s">
        <v>106</v>
      </c>
      <c r="C77" s="242"/>
      <c r="D77" s="242"/>
      <c r="E77" s="242"/>
      <c r="F77" s="242"/>
      <c r="G77" s="242"/>
      <c r="H77" s="242"/>
      <c r="I77" s="242"/>
      <c r="J77" s="242"/>
      <c r="K77" s="242"/>
      <c r="L77" s="143"/>
      <c r="M77" s="143"/>
      <c r="N77" s="143"/>
      <c r="O77" s="242"/>
      <c r="P77" s="242">
        <f t="shared" si="32"/>
        <v>0</v>
      </c>
      <c r="Q77" s="242">
        <f t="shared" si="33"/>
        <v>0</v>
      </c>
      <c r="R77" s="242">
        <f t="shared" si="34"/>
        <v>0</v>
      </c>
      <c r="S77" s="242">
        <f t="shared" si="20"/>
        <v>0</v>
      </c>
      <c r="T77" s="304">
        <f t="shared" si="29"/>
        <v>0</v>
      </c>
      <c r="U77" s="126"/>
      <c r="V77" s="208">
        <f t="shared" si="30"/>
        <v>0</v>
      </c>
    </row>
    <row r="78" spans="1:22" ht="12.75" customHeight="1" x14ac:dyDescent="0.2">
      <c r="A78" s="14" t="s">
        <v>84</v>
      </c>
      <c r="B78" s="20" t="s">
        <v>85</v>
      </c>
      <c r="C78" s="242"/>
      <c r="D78" s="242"/>
      <c r="E78" s="242"/>
      <c r="F78" s="242"/>
      <c r="G78" s="242"/>
      <c r="H78" s="242"/>
      <c r="I78" s="242"/>
      <c r="J78" s="242"/>
      <c r="K78" s="242"/>
      <c r="L78" s="143"/>
      <c r="M78" s="143"/>
      <c r="N78" s="143"/>
      <c r="O78" s="242"/>
      <c r="P78" s="242">
        <f t="shared" si="32"/>
        <v>0</v>
      </c>
      <c r="Q78" s="242">
        <f t="shared" si="33"/>
        <v>0</v>
      </c>
      <c r="R78" s="242">
        <f t="shared" si="34"/>
        <v>0</v>
      </c>
      <c r="S78" s="242">
        <f t="shared" si="20"/>
        <v>0</v>
      </c>
      <c r="T78" s="304">
        <f t="shared" si="29"/>
        <v>0</v>
      </c>
      <c r="U78" s="126"/>
      <c r="V78" s="208">
        <f t="shared" si="30"/>
        <v>0</v>
      </c>
    </row>
    <row r="79" spans="1:22" ht="12.75" customHeight="1" x14ac:dyDescent="0.2">
      <c r="A79" s="14"/>
      <c r="B79" s="20" t="s">
        <v>86</v>
      </c>
      <c r="C79" s="242"/>
      <c r="D79" s="242"/>
      <c r="E79" s="242"/>
      <c r="F79" s="242"/>
      <c r="G79" s="242"/>
      <c r="H79" s="242"/>
      <c r="I79" s="242"/>
      <c r="J79" s="242"/>
      <c r="K79" s="242"/>
      <c r="L79" s="143"/>
      <c r="M79" s="143"/>
      <c r="N79" s="143"/>
      <c r="O79" s="242"/>
      <c r="P79" s="242">
        <f t="shared" si="32"/>
        <v>0</v>
      </c>
      <c r="Q79" s="242">
        <f t="shared" si="33"/>
        <v>0</v>
      </c>
      <c r="R79" s="242">
        <f t="shared" si="34"/>
        <v>0</v>
      </c>
      <c r="S79" s="242">
        <f t="shared" si="20"/>
        <v>0</v>
      </c>
      <c r="T79" s="304">
        <f t="shared" si="29"/>
        <v>0</v>
      </c>
      <c r="U79" s="126"/>
      <c r="V79" s="208">
        <f t="shared" si="30"/>
        <v>0</v>
      </c>
    </row>
    <row r="80" spans="1:22" ht="12.75" customHeight="1" x14ac:dyDescent="0.2">
      <c r="A80" s="14" t="s">
        <v>87</v>
      </c>
      <c r="B80" s="20" t="s">
        <v>88</v>
      </c>
      <c r="C80" s="242">
        <v>0</v>
      </c>
      <c r="D80" s="242">
        <v>5000</v>
      </c>
      <c r="E80" s="242">
        <v>5000</v>
      </c>
      <c r="F80" s="242">
        <v>16279</v>
      </c>
      <c r="G80" s="242"/>
      <c r="H80" s="242">
        <v>1017</v>
      </c>
      <c r="I80" s="242">
        <v>3315</v>
      </c>
      <c r="J80" s="242">
        <v>16279</v>
      </c>
      <c r="K80" s="242"/>
      <c r="L80" s="143">
        <f>+H80/D80</f>
        <v>0.2034</v>
      </c>
      <c r="M80" s="143">
        <f>+I80/E80</f>
        <v>0.66300000000000003</v>
      </c>
      <c r="N80" s="143">
        <f>+J80/F80</f>
        <v>1</v>
      </c>
      <c r="O80" s="242"/>
      <c r="P80" s="328">
        <f t="shared" si="32"/>
        <v>5000</v>
      </c>
      <c r="Q80" s="328">
        <f t="shared" si="33"/>
        <v>0</v>
      </c>
      <c r="R80" s="328">
        <f t="shared" si="34"/>
        <v>11279</v>
      </c>
      <c r="S80" s="328">
        <f t="shared" si="20"/>
        <v>16279</v>
      </c>
      <c r="T80" s="304">
        <f t="shared" si="29"/>
        <v>0</v>
      </c>
      <c r="U80" s="126"/>
      <c r="V80" s="208">
        <f t="shared" si="30"/>
        <v>11279</v>
      </c>
    </row>
    <row r="81" spans="1:24" ht="38.1" customHeight="1" x14ac:dyDescent="0.2">
      <c r="A81" s="14"/>
      <c r="B81" s="20" t="s">
        <v>92</v>
      </c>
      <c r="C81" s="242"/>
      <c r="D81" s="242"/>
      <c r="E81" s="242"/>
      <c r="F81" s="242"/>
      <c r="G81" s="242"/>
      <c r="H81" s="242"/>
      <c r="I81" s="242"/>
      <c r="J81" s="242"/>
      <c r="K81" s="242"/>
      <c r="L81" s="143"/>
      <c r="M81" s="143"/>
      <c r="N81" s="143"/>
      <c r="O81" s="242"/>
      <c r="P81" s="242">
        <f t="shared" si="32"/>
        <v>0</v>
      </c>
      <c r="Q81" s="242">
        <f t="shared" si="33"/>
        <v>0</v>
      </c>
      <c r="R81" s="242">
        <f t="shared" si="34"/>
        <v>0</v>
      </c>
      <c r="S81" s="242">
        <f t="shared" si="20"/>
        <v>0</v>
      </c>
      <c r="T81" s="304">
        <f t="shared" si="29"/>
        <v>0</v>
      </c>
      <c r="U81" s="126"/>
      <c r="V81" s="208">
        <f t="shared" si="30"/>
        <v>0</v>
      </c>
    </row>
    <row r="82" spans="1:24" ht="12.75" customHeight="1" x14ac:dyDescent="0.2">
      <c r="A82" s="29"/>
      <c r="B82" s="21"/>
      <c r="C82" s="242"/>
      <c r="D82" s="242"/>
      <c r="E82" s="242"/>
      <c r="F82" s="242"/>
      <c r="G82" s="242"/>
      <c r="H82" s="242"/>
      <c r="I82" s="242"/>
      <c r="J82" s="242"/>
      <c r="K82" s="242"/>
      <c r="L82" s="161"/>
      <c r="M82" s="161"/>
      <c r="N82" s="161"/>
      <c r="O82" s="242"/>
      <c r="P82" s="242">
        <f t="shared" si="32"/>
        <v>0</v>
      </c>
      <c r="Q82" s="242">
        <f t="shared" si="33"/>
        <v>0</v>
      </c>
      <c r="R82" s="242">
        <f t="shared" si="34"/>
        <v>0</v>
      </c>
      <c r="S82" s="242">
        <f t="shared" si="20"/>
        <v>0</v>
      </c>
      <c r="T82" s="304">
        <f t="shared" si="29"/>
        <v>0</v>
      </c>
      <c r="U82" s="126"/>
      <c r="V82" s="208">
        <f t="shared" si="30"/>
        <v>0</v>
      </c>
    </row>
    <row r="83" spans="1:24" s="43" customFormat="1" x14ac:dyDescent="0.2">
      <c r="A83" s="4" t="s">
        <v>158</v>
      </c>
      <c r="B83" s="3" t="s">
        <v>159</v>
      </c>
      <c r="C83" s="334">
        <f>+C84</f>
        <v>350000</v>
      </c>
      <c r="D83" s="334">
        <f t="shared" ref="D83:F83" si="36">SUM(D84:D85)</f>
        <v>364000</v>
      </c>
      <c r="E83" s="334">
        <f t="shared" si="36"/>
        <v>617860</v>
      </c>
      <c r="F83" s="334">
        <f t="shared" si="36"/>
        <v>655840</v>
      </c>
      <c r="G83" s="334"/>
      <c r="H83" s="334">
        <f t="shared" ref="H83:J83" si="37">SUM(H84:H85)</f>
        <v>362960</v>
      </c>
      <c r="I83" s="334">
        <f t="shared" si="37"/>
        <v>617860</v>
      </c>
      <c r="J83" s="334">
        <f t="shared" si="37"/>
        <v>655840</v>
      </c>
      <c r="K83" s="334"/>
      <c r="L83" s="89">
        <f t="shared" ref="L83:L88" si="38">+H83/D83</f>
        <v>0.99714285714285711</v>
      </c>
      <c r="M83" s="89">
        <f t="shared" ref="M83:M88" si="39">+I83/E83</f>
        <v>1</v>
      </c>
      <c r="N83" s="89">
        <f t="shared" ref="N83:N88" si="40">+J83/F83</f>
        <v>1</v>
      </c>
      <c r="O83" s="334"/>
      <c r="P83" s="334">
        <f t="shared" si="32"/>
        <v>14000</v>
      </c>
      <c r="Q83" s="334">
        <f t="shared" si="33"/>
        <v>253860</v>
      </c>
      <c r="R83" s="334">
        <f t="shared" si="34"/>
        <v>37980</v>
      </c>
      <c r="S83" s="334">
        <f t="shared" ref="S83:S88" si="41">SUM(P83:R83)</f>
        <v>305840</v>
      </c>
      <c r="T83" s="304">
        <f t="shared" ref="T83:T88" si="42">IF(C83=0,0,+S83/C83)</f>
        <v>0.8738285714285714</v>
      </c>
      <c r="U83" s="126"/>
      <c r="V83" s="208">
        <f t="shared" ref="V83:V88" si="43">+S83-E83+C83</f>
        <v>37980</v>
      </c>
    </row>
    <row r="84" spans="1:24" x14ac:dyDescent="0.2">
      <c r="A84" s="44"/>
      <c r="B84" s="45"/>
      <c r="C84" s="241">
        <v>350000</v>
      </c>
      <c r="D84" s="242">
        <v>364000</v>
      </c>
      <c r="E84" s="242">
        <f>486504+131356</f>
        <v>617860</v>
      </c>
      <c r="F84" s="242">
        <v>655840</v>
      </c>
      <c r="G84" s="242"/>
      <c r="H84" s="242">
        <v>362960</v>
      </c>
      <c r="I84" s="242">
        <f>486504+131356</f>
        <v>617860</v>
      </c>
      <c r="J84" s="242">
        <v>655840</v>
      </c>
      <c r="K84" s="242"/>
      <c r="L84" s="188">
        <f t="shared" si="38"/>
        <v>0.99714285714285711</v>
      </c>
      <c r="M84" s="188">
        <f t="shared" si="39"/>
        <v>1</v>
      </c>
      <c r="N84" s="188">
        <f t="shared" si="40"/>
        <v>1</v>
      </c>
      <c r="O84" s="242"/>
      <c r="P84" s="328">
        <f t="shared" si="32"/>
        <v>14000</v>
      </c>
      <c r="Q84" s="328">
        <f t="shared" si="33"/>
        <v>253860</v>
      </c>
      <c r="R84" s="328">
        <f t="shared" si="34"/>
        <v>37980</v>
      </c>
      <c r="S84" s="328">
        <f t="shared" si="41"/>
        <v>305840</v>
      </c>
      <c r="T84" s="304">
        <f t="shared" si="42"/>
        <v>0.8738285714285714</v>
      </c>
      <c r="U84" s="126"/>
      <c r="V84" s="208">
        <f t="shared" si="43"/>
        <v>37980</v>
      </c>
    </row>
    <row r="85" spans="1:24" hidden="1" x14ac:dyDescent="0.2">
      <c r="A85" s="14"/>
      <c r="B85" s="20"/>
      <c r="C85" s="241"/>
      <c r="D85" s="242"/>
      <c r="E85" s="242"/>
      <c r="F85" s="242"/>
      <c r="G85" s="242"/>
      <c r="H85" s="242"/>
      <c r="I85" s="242"/>
      <c r="J85" s="242"/>
      <c r="K85" s="242"/>
      <c r="L85" s="188" t="e">
        <f t="shared" si="38"/>
        <v>#DIV/0!</v>
      </c>
      <c r="M85" s="188" t="e">
        <f t="shared" si="39"/>
        <v>#DIV/0!</v>
      </c>
      <c r="N85" s="188" t="e">
        <f t="shared" si="40"/>
        <v>#DIV/0!</v>
      </c>
      <c r="O85" s="242"/>
      <c r="P85" s="328">
        <f t="shared" si="32"/>
        <v>0</v>
      </c>
      <c r="Q85" s="328">
        <f t="shared" si="33"/>
        <v>0</v>
      </c>
      <c r="R85" s="328">
        <f t="shared" si="34"/>
        <v>0</v>
      </c>
      <c r="S85" s="328">
        <f t="shared" si="41"/>
        <v>0</v>
      </c>
      <c r="T85" s="304">
        <f t="shared" si="42"/>
        <v>0</v>
      </c>
      <c r="U85" s="126"/>
      <c r="V85" s="208">
        <f t="shared" si="43"/>
        <v>0</v>
      </c>
    </row>
    <row r="86" spans="1:24" s="43" customFormat="1" x14ac:dyDescent="0.2">
      <c r="A86" s="4" t="s">
        <v>173</v>
      </c>
      <c r="B86" s="3" t="s">
        <v>174</v>
      </c>
      <c r="C86" s="334">
        <f>SUM(C87:C88)</f>
        <v>0</v>
      </c>
      <c r="D86" s="334">
        <f t="shared" ref="D86:F86" si="44">SUM(D87:D88)</f>
        <v>0</v>
      </c>
      <c r="E86" s="334">
        <f t="shared" si="44"/>
        <v>0</v>
      </c>
      <c r="F86" s="334">
        <f t="shared" si="44"/>
        <v>0</v>
      </c>
      <c r="G86" s="334"/>
      <c r="H86" s="334">
        <f t="shared" ref="H86:J86" si="45">SUM(H87:H88)</f>
        <v>0</v>
      </c>
      <c r="I86" s="334">
        <f t="shared" si="45"/>
        <v>0</v>
      </c>
      <c r="J86" s="334">
        <f t="shared" si="45"/>
        <v>0</v>
      </c>
      <c r="K86" s="334"/>
      <c r="L86" s="89" t="e">
        <f t="shared" si="38"/>
        <v>#DIV/0!</v>
      </c>
      <c r="M86" s="89" t="e">
        <f t="shared" si="39"/>
        <v>#DIV/0!</v>
      </c>
      <c r="N86" s="89" t="e">
        <f t="shared" si="40"/>
        <v>#DIV/0!</v>
      </c>
      <c r="O86" s="334"/>
      <c r="P86" s="334">
        <f t="shared" si="32"/>
        <v>0</v>
      </c>
      <c r="Q86" s="334">
        <f t="shared" si="33"/>
        <v>0</v>
      </c>
      <c r="R86" s="334">
        <f t="shared" si="34"/>
        <v>0</v>
      </c>
      <c r="S86" s="334">
        <f t="shared" si="41"/>
        <v>0</v>
      </c>
      <c r="T86" s="304">
        <f t="shared" si="42"/>
        <v>0</v>
      </c>
      <c r="U86" s="126"/>
      <c r="V86" s="208">
        <f t="shared" si="43"/>
        <v>0</v>
      </c>
    </row>
    <row r="87" spans="1:24" x14ac:dyDescent="0.2">
      <c r="A87" s="44"/>
      <c r="B87" s="45"/>
      <c r="C87" s="241"/>
      <c r="D87" s="242"/>
      <c r="E87" s="242"/>
      <c r="F87" s="242"/>
      <c r="G87" s="242"/>
      <c r="H87" s="242"/>
      <c r="I87" s="242"/>
      <c r="J87" s="242"/>
      <c r="K87" s="242"/>
      <c r="L87" s="188" t="e">
        <f t="shared" si="38"/>
        <v>#DIV/0!</v>
      </c>
      <c r="M87" s="188" t="e">
        <f t="shared" si="39"/>
        <v>#DIV/0!</v>
      </c>
      <c r="N87" s="188" t="e">
        <f t="shared" si="40"/>
        <v>#DIV/0!</v>
      </c>
      <c r="O87" s="242"/>
      <c r="P87" s="328">
        <f t="shared" si="32"/>
        <v>0</v>
      </c>
      <c r="Q87" s="328">
        <f t="shared" si="33"/>
        <v>0</v>
      </c>
      <c r="R87" s="328">
        <f t="shared" si="34"/>
        <v>0</v>
      </c>
      <c r="S87" s="328">
        <f t="shared" si="41"/>
        <v>0</v>
      </c>
      <c r="T87" s="304">
        <f t="shared" si="42"/>
        <v>0</v>
      </c>
      <c r="U87" s="126"/>
      <c r="V87" s="208">
        <f t="shared" si="43"/>
        <v>0</v>
      </c>
    </row>
    <row r="88" spans="1:24" hidden="1" x14ac:dyDescent="0.2">
      <c r="A88" s="14"/>
      <c r="B88" s="20"/>
      <c r="C88" s="241"/>
      <c r="D88" s="242"/>
      <c r="E88" s="242"/>
      <c r="F88" s="242"/>
      <c r="G88" s="242"/>
      <c r="H88" s="242"/>
      <c r="I88" s="242"/>
      <c r="J88" s="242"/>
      <c r="K88" s="242"/>
      <c r="L88" s="188" t="e">
        <f t="shared" si="38"/>
        <v>#DIV/0!</v>
      </c>
      <c r="M88" s="188" t="e">
        <f t="shared" si="39"/>
        <v>#DIV/0!</v>
      </c>
      <c r="N88" s="188" t="e">
        <f t="shared" si="40"/>
        <v>#DIV/0!</v>
      </c>
      <c r="O88" s="242"/>
      <c r="P88" s="328">
        <f t="shared" si="32"/>
        <v>0</v>
      </c>
      <c r="Q88" s="328">
        <f t="shared" si="33"/>
        <v>0</v>
      </c>
      <c r="R88" s="328">
        <f t="shared" si="34"/>
        <v>0</v>
      </c>
      <c r="S88" s="328">
        <f t="shared" si="41"/>
        <v>0</v>
      </c>
      <c r="T88" s="304">
        <f t="shared" si="42"/>
        <v>0</v>
      </c>
      <c r="U88" s="126"/>
      <c r="V88" s="208">
        <f t="shared" si="43"/>
        <v>0</v>
      </c>
    </row>
    <row r="89" spans="1:24" ht="18" customHeight="1" x14ac:dyDescent="0.2">
      <c r="A89" s="7"/>
      <c r="B89" s="501" t="s">
        <v>378</v>
      </c>
      <c r="C89" s="509">
        <f>C13+C29+C32+C83+C86</f>
        <v>31145000</v>
      </c>
      <c r="D89" s="509">
        <f t="shared" ref="D89:J89" si="46">D13+D29+D32+D83+D86</f>
        <v>32745000</v>
      </c>
      <c r="E89" s="509">
        <f t="shared" si="46"/>
        <v>32745000</v>
      </c>
      <c r="F89" s="509">
        <f t="shared" si="46"/>
        <v>33745000</v>
      </c>
      <c r="G89" s="509"/>
      <c r="H89" s="509">
        <f t="shared" si="46"/>
        <v>14585841</v>
      </c>
      <c r="I89" s="509">
        <f t="shared" si="46"/>
        <v>26249690</v>
      </c>
      <c r="J89" s="509">
        <f t="shared" si="46"/>
        <v>33240653</v>
      </c>
      <c r="K89" s="237"/>
      <c r="L89" s="89">
        <f>+H89/D89</f>
        <v>0.44543719651855246</v>
      </c>
      <c r="M89" s="89">
        <f>+I89/E89</f>
        <v>0.80163963963963969</v>
      </c>
      <c r="N89" s="89">
        <f>+J89/F89</f>
        <v>0.98505417098829451</v>
      </c>
      <c r="O89" s="237"/>
      <c r="P89" s="237">
        <f t="shared" si="32"/>
        <v>1600000</v>
      </c>
      <c r="Q89" s="237">
        <f t="shared" si="33"/>
        <v>0</v>
      </c>
      <c r="R89" s="237">
        <f t="shared" si="34"/>
        <v>1000000</v>
      </c>
      <c r="S89" s="237">
        <f t="shared" si="20"/>
        <v>2600000</v>
      </c>
      <c r="T89" s="304">
        <f t="shared" si="29"/>
        <v>8.3480494461390276E-2</v>
      </c>
      <c r="U89" s="126"/>
      <c r="V89" s="208">
        <f t="shared" si="30"/>
        <v>1000000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30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ht="12.75" customHeight="1" x14ac:dyDescent="0.2">
      <c r="A93" s="4" t="s">
        <v>321</v>
      </c>
      <c r="B93" s="3" t="s">
        <v>514</v>
      </c>
      <c r="C93" s="240">
        <v>0</v>
      </c>
      <c r="D93" s="331">
        <f>+D94</f>
        <v>0</v>
      </c>
      <c r="E93" s="331">
        <f>+E94</f>
        <v>0</v>
      </c>
      <c r="F93" s="331">
        <f>+F94</f>
        <v>1000000</v>
      </c>
      <c r="G93" s="331"/>
      <c r="H93" s="331">
        <f>+H94</f>
        <v>0</v>
      </c>
      <c r="I93" s="331">
        <f>+I94</f>
        <v>1000000</v>
      </c>
      <c r="J93" s="331">
        <f>+J94</f>
        <v>1000000</v>
      </c>
      <c r="K93" s="331"/>
      <c r="L93" s="89" t="e">
        <f t="shared" ref="L93:L102" si="47">+H93/D93</f>
        <v>#DIV/0!</v>
      </c>
      <c r="M93" s="89" t="e">
        <f t="shared" ref="M93:M102" si="48">+I93/E93</f>
        <v>#DIV/0!</v>
      </c>
      <c r="N93" s="89">
        <f t="shared" ref="N93:N102" si="49">+J93/F93</f>
        <v>1</v>
      </c>
      <c r="O93" s="331"/>
      <c r="P93" s="331">
        <f t="shared" si="32"/>
        <v>0</v>
      </c>
      <c r="Q93" s="331">
        <f t="shared" si="33"/>
        <v>0</v>
      </c>
      <c r="R93" s="331">
        <f t="shared" si="34"/>
        <v>1000000</v>
      </c>
      <c r="S93" s="331">
        <f t="shared" si="20"/>
        <v>1000000</v>
      </c>
      <c r="T93" s="304">
        <f t="shared" si="29"/>
        <v>0</v>
      </c>
      <c r="U93" s="126"/>
      <c r="V93" s="208">
        <f t="shared" si="30"/>
        <v>1000000</v>
      </c>
    </row>
    <row r="94" spans="1:24" ht="12.75" customHeight="1" x14ac:dyDescent="0.2">
      <c r="A94" s="560" t="s">
        <v>512</v>
      </c>
      <c r="B94" s="513" t="s">
        <v>513</v>
      </c>
      <c r="C94" s="332">
        <v>0</v>
      </c>
      <c r="D94" s="333">
        <v>0</v>
      </c>
      <c r="E94" s="333">
        <v>0</v>
      </c>
      <c r="F94" s="333">
        <v>1000000</v>
      </c>
      <c r="G94" s="333"/>
      <c r="H94" s="333">
        <v>0</v>
      </c>
      <c r="I94" s="333">
        <v>1000000</v>
      </c>
      <c r="J94" s="333">
        <v>1000000</v>
      </c>
      <c r="K94" s="333"/>
      <c r="L94" s="188" t="e">
        <f t="shared" si="47"/>
        <v>#DIV/0!</v>
      </c>
      <c r="M94" s="188" t="e">
        <f t="shared" si="48"/>
        <v>#DIV/0!</v>
      </c>
      <c r="N94" s="188">
        <f t="shared" si="49"/>
        <v>1</v>
      </c>
      <c r="O94" s="333"/>
      <c r="P94" s="328">
        <f t="shared" si="32"/>
        <v>0</v>
      </c>
      <c r="Q94" s="328">
        <f t="shared" si="33"/>
        <v>0</v>
      </c>
      <c r="R94" s="328">
        <f t="shared" si="34"/>
        <v>1000000</v>
      </c>
      <c r="S94" s="328">
        <f t="shared" si="20"/>
        <v>1000000</v>
      </c>
      <c r="T94" s="304">
        <f t="shared" si="29"/>
        <v>0</v>
      </c>
      <c r="U94" s="126"/>
      <c r="V94" s="208">
        <f t="shared" si="30"/>
        <v>1000000</v>
      </c>
    </row>
    <row r="95" spans="1:24" s="43" customFormat="1" ht="15" customHeight="1" x14ac:dyDescent="0.2">
      <c r="A95" s="4" t="s">
        <v>284</v>
      </c>
      <c r="B95" s="3" t="s">
        <v>285</v>
      </c>
      <c r="C95" s="240">
        <f>SUM(C96:C97)</f>
        <v>1521000</v>
      </c>
      <c r="D95" s="331">
        <f>+D96+D97+D98</f>
        <v>1521000</v>
      </c>
      <c r="E95" s="331">
        <f>+E96+E97+E98</f>
        <v>1521000</v>
      </c>
      <c r="F95" s="331">
        <f>+F96+F97+F98</f>
        <v>1978750</v>
      </c>
      <c r="G95" s="331"/>
      <c r="H95" s="331">
        <f>+H96+H97+H98</f>
        <v>749529</v>
      </c>
      <c r="I95" s="331">
        <f>+I96+I97+I98</f>
        <v>1303489</v>
      </c>
      <c r="J95" s="331">
        <f>+J96+J97+J98</f>
        <v>1990009</v>
      </c>
      <c r="K95" s="331"/>
      <c r="L95" s="89">
        <f t="shared" si="47"/>
        <v>0.49278698224852069</v>
      </c>
      <c r="M95" s="89">
        <f t="shared" si="48"/>
        <v>0.85699474030243261</v>
      </c>
      <c r="N95" s="89">
        <f t="shared" si="49"/>
        <v>1.0056899557801642</v>
      </c>
      <c r="O95" s="331"/>
      <c r="P95" s="331">
        <f t="shared" si="32"/>
        <v>0</v>
      </c>
      <c r="Q95" s="331">
        <f t="shared" si="33"/>
        <v>0</v>
      </c>
      <c r="R95" s="331">
        <f t="shared" si="34"/>
        <v>457750</v>
      </c>
      <c r="S95" s="331">
        <f t="shared" si="20"/>
        <v>457750</v>
      </c>
      <c r="T95" s="304">
        <f t="shared" si="29"/>
        <v>0.30095332018408943</v>
      </c>
      <c r="U95" s="126"/>
      <c r="V95" s="208">
        <f t="shared" si="30"/>
        <v>457750</v>
      </c>
    </row>
    <row r="96" spans="1:24" s="8" customFormat="1" x14ac:dyDescent="0.2">
      <c r="A96" s="14" t="s">
        <v>288</v>
      </c>
      <c r="B96" s="20" t="s">
        <v>289</v>
      </c>
      <c r="C96" s="332">
        <v>1510000</v>
      </c>
      <c r="D96" s="333">
        <v>1508000</v>
      </c>
      <c r="E96" s="333">
        <v>1508000</v>
      </c>
      <c r="F96" s="333">
        <v>1965750</v>
      </c>
      <c r="G96" s="333"/>
      <c r="H96" s="333">
        <v>743206</v>
      </c>
      <c r="I96" s="333">
        <v>1294380</v>
      </c>
      <c r="J96" s="333">
        <v>1975309</v>
      </c>
      <c r="K96" s="333"/>
      <c r="L96" s="188">
        <f t="shared" si="47"/>
        <v>0.492842175066313</v>
      </c>
      <c r="M96" s="188">
        <f t="shared" si="48"/>
        <v>0.85834217506631305</v>
      </c>
      <c r="N96" s="188">
        <f t="shared" si="49"/>
        <v>1.0048627750222561</v>
      </c>
      <c r="O96" s="333"/>
      <c r="P96" s="328">
        <f t="shared" ref="P96:P102" si="50">+(D96-C96)*P$10</f>
        <v>-2000</v>
      </c>
      <c r="Q96" s="328">
        <f t="shared" ref="Q96:Q102" si="51">+(E96-D96)*Q$10</f>
        <v>0</v>
      </c>
      <c r="R96" s="328">
        <f t="shared" ref="R96:R102" si="52">+(F96-E96)*R$10</f>
        <v>457750</v>
      </c>
      <c r="S96" s="328">
        <f t="shared" ref="S96:S102" si="53">SUM(P96:R96)</f>
        <v>455750</v>
      </c>
      <c r="T96" s="304">
        <f t="shared" si="29"/>
        <v>0.30182119205298014</v>
      </c>
      <c r="U96" s="126"/>
      <c r="V96" s="208">
        <f t="shared" si="30"/>
        <v>457750</v>
      </c>
    </row>
    <row r="97" spans="1:22" x14ac:dyDescent="0.2">
      <c r="A97" s="14" t="s">
        <v>299</v>
      </c>
      <c r="B97" s="20" t="s">
        <v>300</v>
      </c>
      <c r="C97" s="241">
        <v>11000</v>
      </c>
      <c r="D97" s="242">
        <v>11000</v>
      </c>
      <c r="E97" s="242">
        <v>11000</v>
      </c>
      <c r="F97" s="242">
        <v>11000</v>
      </c>
      <c r="G97" s="242"/>
      <c r="H97" s="242">
        <v>4644</v>
      </c>
      <c r="I97" s="242">
        <v>7390</v>
      </c>
      <c r="J97" s="242">
        <v>11961</v>
      </c>
      <c r="K97" s="242"/>
      <c r="L97" s="188">
        <f t="shared" si="47"/>
        <v>0.42218181818181816</v>
      </c>
      <c r="M97" s="188">
        <f t="shared" si="48"/>
        <v>0.67181818181818187</v>
      </c>
      <c r="N97" s="188">
        <f t="shared" si="49"/>
        <v>1.0873636363636363</v>
      </c>
      <c r="O97" s="242"/>
      <c r="P97" s="328">
        <f t="shared" si="50"/>
        <v>0</v>
      </c>
      <c r="Q97" s="328">
        <f t="shared" si="51"/>
        <v>0</v>
      </c>
      <c r="R97" s="328">
        <f t="shared" si="52"/>
        <v>0</v>
      </c>
      <c r="S97" s="328">
        <f t="shared" si="53"/>
        <v>0</v>
      </c>
      <c r="T97" s="304">
        <f t="shared" si="29"/>
        <v>0</v>
      </c>
      <c r="U97" s="126"/>
      <c r="V97" s="208">
        <f t="shared" si="30"/>
        <v>0</v>
      </c>
    </row>
    <row r="98" spans="1:22" x14ac:dyDescent="0.2">
      <c r="A98" s="560" t="s">
        <v>511</v>
      </c>
      <c r="B98" s="45" t="s">
        <v>305</v>
      </c>
      <c r="C98" s="241">
        <v>0</v>
      </c>
      <c r="D98" s="242">
        <v>2000</v>
      </c>
      <c r="E98" s="242">
        <f>1000+1000</f>
        <v>2000</v>
      </c>
      <c r="F98" s="242">
        <f>1000+1000</f>
        <v>2000</v>
      </c>
      <c r="G98" s="242"/>
      <c r="H98" s="242">
        <f>1599+80</f>
        <v>1679</v>
      </c>
      <c r="I98" s="242">
        <f>120+1599</f>
        <v>1719</v>
      </c>
      <c r="J98" s="242">
        <f>158+2581</f>
        <v>2739</v>
      </c>
      <c r="K98" s="242"/>
      <c r="L98" s="188">
        <f t="shared" si="47"/>
        <v>0.83950000000000002</v>
      </c>
      <c r="M98" s="188">
        <f t="shared" si="48"/>
        <v>0.85950000000000004</v>
      </c>
      <c r="N98" s="188">
        <f t="shared" si="49"/>
        <v>1.3694999999999999</v>
      </c>
      <c r="O98" s="242"/>
      <c r="P98" s="328">
        <f t="shared" si="50"/>
        <v>2000</v>
      </c>
      <c r="Q98" s="328">
        <f t="shared" si="51"/>
        <v>0</v>
      </c>
      <c r="R98" s="328">
        <f t="shared" si="52"/>
        <v>0</v>
      </c>
      <c r="S98" s="328">
        <f t="shared" si="53"/>
        <v>2000</v>
      </c>
      <c r="T98" s="304">
        <f t="shared" si="29"/>
        <v>0</v>
      </c>
      <c r="U98" s="126"/>
      <c r="V98" s="208">
        <f t="shared" si="30"/>
        <v>0</v>
      </c>
    </row>
    <row r="99" spans="1:22" s="43" customFormat="1" x14ac:dyDescent="0.2">
      <c r="A99" s="4" t="s">
        <v>333</v>
      </c>
      <c r="B99" s="3" t="s">
        <v>334</v>
      </c>
      <c r="C99" s="334">
        <f>SUM(C100:C101)</f>
        <v>29624000</v>
      </c>
      <c r="D99" s="334">
        <f t="shared" ref="D99:J99" si="54">SUM(D100:D101)</f>
        <v>31224000</v>
      </c>
      <c r="E99" s="334">
        <f t="shared" si="54"/>
        <v>31224000</v>
      </c>
      <c r="F99" s="334">
        <f t="shared" si="54"/>
        <v>30766250</v>
      </c>
      <c r="G99" s="334"/>
      <c r="H99" s="334">
        <f t="shared" si="54"/>
        <v>16521197</v>
      </c>
      <c r="I99" s="334">
        <f t="shared" si="54"/>
        <v>26484853</v>
      </c>
      <c r="J99" s="334">
        <f t="shared" si="54"/>
        <v>30766250</v>
      </c>
      <c r="K99" s="334"/>
      <c r="L99" s="89">
        <f t="shared" si="47"/>
        <v>0.52911853061747371</v>
      </c>
      <c r="M99" s="89">
        <f t="shared" si="48"/>
        <v>0.84822101588521648</v>
      </c>
      <c r="N99" s="89">
        <f t="shared" si="49"/>
        <v>1</v>
      </c>
      <c r="O99" s="334"/>
      <c r="P99" s="334">
        <f t="shared" si="50"/>
        <v>1600000</v>
      </c>
      <c r="Q99" s="334">
        <f t="shared" si="51"/>
        <v>0</v>
      </c>
      <c r="R99" s="334">
        <f t="shared" si="52"/>
        <v>-457750</v>
      </c>
      <c r="S99" s="334">
        <f t="shared" si="53"/>
        <v>1142250</v>
      </c>
      <c r="T99" s="304">
        <f t="shared" si="29"/>
        <v>3.8558263570078313E-2</v>
      </c>
      <c r="U99" s="126"/>
      <c r="V99" s="208">
        <f t="shared" si="30"/>
        <v>-457750</v>
      </c>
    </row>
    <row r="100" spans="1:22" x14ac:dyDescent="0.2">
      <c r="A100" s="44" t="s">
        <v>359</v>
      </c>
      <c r="B100" s="45" t="s">
        <v>389</v>
      </c>
      <c r="C100" s="241">
        <f>C105</f>
        <v>29366179</v>
      </c>
      <c r="D100" s="242">
        <v>30966179</v>
      </c>
      <c r="E100" s="242">
        <v>30966179</v>
      </c>
      <c r="F100" s="242">
        <v>30508429</v>
      </c>
      <c r="G100" s="242"/>
      <c r="H100" s="242">
        <v>16263376</v>
      </c>
      <c r="I100" s="242">
        <v>26227032</v>
      </c>
      <c r="J100" s="242">
        <v>30508429</v>
      </c>
      <c r="K100" s="242"/>
      <c r="L100" s="188">
        <f t="shared" si="47"/>
        <v>0.52519802330148646</v>
      </c>
      <c r="M100" s="188">
        <f t="shared" si="48"/>
        <v>0.84695732075952934</v>
      </c>
      <c r="N100" s="188">
        <f t="shared" si="49"/>
        <v>1</v>
      </c>
      <c r="O100" s="242"/>
      <c r="P100" s="328">
        <f t="shared" si="50"/>
        <v>1600000</v>
      </c>
      <c r="Q100" s="328">
        <f t="shared" si="51"/>
        <v>0</v>
      </c>
      <c r="R100" s="328">
        <f t="shared" si="52"/>
        <v>-457750</v>
      </c>
      <c r="S100" s="328">
        <f t="shared" si="53"/>
        <v>1142250</v>
      </c>
      <c r="T100" s="304">
        <f t="shared" si="29"/>
        <v>3.889678667422139E-2</v>
      </c>
      <c r="U100" s="126"/>
      <c r="V100" s="208">
        <f t="shared" si="30"/>
        <v>-457750</v>
      </c>
    </row>
    <row r="101" spans="1:22" x14ac:dyDescent="0.2">
      <c r="A101" s="14" t="s">
        <v>347</v>
      </c>
      <c r="B101" s="20" t="s">
        <v>348</v>
      </c>
      <c r="C101" s="594">
        <v>257821</v>
      </c>
      <c r="D101" s="242">
        <v>257821</v>
      </c>
      <c r="E101" s="242">
        <v>257821</v>
      </c>
      <c r="F101" s="242">
        <v>257821</v>
      </c>
      <c r="G101" s="242"/>
      <c r="H101" s="242">
        <v>257821</v>
      </c>
      <c r="I101" s="242">
        <v>257821</v>
      </c>
      <c r="J101" s="242">
        <v>257821</v>
      </c>
      <c r="K101" s="242"/>
      <c r="L101" s="188">
        <f t="shared" si="47"/>
        <v>1</v>
      </c>
      <c r="M101" s="188">
        <f t="shared" si="48"/>
        <v>1</v>
      </c>
      <c r="N101" s="188">
        <f t="shared" si="49"/>
        <v>1</v>
      </c>
      <c r="O101" s="242"/>
      <c r="P101" s="328">
        <f t="shared" si="50"/>
        <v>0</v>
      </c>
      <c r="Q101" s="328">
        <f t="shared" si="51"/>
        <v>0</v>
      </c>
      <c r="R101" s="328">
        <f t="shared" si="52"/>
        <v>0</v>
      </c>
      <c r="S101" s="328">
        <f t="shared" si="53"/>
        <v>0</v>
      </c>
      <c r="T101" s="304">
        <f t="shared" si="29"/>
        <v>0</v>
      </c>
      <c r="U101" s="126"/>
      <c r="V101" s="208">
        <f t="shared" si="30"/>
        <v>0</v>
      </c>
    </row>
    <row r="102" spans="1:22" ht="23.25" customHeight="1" x14ac:dyDescent="0.2">
      <c r="A102" s="5"/>
      <c r="B102" s="5" t="s">
        <v>377</v>
      </c>
      <c r="C102" s="237">
        <f>+C93+C95+C99</f>
        <v>31145000</v>
      </c>
      <c r="D102" s="237">
        <f>+D93+D95+D99</f>
        <v>32745000</v>
      </c>
      <c r="E102" s="237">
        <f>+E93+E95+E99</f>
        <v>32745000</v>
      </c>
      <c r="F102" s="237">
        <f>+F93+F95+F99</f>
        <v>33745000</v>
      </c>
      <c r="G102" s="237"/>
      <c r="H102" s="237">
        <f>+H93+H95+H99</f>
        <v>17270726</v>
      </c>
      <c r="I102" s="237">
        <f>+I93+I95+I99</f>
        <v>28788342</v>
      </c>
      <c r="J102" s="237">
        <f>+J93+J95+J99</f>
        <v>33756259</v>
      </c>
      <c r="K102" s="237"/>
      <c r="L102" s="89">
        <f t="shared" si="47"/>
        <v>0.52743093602076652</v>
      </c>
      <c r="M102" s="89">
        <f t="shared" si="48"/>
        <v>0.87916756756756753</v>
      </c>
      <c r="N102" s="89">
        <f t="shared" si="49"/>
        <v>1.0003336494295452</v>
      </c>
      <c r="O102" s="237"/>
      <c r="P102" s="237">
        <f t="shared" si="50"/>
        <v>1600000</v>
      </c>
      <c r="Q102" s="237">
        <f t="shared" si="51"/>
        <v>0</v>
      </c>
      <c r="R102" s="237">
        <f t="shared" si="52"/>
        <v>1000000</v>
      </c>
      <c r="S102" s="237">
        <f t="shared" si="53"/>
        <v>2600000</v>
      </c>
      <c r="T102" s="304">
        <f t="shared" si="29"/>
        <v>8.3480494461390276E-2</v>
      </c>
      <c r="U102" s="126"/>
      <c r="V102" s="208">
        <f t="shared" si="30"/>
        <v>1000000</v>
      </c>
    </row>
    <row r="103" spans="1:22" x14ac:dyDescent="0.2">
      <c r="C103" s="303"/>
      <c r="D103" s="302"/>
      <c r="E103" s="302"/>
      <c r="F103" s="302"/>
      <c r="G103" s="302"/>
      <c r="H103" s="302"/>
      <c r="I103" s="302"/>
      <c r="J103" s="302"/>
      <c r="K103" s="302"/>
      <c r="O103" s="302"/>
      <c r="P103" s="302"/>
      <c r="Q103" s="302"/>
      <c r="R103" s="302"/>
      <c r="S103" s="302"/>
    </row>
    <row r="104" spans="1:22" x14ac:dyDescent="0.2">
      <c r="C104" s="303"/>
      <c r="D104" s="303"/>
      <c r="E104" s="303"/>
      <c r="F104" s="303"/>
      <c r="G104" s="303"/>
      <c r="H104" s="303"/>
      <c r="I104" s="303"/>
      <c r="J104" s="303"/>
      <c r="K104" s="303"/>
      <c r="O104" s="303"/>
      <c r="P104" s="303"/>
      <c r="Q104" s="303"/>
      <c r="R104" s="303"/>
      <c r="S104" s="303"/>
    </row>
    <row r="105" spans="1:22" x14ac:dyDescent="0.2">
      <c r="C105" s="303">
        <f>+C89-C95-C101</f>
        <v>29366179</v>
      </c>
      <c r="D105" s="303"/>
      <c r="E105" s="303"/>
      <c r="F105" s="303"/>
      <c r="G105" s="303"/>
      <c r="H105" s="303"/>
      <c r="I105" s="303"/>
      <c r="J105" s="303"/>
      <c r="K105" s="303"/>
      <c r="O105" s="303"/>
      <c r="P105" s="303"/>
      <c r="Q105" s="303"/>
      <c r="R105" s="303"/>
      <c r="S105" s="303"/>
    </row>
    <row r="106" spans="1:22" x14ac:dyDescent="0.2">
      <c r="C106" s="303"/>
      <c r="D106" s="303"/>
      <c r="E106" s="303"/>
      <c r="F106" s="303"/>
      <c r="G106" s="303"/>
      <c r="H106" s="303"/>
      <c r="I106" s="303"/>
      <c r="J106" s="303"/>
      <c r="K106" s="303"/>
      <c r="O106" s="303"/>
      <c r="P106" s="303"/>
      <c r="Q106" s="303"/>
      <c r="R106" s="303"/>
      <c r="S106" s="303"/>
    </row>
    <row r="107" spans="1:22" x14ac:dyDescent="0.2">
      <c r="A107" s="61" t="s">
        <v>359</v>
      </c>
      <c r="B107" s="61" t="s">
        <v>502</v>
      </c>
      <c r="C107" s="303">
        <v>9393600</v>
      </c>
      <c r="D107" s="303"/>
      <c r="E107" s="303"/>
      <c r="F107" s="303"/>
      <c r="G107" s="303"/>
      <c r="H107" s="303"/>
      <c r="I107" s="303"/>
      <c r="J107" s="303"/>
      <c r="K107" s="303"/>
      <c r="O107" s="303"/>
      <c r="P107" s="303"/>
      <c r="Q107" s="303"/>
      <c r="R107" s="303"/>
      <c r="S107" s="303"/>
    </row>
    <row r="108" spans="1:22" x14ac:dyDescent="0.2">
      <c r="C108" s="303"/>
      <c r="D108" s="303"/>
      <c r="E108" s="303"/>
      <c r="F108" s="303"/>
      <c r="G108" s="303"/>
      <c r="H108" s="303"/>
      <c r="I108" s="303"/>
      <c r="J108" s="303"/>
      <c r="K108" s="303"/>
      <c r="O108" s="303"/>
      <c r="P108" s="303"/>
      <c r="Q108" s="303"/>
      <c r="R108" s="303"/>
      <c r="S108" s="303"/>
    </row>
    <row r="109" spans="1:22" x14ac:dyDescent="0.2">
      <c r="C109" s="303"/>
      <c r="D109" s="303"/>
      <c r="E109" s="303"/>
      <c r="F109" s="303"/>
      <c r="G109" s="303"/>
      <c r="H109" s="303"/>
      <c r="I109" s="303"/>
      <c r="J109" s="303"/>
      <c r="K109" s="303"/>
      <c r="O109" s="303"/>
      <c r="P109" s="303"/>
      <c r="Q109" s="303"/>
      <c r="R109" s="303"/>
      <c r="S109" s="303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.19685039370078741" header="0.51181102362204722" footer="0.51181102362204722"/>
  <pageSetup paperSize="9" scale="37" fitToHeight="0" orientation="portrait" r:id="rId1"/>
  <headerFooter alignWithMargins="0">
    <oddHeader>&amp;R&amp;"Arial,Félkövér dőlt"&amp;A  /&amp;"Arial,Normál"
&amp;"Arial,Dőlt"&amp;8&amp;F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topLeftCell="A69" zoomScaleNormal="100" zoomScaleSheetLayoutView="100" workbookViewId="0">
      <selection activeCell="J100" sqref="J100"/>
    </sheetView>
  </sheetViews>
  <sheetFormatPr defaultRowHeight="12.75" customHeight="1" x14ac:dyDescent="0.2"/>
  <cols>
    <col min="1" max="1" width="6.42578125" style="13" bestFit="1" customWidth="1"/>
    <col min="2" max="2" width="48.5703125" style="13" customWidth="1"/>
    <col min="3" max="6" width="15.5703125" style="13" customWidth="1"/>
    <col min="7" max="7" width="1.5703125" style="13" customWidth="1"/>
    <col min="8" max="10" width="15.5703125" style="13" customWidth="1"/>
    <col min="11" max="11" width="1.5703125" style="13" customWidth="1"/>
    <col min="12" max="14" width="10.5703125" style="13" customWidth="1"/>
    <col min="15" max="15" width="1.5703125" style="13" customWidth="1"/>
    <col min="16" max="19" width="14.5703125" style="13" customWidth="1"/>
    <col min="21" max="21" width="0.85546875" customWidth="1"/>
    <col min="23" max="23" width="14.5703125" bestFit="1" customWidth="1"/>
  </cols>
  <sheetData>
    <row r="1" spans="1:27" ht="26.25" x14ac:dyDescent="0.4">
      <c r="A1" s="325" t="s">
        <v>431</v>
      </c>
      <c r="B1" s="249"/>
      <c r="C1" s="249"/>
      <c r="D1" s="249"/>
      <c r="G1" s="248"/>
      <c r="H1" s="247"/>
      <c r="I1" s="251"/>
      <c r="J1" s="245" t="str">
        <f>+'1. Sülysáp összesen'!J1</f>
        <v>2017. ÉVES BESZÁMOLÓ</v>
      </c>
      <c r="K1" s="251"/>
      <c r="L1" s="247"/>
      <c r="M1" s="247"/>
      <c r="N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7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7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7" ht="20.100000000000001" customHeight="1" x14ac:dyDescent="0.25">
      <c r="A5" s="272"/>
      <c r="B5" s="272" t="s">
        <v>378</v>
      </c>
      <c r="C5" s="273">
        <f>+C89</f>
        <v>98992000</v>
      </c>
      <c r="D5" s="273">
        <f t="shared" ref="D5:E5" si="0">+D89</f>
        <v>98992000</v>
      </c>
      <c r="E5" s="273">
        <f t="shared" si="0"/>
        <v>98992000</v>
      </c>
      <c r="F5" s="273">
        <f>+F89</f>
        <v>98992000</v>
      </c>
      <c r="G5" s="273"/>
      <c r="H5" s="273">
        <f>+H89</f>
        <v>50787336</v>
      </c>
      <c r="I5" s="273">
        <f t="shared" ref="I5:J5" si="1">+I89</f>
        <v>65747364</v>
      </c>
      <c r="J5" s="273">
        <f t="shared" si="1"/>
        <v>91037806</v>
      </c>
      <c r="K5" s="95"/>
      <c r="L5" s="32">
        <f t="shared" ref="L5:N6" si="2">IF(H5&gt;0,H5/C5,0)</f>
        <v>0.51304485210926132</v>
      </c>
      <c r="M5" s="32">
        <f t="shared" si="2"/>
        <v>0.66416845805721669</v>
      </c>
      <c r="N5" s="32">
        <f t="shared" si="2"/>
        <v>0.91964811297882654</v>
      </c>
      <c r="O5" s="95"/>
      <c r="P5" s="273">
        <f>+P89</f>
        <v>0</v>
      </c>
      <c r="Q5" s="273">
        <f>+Q89</f>
        <v>0</v>
      </c>
      <c r="R5" s="273">
        <f>+R89</f>
        <v>0</v>
      </c>
      <c r="S5" s="273">
        <f>+S89</f>
        <v>0</v>
      </c>
      <c r="T5" s="139">
        <f>IF(C5=0,0,+S5/C5)</f>
        <v>0</v>
      </c>
      <c r="U5" s="124"/>
      <c r="V5" s="211">
        <f t="shared" ref="V5:V7" si="3">+S5-E5+C5</f>
        <v>0</v>
      </c>
      <c r="W5" s="128"/>
      <c r="X5" s="128"/>
    </row>
    <row r="6" spans="1:27" ht="20.100000000000001" customHeight="1" x14ac:dyDescent="0.25">
      <c r="A6" s="274"/>
      <c r="B6" s="274" t="s">
        <v>377</v>
      </c>
      <c r="C6" s="275">
        <f>+C102</f>
        <v>98992000</v>
      </c>
      <c r="D6" s="275">
        <f t="shared" ref="D6:J6" si="4">+D102</f>
        <v>98992000</v>
      </c>
      <c r="E6" s="275">
        <f t="shared" si="4"/>
        <v>98992000</v>
      </c>
      <c r="F6" s="275">
        <f t="shared" si="4"/>
        <v>98992000</v>
      </c>
      <c r="G6" s="275"/>
      <c r="H6" s="275">
        <f t="shared" si="4"/>
        <v>55632923</v>
      </c>
      <c r="I6" s="275">
        <f t="shared" si="4"/>
        <v>69805768</v>
      </c>
      <c r="J6" s="275">
        <f t="shared" si="4"/>
        <v>96586805</v>
      </c>
      <c r="K6" s="69"/>
      <c r="L6" s="32">
        <f t="shared" si="2"/>
        <v>0.56199413083885563</v>
      </c>
      <c r="M6" s="32">
        <f t="shared" si="2"/>
        <v>0.7051657507677388</v>
      </c>
      <c r="N6" s="32">
        <f t="shared" si="2"/>
        <v>0.975703137627283</v>
      </c>
      <c r="O6" s="69"/>
      <c r="P6" s="275">
        <f>+P102</f>
        <v>0</v>
      </c>
      <c r="Q6" s="275">
        <f t="shared" ref="Q6:S6" si="5">+Q102</f>
        <v>0</v>
      </c>
      <c r="R6" s="275">
        <f t="shared" si="5"/>
        <v>0</v>
      </c>
      <c r="S6" s="275">
        <f t="shared" si="5"/>
        <v>0</v>
      </c>
      <c r="T6" s="32">
        <f>IF(C6=0,0,+S6/C6)</f>
        <v>0</v>
      </c>
      <c r="U6" s="124"/>
      <c r="V6" s="211">
        <f t="shared" si="3"/>
        <v>0</v>
      </c>
      <c r="W6" s="128"/>
      <c r="X6" s="128"/>
    </row>
    <row r="7" spans="1:27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4845587</v>
      </c>
      <c r="I7" s="275">
        <f>+I6-I5</f>
        <v>4058404</v>
      </c>
      <c r="J7" s="275">
        <f t="shared" ref="J7" si="7">+J6-J5</f>
        <v>5548999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7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7" ht="15.75" x14ac:dyDescent="0.25">
      <c r="A9" s="64"/>
      <c r="B9" s="259"/>
      <c r="C9" s="657" t="s">
        <v>408</v>
      </c>
      <c r="D9" s="662"/>
      <c r="E9" s="662"/>
      <c r="F9" s="663"/>
      <c r="G9" s="165"/>
      <c r="H9" s="657" t="s">
        <v>407</v>
      </c>
      <c r="I9" s="662"/>
      <c r="J9" s="662"/>
      <c r="K9" s="662"/>
      <c r="L9" s="662"/>
      <c r="M9" s="662"/>
      <c r="N9" s="663"/>
      <c r="O9" s="165"/>
      <c r="P9" s="657" t="s">
        <v>404</v>
      </c>
      <c r="Q9" s="662"/>
      <c r="R9" s="662"/>
      <c r="S9" s="662"/>
      <c r="T9" s="663"/>
      <c r="U9" s="212"/>
      <c r="V9" s="208"/>
      <c r="W9" s="128"/>
      <c r="X9" s="128"/>
    </row>
    <row r="10" spans="1:27" x14ac:dyDescent="0.2">
      <c r="A10" s="291"/>
      <c r="B10" s="290"/>
      <c r="C10" s="255"/>
      <c r="D10" s="94"/>
      <c r="E10" s="94"/>
      <c r="F10" s="256"/>
      <c r="G10" s="140"/>
      <c r="H10" s="654" t="s">
        <v>421</v>
      </c>
      <c r="I10" s="664"/>
      <c r="J10" s="665"/>
      <c r="K10" s="140"/>
      <c r="L10" s="654" t="s">
        <v>420</v>
      </c>
      <c r="M10" s="664"/>
      <c r="N10" s="665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7" ht="67.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7" ht="12.75" customHeight="1" x14ac:dyDescent="0.2">
      <c r="A12" s="14"/>
      <c r="B12" s="20"/>
      <c r="C12" s="335"/>
      <c r="D12" s="336"/>
      <c r="E12" s="336"/>
      <c r="F12" s="336"/>
      <c r="G12" s="336"/>
      <c r="H12" s="336"/>
      <c r="I12" s="336"/>
      <c r="J12" s="336"/>
      <c r="K12" s="336"/>
      <c r="L12" s="142"/>
      <c r="M12" s="142"/>
      <c r="N12" s="142"/>
      <c r="O12" s="336"/>
      <c r="P12" s="336"/>
      <c r="Q12" s="336"/>
      <c r="R12" s="336"/>
      <c r="S12" s="336"/>
    </row>
    <row r="13" spans="1:27" ht="12.75" customHeight="1" x14ac:dyDescent="0.2">
      <c r="A13" s="7" t="s">
        <v>0</v>
      </c>
      <c r="B13" s="5" t="s">
        <v>3</v>
      </c>
      <c r="C13" s="337">
        <f>SUM(C14:C28)</f>
        <v>23625000</v>
      </c>
      <c r="D13" s="337">
        <f t="shared" ref="D13:J13" si="9">SUM(D14:D28)</f>
        <v>23625000</v>
      </c>
      <c r="E13" s="337">
        <f t="shared" si="9"/>
        <v>23625000</v>
      </c>
      <c r="F13" s="337">
        <f t="shared" si="9"/>
        <v>23560277</v>
      </c>
      <c r="G13" s="337"/>
      <c r="H13" s="337">
        <f t="shared" si="9"/>
        <v>11298003</v>
      </c>
      <c r="I13" s="337">
        <f t="shared" si="9"/>
        <v>17380903</v>
      </c>
      <c r="J13" s="337">
        <f t="shared" si="9"/>
        <v>23560277</v>
      </c>
      <c r="K13" s="337"/>
      <c r="L13" s="89">
        <f t="shared" ref="L13" si="10">+H13/C13</f>
        <v>0.47822234920634921</v>
      </c>
      <c r="M13" s="89">
        <f t="shared" ref="M13:N13" si="11">+I13/D13</f>
        <v>0.73569959788359784</v>
      </c>
      <c r="N13" s="89">
        <f t="shared" si="11"/>
        <v>0.9972604021164021</v>
      </c>
      <c r="O13" s="337"/>
      <c r="P13" s="338">
        <f t="shared" ref="P13:P14" si="12">+(D13-C13)*P$10</f>
        <v>0</v>
      </c>
      <c r="Q13" s="338">
        <f t="shared" ref="Q13:Q14" si="13">+(E13-D13)*Q$10</f>
        <v>0</v>
      </c>
      <c r="R13" s="338">
        <f t="shared" ref="R13:R14" si="14">+(F13-E13)*R$10</f>
        <v>-64723</v>
      </c>
      <c r="S13" s="338">
        <f t="shared" ref="S13:S14" si="15">SUM(P13:R13)</f>
        <v>-64723</v>
      </c>
      <c r="T13" s="305">
        <f>IF('8. WAMKK'!C13=0,0,+S13/'8. WAMKK'!C13)</f>
        <v>-4.6033428165007115E-3</v>
      </c>
      <c r="U13" s="126"/>
      <c r="V13" s="208">
        <f t="shared" ref="V13:V71" si="16">+S13-E13+C13</f>
        <v>-64723</v>
      </c>
    </row>
    <row r="14" spans="1:27" ht="12.75" customHeight="1" x14ac:dyDescent="0.2">
      <c r="A14" s="14" t="s">
        <v>1</v>
      </c>
      <c r="B14" s="20"/>
      <c r="C14" s="335"/>
      <c r="D14" s="336"/>
      <c r="E14" s="336"/>
      <c r="F14" s="336"/>
      <c r="G14" s="336"/>
      <c r="H14" s="336"/>
      <c r="I14" s="336"/>
      <c r="J14" s="336"/>
      <c r="K14" s="336"/>
      <c r="L14" s="142"/>
      <c r="M14" s="142"/>
      <c r="N14" s="142"/>
      <c r="O14" s="336"/>
      <c r="P14" s="336">
        <f t="shared" si="12"/>
        <v>0</v>
      </c>
      <c r="Q14" s="336">
        <f t="shared" si="13"/>
        <v>0</v>
      </c>
      <c r="R14" s="336">
        <f t="shared" si="14"/>
        <v>0</v>
      </c>
      <c r="S14" s="336">
        <f t="shared" si="15"/>
        <v>0</v>
      </c>
      <c r="T14" s="304">
        <f>IF('8. WAMKK'!C14=0,0,+S14/'8. WAMKK'!C14)</f>
        <v>0</v>
      </c>
      <c r="U14" s="126"/>
      <c r="V14" s="208">
        <f t="shared" si="16"/>
        <v>0</v>
      </c>
    </row>
    <row r="15" spans="1:27" ht="12.75" customHeight="1" x14ac:dyDescent="0.2">
      <c r="A15" s="14" t="s">
        <v>2</v>
      </c>
      <c r="B15" s="513" t="s">
        <v>398</v>
      </c>
      <c r="C15" s="335">
        <v>22411000</v>
      </c>
      <c r="D15" s="177">
        <v>22341000</v>
      </c>
      <c r="E15" s="177">
        <v>22341000</v>
      </c>
      <c r="F15" s="177">
        <v>21383845</v>
      </c>
      <c r="G15" s="177"/>
      <c r="H15" s="177">
        <v>10643594</v>
      </c>
      <c r="I15" s="177">
        <v>16309494</v>
      </c>
      <c r="J15" s="177">
        <v>21383845</v>
      </c>
      <c r="K15" s="177"/>
      <c r="L15" s="143">
        <f>+H15/C15</f>
        <v>0.47492722323858821</v>
      </c>
      <c r="M15" s="143">
        <f>+I15/D15</f>
        <v>0.73002524506512689</v>
      </c>
      <c r="N15" s="143">
        <f>+J15/E15</f>
        <v>0.95715702072422904</v>
      </c>
      <c r="O15" s="177"/>
      <c r="P15" s="328">
        <f>+(D15-C15)*P$10</f>
        <v>-70000</v>
      </c>
      <c r="Q15" s="328">
        <f t="shared" ref="Q15:R15" si="17">+(E15-D15)*Q$10</f>
        <v>0</v>
      </c>
      <c r="R15" s="328">
        <f t="shared" si="17"/>
        <v>-957155</v>
      </c>
      <c r="S15" s="328">
        <f>SUM(P15:R15)</f>
        <v>-1027155</v>
      </c>
      <c r="T15" s="304">
        <f>IF('8. WAMKK'!C15=0,0,+S15/'8. WAMKK'!C15)</f>
        <v>-7.8781638288080991E-2</v>
      </c>
      <c r="U15" s="126"/>
      <c r="V15" s="208">
        <f t="shared" si="16"/>
        <v>-957155</v>
      </c>
    </row>
    <row r="16" spans="1:27" ht="12.75" customHeight="1" x14ac:dyDescent="0.2">
      <c r="A16" s="14" t="s">
        <v>12</v>
      </c>
      <c r="B16" s="20" t="s">
        <v>4</v>
      </c>
      <c r="C16" s="335"/>
      <c r="D16" s="177"/>
      <c r="E16" s="177"/>
      <c r="F16" s="177">
        <v>100500</v>
      </c>
      <c r="G16" s="177"/>
      <c r="H16" s="177"/>
      <c r="I16" s="177"/>
      <c r="J16" s="177">
        <v>100500</v>
      </c>
      <c r="K16" s="177"/>
      <c r="L16" s="142"/>
      <c r="M16" s="142"/>
      <c r="N16" s="142"/>
      <c r="O16" s="177"/>
      <c r="P16" s="177">
        <f t="shared" ref="P16:P79" si="18">+(D16-C16)*P$10</f>
        <v>0</v>
      </c>
      <c r="Q16" s="177">
        <f t="shared" ref="Q16:Q79" si="19">+(E16-D16)*Q$10</f>
        <v>0</v>
      </c>
      <c r="R16" s="177">
        <f t="shared" ref="R16:R79" si="20">+(F16-E16)*R$10</f>
        <v>100500</v>
      </c>
      <c r="S16" s="177">
        <f t="shared" ref="S16:S79" si="21">SUM(P16:R16)</f>
        <v>100500</v>
      </c>
      <c r="T16" s="304">
        <f>IF('8. WAMKK'!C16=0,0,+S16/'8. WAMKK'!C16)</f>
        <v>0</v>
      </c>
      <c r="U16" s="126"/>
      <c r="V16" s="208">
        <f t="shared" si="16"/>
        <v>100500</v>
      </c>
    </row>
    <row r="17" spans="1:22" ht="12.75" customHeight="1" x14ac:dyDescent="0.2">
      <c r="A17" s="14" t="s">
        <v>13</v>
      </c>
      <c r="B17" s="20" t="s">
        <v>5</v>
      </c>
      <c r="C17" s="335"/>
      <c r="D17" s="177"/>
      <c r="E17" s="177"/>
      <c r="F17" s="177"/>
      <c r="G17" s="177"/>
      <c r="H17" s="177"/>
      <c r="I17" s="177"/>
      <c r="J17" s="177"/>
      <c r="K17" s="177"/>
      <c r="L17" s="142"/>
      <c r="M17" s="142"/>
      <c r="N17" s="142"/>
      <c r="O17" s="177"/>
      <c r="P17" s="177">
        <f t="shared" si="18"/>
        <v>0</v>
      </c>
      <c r="Q17" s="177">
        <f t="shared" si="19"/>
        <v>0</v>
      </c>
      <c r="R17" s="177">
        <f t="shared" si="20"/>
        <v>0</v>
      </c>
      <c r="S17" s="177">
        <f t="shared" si="21"/>
        <v>0</v>
      </c>
      <c r="T17" s="304">
        <f>IF('8. WAMKK'!C17=0,0,+S17/'8. WAMKK'!C17)</f>
        <v>0</v>
      </c>
      <c r="U17" s="126"/>
      <c r="V17" s="208">
        <f t="shared" si="16"/>
        <v>0</v>
      </c>
    </row>
    <row r="18" spans="1:22" ht="12.75" customHeight="1" x14ac:dyDescent="0.2">
      <c r="A18" s="560" t="s">
        <v>386</v>
      </c>
      <c r="B18" s="20" t="s">
        <v>6</v>
      </c>
      <c r="C18" s="335">
        <v>0</v>
      </c>
      <c r="D18" s="177">
        <v>0</v>
      </c>
      <c r="E18" s="177">
        <v>0</v>
      </c>
      <c r="F18" s="177">
        <v>0</v>
      </c>
      <c r="G18" s="177"/>
      <c r="H18" s="177">
        <v>0</v>
      </c>
      <c r="I18" s="177">
        <f>+H18</f>
        <v>0</v>
      </c>
      <c r="J18" s="177"/>
      <c r="K18" s="177"/>
      <c r="L18" s="143" t="e">
        <f t="shared" ref="L18:L74" si="22">+H18/C18</f>
        <v>#DIV/0!</v>
      </c>
      <c r="M18" s="143" t="e">
        <f t="shared" ref="M18:N74" si="23">+I18/D18</f>
        <v>#DIV/0!</v>
      </c>
      <c r="N18" s="143" t="e">
        <f t="shared" si="23"/>
        <v>#DIV/0!</v>
      </c>
      <c r="O18" s="177"/>
      <c r="P18" s="328">
        <f t="shared" si="18"/>
        <v>0</v>
      </c>
      <c r="Q18" s="328">
        <f t="shared" si="19"/>
        <v>0</v>
      </c>
      <c r="R18" s="328">
        <f t="shared" si="20"/>
        <v>0</v>
      </c>
      <c r="S18" s="328">
        <f t="shared" si="21"/>
        <v>0</v>
      </c>
      <c r="T18" s="304">
        <f>IF('8. WAMKK'!C18=0,0,+S18/'8. WAMKK'!C18)</f>
        <v>0</v>
      </c>
      <c r="U18" s="126"/>
      <c r="V18" s="208">
        <f t="shared" si="16"/>
        <v>0</v>
      </c>
    </row>
    <row r="19" spans="1:22" ht="12.75" customHeight="1" x14ac:dyDescent="0.2">
      <c r="A19" s="14" t="s">
        <v>14</v>
      </c>
      <c r="B19" s="20" t="s">
        <v>7</v>
      </c>
      <c r="C19" s="335">
        <f>5000*12*14</f>
        <v>840000</v>
      </c>
      <c r="D19" s="177">
        <v>840000</v>
      </c>
      <c r="E19" s="177">
        <v>840000</v>
      </c>
      <c r="F19" s="177">
        <v>1415000</v>
      </c>
      <c r="G19" s="177"/>
      <c r="H19" s="177">
        <v>390000</v>
      </c>
      <c r="I19" s="177">
        <v>780000</v>
      </c>
      <c r="J19" s="177">
        <v>1415000</v>
      </c>
      <c r="K19" s="177"/>
      <c r="L19" s="143">
        <f t="shared" si="22"/>
        <v>0.4642857142857143</v>
      </c>
      <c r="M19" s="143">
        <f t="shared" si="23"/>
        <v>0.9285714285714286</v>
      </c>
      <c r="N19" s="143">
        <f t="shared" si="23"/>
        <v>1.6845238095238095</v>
      </c>
      <c r="O19" s="177"/>
      <c r="P19" s="328">
        <f t="shared" si="18"/>
        <v>0</v>
      </c>
      <c r="Q19" s="328">
        <f t="shared" si="19"/>
        <v>0</v>
      </c>
      <c r="R19" s="328">
        <f t="shared" si="20"/>
        <v>575000</v>
      </c>
      <c r="S19" s="328">
        <f t="shared" si="21"/>
        <v>575000</v>
      </c>
      <c r="T19" s="304">
        <f>IF('8. WAMKK'!C19=0,0,+S19/'8. WAMKK'!C19)</f>
        <v>1.9491525423728813</v>
      </c>
      <c r="U19" s="126"/>
      <c r="V19" s="208">
        <f t="shared" si="16"/>
        <v>575000</v>
      </c>
    </row>
    <row r="20" spans="1:22" ht="12.75" customHeight="1" x14ac:dyDescent="0.2">
      <c r="A20" s="14" t="s">
        <v>15</v>
      </c>
      <c r="B20" s="20" t="s">
        <v>8</v>
      </c>
      <c r="C20" s="335"/>
      <c r="D20" s="177"/>
      <c r="E20" s="177"/>
      <c r="F20" s="177"/>
      <c r="G20" s="177"/>
      <c r="H20" s="177"/>
      <c r="I20" s="177"/>
      <c r="J20" s="177"/>
      <c r="K20" s="177"/>
      <c r="L20" s="142"/>
      <c r="M20" s="142"/>
      <c r="N20" s="142"/>
      <c r="O20" s="177"/>
      <c r="P20" s="177">
        <f t="shared" si="18"/>
        <v>0</v>
      </c>
      <c r="Q20" s="177">
        <f t="shared" si="19"/>
        <v>0</v>
      </c>
      <c r="R20" s="177">
        <f t="shared" si="20"/>
        <v>0</v>
      </c>
      <c r="S20" s="177">
        <f t="shared" si="21"/>
        <v>0</v>
      </c>
      <c r="T20" s="304">
        <f>IF('8. WAMKK'!C20=0,0,+S20/'8. WAMKK'!C20)</f>
        <v>0</v>
      </c>
      <c r="U20" s="126"/>
      <c r="V20" s="208">
        <f t="shared" si="16"/>
        <v>0</v>
      </c>
    </row>
    <row r="21" spans="1:22" ht="12.75" customHeight="1" x14ac:dyDescent="0.2">
      <c r="A21" s="14" t="s">
        <v>16</v>
      </c>
      <c r="B21" s="20" t="s">
        <v>9</v>
      </c>
      <c r="C21" s="335">
        <v>20000</v>
      </c>
      <c r="D21" s="177">
        <v>20000</v>
      </c>
      <c r="E21" s="177">
        <v>20000</v>
      </c>
      <c r="F21" s="177">
        <v>47088</v>
      </c>
      <c r="G21" s="177"/>
      <c r="H21" s="177">
        <v>15120</v>
      </c>
      <c r="I21" s="177">
        <v>15120</v>
      </c>
      <c r="J21" s="177">
        <v>47088</v>
      </c>
      <c r="K21" s="177"/>
      <c r="L21" s="143">
        <f t="shared" si="22"/>
        <v>0.75600000000000001</v>
      </c>
      <c r="M21" s="143">
        <f t="shared" si="23"/>
        <v>0.75600000000000001</v>
      </c>
      <c r="N21" s="143">
        <f t="shared" si="23"/>
        <v>2.3544</v>
      </c>
      <c r="O21" s="177"/>
      <c r="P21" s="328">
        <f t="shared" si="18"/>
        <v>0</v>
      </c>
      <c r="Q21" s="328">
        <f t="shared" si="19"/>
        <v>0</v>
      </c>
      <c r="R21" s="328">
        <f t="shared" si="20"/>
        <v>27088</v>
      </c>
      <c r="S21" s="328">
        <f t="shared" si="21"/>
        <v>27088</v>
      </c>
      <c r="T21" s="304">
        <f>IF('8. WAMKK'!C21=0,0,+S21/'8. WAMKK'!C21)</f>
        <v>0.18427210884353742</v>
      </c>
      <c r="U21" s="126"/>
      <c r="V21" s="208">
        <f t="shared" si="16"/>
        <v>27088</v>
      </c>
    </row>
    <row r="22" spans="1:22" ht="12.75" customHeight="1" x14ac:dyDescent="0.2">
      <c r="A22" s="14" t="s">
        <v>17</v>
      </c>
      <c r="B22" s="20" t="s">
        <v>10</v>
      </c>
      <c r="C22" s="335">
        <v>0</v>
      </c>
      <c r="D22" s="177">
        <v>0</v>
      </c>
      <c r="E22" s="177">
        <v>0</v>
      </c>
      <c r="F22" s="177">
        <v>0</v>
      </c>
      <c r="G22" s="177"/>
      <c r="H22" s="177"/>
      <c r="I22" s="177"/>
      <c r="J22" s="177"/>
      <c r="K22" s="177"/>
      <c r="L22" s="142"/>
      <c r="M22" s="142"/>
      <c r="N22" s="142"/>
      <c r="O22" s="177"/>
      <c r="P22" s="177">
        <f t="shared" si="18"/>
        <v>0</v>
      </c>
      <c r="Q22" s="177">
        <f t="shared" si="19"/>
        <v>0</v>
      </c>
      <c r="R22" s="177">
        <f t="shared" si="20"/>
        <v>0</v>
      </c>
      <c r="S22" s="177">
        <f t="shared" si="21"/>
        <v>0</v>
      </c>
      <c r="T22" s="304">
        <f>IF('8. WAMKK'!C22=0,0,+S22/'8. WAMKK'!C22)</f>
        <v>0</v>
      </c>
      <c r="U22" s="126"/>
      <c r="V22" s="208">
        <f t="shared" si="16"/>
        <v>0</v>
      </c>
    </row>
    <row r="23" spans="1:22" ht="12.75" customHeight="1" x14ac:dyDescent="0.2">
      <c r="A23" s="14" t="s">
        <v>18</v>
      </c>
      <c r="B23" s="20" t="s">
        <v>11</v>
      </c>
      <c r="C23" s="335">
        <v>354000</v>
      </c>
      <c r="D23" s="177">
        <v>354000</v>
      </c>
      <c r="E23" s="177">
        <v>354000</v>
      </c>
      <c r="F23" s="177">
        <v>423844</v>
      </c>
      <c r="G23" s="177"/>
      <c r="H23" s="177">
        <v>179289</v>
      </c>
      <c r="I23" s="177">
        <v>206289</v>
      </c>
      <c r="J23" s="177">
        <v>423844</v>
      </c>
      <c r="K23" s="177"/>
      <c r="L23" s="143">
        <f t="shared" si="22"/>
        <v>0.50646610169491524</v>
      </c>
      <c r="M23" s="143">
        <f t="shared" si="23"/>
        <v>0.58273728813559322</v>
      </c>
      <c r="N23" s="143">
        <f t="shared" si="23"/>
        <v>1.1972994350282486</v>
      </c>
      <c r="O23" s="177"/>
      <c r="P23" s="177">
        <f t="shared" si="18"/>
        <v>0</v>
      </c>
      <c r="Q23" s="177">
        <f t="shared" si="19"/>
        <v>0</v>
      </c>
      <c r="R23" s="177">
        <f t="shared" si="20"/>
        <v>69844</v>
      </c>
      <c r="S23" s="177">
        <f t="shared" si="21"/>
        <v>69844</v>
      </c>
      <c r="T23" s="304">
        <f>IF('8. WAMKK'!C23=0,0,+S23/'8. WAMKK'!C23)</f>
        <v>0.34921999999999997</v>
      </c>
      <c r="U23" s="126"/>
      <c r="V23" s="208">
        <f t="shared" si="16"/>
        <v>69844</v>
      </c>
    </row>
    <row r="24" spans="1:22" ht="12.75" customHeight="1" x14ac:dyDescent="0.2">
      <c r="A24" s="14" t="s">
        <v>19</v>
      </c>
      <c r="B24" s="20"/>
      <c r="C24" s="335"/>
      <c r="D24" s="177"/>
      <c r="E24" s="177"/>
      <c r="F24" s="177"/>
      <c r="G24" s="177"/>
      <c r="H24" s="177"/>
      <c r="I24" s="177"/>
      <c r="J24" s="177"/>
      <c r="K24" s="177"/>
      <c r="L24" s="142"/>
      <c r="M24" s="142"/>
      <c r="N24" s="142"/>
      <c r="O24" s="177"/>
      <c r="P24" s="177">
        <f t="shared" si="18"/>
        <v>0</v>
      </c>
      <c r="Q24" s="177">
        <f t="shared" si="19"/>
        <v>0</v>
      </c>
      <c r="R24" s="177">
        <f t="shared" si="20"/>
        <v>0</v>
      </c>
      <c r="S24" s="177">
        <f t="shared" si="21"/>
        <v>0</v>
      </c>
      <c r="T24" s="304">
        <f>IF('8. WAMKK'!C24=0,0,+S24/'8. WAMKK'!C24)</f>
        <v>0</v>
      </c>
      <c r="U24" s="126"/>
      <c r="V24" s="208">
        <f t="shared" si="16"/>
        <v>0</v>
      </c>
    </row>
    <row r="25" spans="1:22" ht="12.75" customHeight="1" x14ac:dyDescent="0.2">
      <c r="A25" s="14" t="s">
        <v>20</v>
      </c>
      <c r="B25" s="513" t="s">
        <v>21</v>
      </c>
      <c r="C25" s="335"/>
      <c r="D25" s="177"/>
      <c r="E25" s="177"/>
      <c r="F25" s="177"/>
      <c r="G25" s="177"/>
      <c r="H25" s="177"/>
      <c r="I25" s="177"/>
      <c r="J25" s="177"/>
      <c r="K25" s="177"/>
      <c r="L25" s="142"/>
      <c r="M25" s="142"/>
      <c r="N25" s="142"/>
      <c r="O25" s="177"/>
      <c r="P25" s="177">
        <f t="shared" si="18"/>
        <v>0</v>
      </c>
      <c r="Q25" s="177">
        <f t="shared" si="19"/>
        <v>0</v>
      </c>
      <c r="R25" s="177">
        <f t="shared" si="20"/>
        <v>0</v>
      </c>
      <c r="S25" s="177">
        <f t="shared" si="21"/>
        <v>0</v>
      </c>
      <c r="T25" s="304">
        <f>IF('8. WAMKK'!C25=0,0,+S25/'8. WAMKK'!C25)</f>
        <v>0</v>
      </c>
      <c r="U25" s="126"/>
      <c r="V25" s="208">
        <f t="shared" si="16"/>
        <v>0</v>
      </c>
    </row>
    <row r="26" spans="1:22" ht="12.75" customHeight="1" x14ac:dyDescent="0.2">
      <c r="A26" s="14" t="s">
        <v>22</v>
      </c>
      <c r="B26" s="20" t="s">
        <v>23</v>
      </c>
      <c r="C26" s="335">
        <v>0</v>
      </c>
      <c r="D26" s="177">
        <v>70000</v>
      </c>
      <c r="E26" s="177">
        <v>70000</v>
      </c>
      <c r="F26" s="177">
        <v>190000</v>
      </c>
      <c r="G26" s="177"/>
      <c r="H26" s="177">
        <v>70000</v>
      </c>
      <c r="I26" s="177">
        <v>70000</v>
      </c>
      <c r="J26" s="177">
        <v>190000</v>
      </c>
      <c r="K26" s="177"/>
      <c r="L26" s="142"/>
      <c r="M26" s="142"/>
      <c r="N26" s="142"/>
      <c r="O26" s="177"/>
      <c r="P26" s="177">
        <f t="shared" si="18"/>
        <v>70000</v>
      </c>
      <c r="Q26" s="177">
        <f t="shared" si="19"/>
        <v>0</v>
      </c>
      <c r="R26" s="177">
        <f t="shared" si="20"/>
        <v>120000</v>
      </c>
      <c r="S26" s="177">
        <f t="shared" si="21"/>
        <v>190000</v>
      </c>
      <c r="T26" s="304">
        <f>IF('8. WAMKK'!C26=0,0,+S26/'8. WAMKK'!C26)</f>
        <v>0</v>
      </c>
      <c r="U26" s="126"/>
      <c r="V26" s="208">
        <f t="shared" si="16"/>
        <v>120000</v>
      </c>
    </row>
    <row r="27" spans="1:22" ht="12.75" customHeight="1" x14ac:dyDescent="0.2">
      <c r="A27" s="14" t="s">
        <v>24</v>
      </c>
      <c r="B27" s="20" t="s">
        <v>25</v>
      </c>
      <c r="C27" s="335"/>
      <c r="D27" s="177"/>
      <c r="E27" s="177"/>
      <c r="F27" s="177"/>
      <c r="G27" s="177"/>
      <c r="H27" s="177"/>
      <c r="I27" s="177"/>
      <c r="J27" s="177"/>
      <c r="K27" s="177"/>
      <c r="L27" s="142"/>
      <c r="M27" s="142"/>
      <c r="N27" s="142"/>
      <c r="O27" s="177"/>
      <c r="P27" s="177">
        <f t="shared" si="18"/>
        <v>0</v>
      </c>
      <c r="Q27" s="177">
        <f t="shared" si="19"/>
        <v>0</v>
      </c>
      <c r="R27" s="177">
        <f t="shared" si="20"/>
        <v>0</v>
      </c>
      <c r="S27" s="177">
        <f t="shared" si="21"/>
        <v>0</v>
      </c>
      <c r="T27" s="304">
        <f>IF('8. WAMKK'!C27=0,0,+S27/'8. WAMKK'!C27)</f>
        <v>0</v>
      </c>
      <c r="U27" s="126"/>
      <c r="V27" s="208">
        <f t="shared" si="16"/>
        <v>0</v>
      </c>
    </row>
    <row r="28" spans="1:22" ht="12.75" customHeight="1" x14ac:dyDescent="0.2">
      <c r="A28" s="14"/>
      <c r="B28" s="14"/>
      <c r="C28" s="335"/>
      <c r="D28" s="177"/>
      <c r="E28" s="177"/>
      <c r="F28" s="177"/>
      <c r="G28" s="177"/>
      <c r="H28" s="177"/>
      <c r="I28" s="177"/>
      <c r="J28" s="177"/>
      <c r="K28" s="177"/>
      <c r="L28" s="161"/>
      <c r="M28" s="161"/>
      <c r="N28" s="161"/>
      <c r="O28" s="177"/>
      <c r="P28" s="177">
        <f t="shared" si="18"/>
        <v>0</v>
      </c>
      <c r="Q28" s="177">
        <f t="shared" si="19"/>
        <v>0</v>
      </c>
      <c r="R28" s="177">
        <f t="shared" si="20"/>
        <v>0</v>
      </c>
      <c r="S28" s="177">
        <f t="shared" si="21"/>
        <v>0</v>
      </c>
      <c r="T28" s="304">
        <f>IF('8. WAMKK'!C28=0,0,+S28/'8. WAMKK'!C28)</f>
        <v>0</v>
      </c>
      <c r="U28" s="126"/>
      <c r="V28" s="208">
        <f t="shared" si="16"/>
        <v>0</v>
      </c>
    </row>
    <row r="29" spans="1:22" ht="12.75" customHeight="1" x14ac:dyDescent="0.2">
      <c r="A29" s="7" t="s">
        <v>26</v>
      </c>
      <c r="B29" s="5" t="s">
        <v>27</v>
      </c>
      <c r="C29" s="337">
        <f>SUM(C30)</f>
        <v>5375000</v>
      </c>
      <c r="D29" s="337">
        <f>SUM(D30)</f>
        <v>5375000</v>
      </c>
      <c r="E29" s="337">
        <f>SUM(E30)</f>
        <v>5375000</v>
      </c>
      <c r="F29" s="337">
        <f>SUM(F30)</f>
        <v>5671045</v>
      </c>
      <c r="G29" s="337"/>
      <c r="H29" s="337">
        <f>SUM(H30)</f>
        <v>2994544</v>
      </c>
      <c r="I29" s="337">
        <f>+I30</f>
        <v>4380440</v>
      </c>
      <c r="J29" s="337">
        <f>+J30</f>
        <v>5671045</v>
      </c>
      <c r="K29" s="337"/>
      <c r="L29" s="89">
        <f t="shared" si="22"/>
        <v>0.55712446511627911</v>
      </c>
      <c r="M29" s="89">
        <f t="shared" si="23"/>
        <v>0.8149655813953488</v>
      </c>
      <c r="N29" s="89">
        <f t="shared" si="23"/>
        <v>1.0550781395348838</v>
      </c>
      <c r="O29" s="337"/>
      <c r="P29" s="337">
        <f t="shared" si="18"/>
        <v>0</v>
      </c>
      <c r="Q29" s="337">
        <f t="shared" si="19"/>
        <v>0</v>
      </c>
      <c r="R29" s="337">
        <f t="shared" si="20"/>
        <v>296045</v>
      </c>
      <c r="S29" s="337">
        <f t="shared" si="21"/>
        <v>296045</v>
      </c>
      <c r="T29" s="305">
        <f>IF('8. WAMKK'!C29=0,0,+S29/'8. WAMKK'!C29)</f>
        <v>9.482543241511851E-2</v>
      </c>
      <c r="U29" s="126"/>
      <c r="V29" s="208">
        <f t="shared" si="16"/>
        <v>296045</v>
      </c>
    </row>
    <row r="30" spans="1:22" ht="12.75" customHeight="1" x14ac:dyDescent="0.2">
      <c r="A30" s="14"/>
      <c r="B30" s="20" t="s">
        <v>28</v>
      </c>
      <c r="C30" s="335">
        <v>5375000</v>
      </c>
      <c r="D30" s="177">
        <v>5375000</v>
      </c>
      <c r="E30" s="177">
        <v>5375000</v>
      </c>
      <c r="F30" s="177">
        <v>5671045</v>
      </c>
      <c r="G30" s="177"/>
      <c r="H30" s="177">
        <v>2994544</v>
      </c>
      <c r="I30" s="177">
        <v>4380440</v>
      </c>
      <c r="J30" s="177">
        <v>5671045</v>
      </c>
      <c r="K30" s="177"/>
      <c r="L30" s="143">
        <f t="shared" si="22"/>
        <v>0.55712446511627911</v>
      </c>
      <c r="M30" s="143">
        <f t="shared" si="23"/>
        <v>0.8149655813953488</v>
      </c>
      <c r="N30" s="143">
        <f t="shared" si="23"/>
        <v>1.0550781395348838</v>
      </c>
      <c r="O30" s="177"/>
      <c r="P30" s="177">
        <f t="shared" si="18"/>
        <v>0</v>
      </c>
      <c r="Q30" s="177">
        <f t="shared" si="19"/>
        <v>0</v>
      </c>
      <c r="R30" s="177">
        <f t="shared" si="20"/>
        <v>296045</v>
      </c>
      <c r="S30" s="177">
        <f t="shared" si="21"/>
        <v>296045</v>
      </c>
      <c r="T30" s="304">
        <f>IF('8. WAMKK'!C30=0,0,+S30/'8. WAMKK'!C30)</f>
        <v>9.482543241511851E-2</v>
      </c>
      <c r="U30" s="126"/>
      <c r="V30" s="208">
        <f t="shared" si="16"/>
        <v>296045</v>
      </c>
    </row>
    <row r="31" spans="1:22" ht="12.75" customHeight="1" x14ac:dyDescent="0.2">
      <c r="A31" s="14"/>
      <c r="B31" s="14"/>
      <c r="C31" s="335"/>
      <c r="D31" s="177"/>
      <c r="E31" s="177"/>
      <c r="F31" s="177"/>
      <c r="G31" s="177"/>
      <c r="H31" s="177"/>
      <c r="I31" s="177"/>
      <c r="J31" s="177"/>
      <c r="K31" s="177"/>
      <c r="L31" s="161"/>
      <c r="M31" s="161"/>
      <c r="N31" s="161"/>
      <c r="O31" s="177"/>
      <c r="P31" s="177">
        <f t="shared" si="18"/>
        <v>0</v>
      </c>
      <c r="Q31" s="177">
        <f t="shared" si="19"/>
        <v>0</v>
      </c>
      <c r="R31" s="177">
        <f t="shared" si="20"/>
        <v>0</v>
      </c>
      <c r="S31" s="177">
        <f t="shared" si="21"/>
        <v>0</v>
      </c>
      <c r="T31" s="304">
        <f>IF('8. WAMKK'!C31=0,0,+S31/'8. WAMKK'!C31)</f>
        <v>0</v>
      </c>
      <c r="U31" s="126"/>
      <c r="V31" s="208">
        <f t="shared" si="16"/>
        <v>0</v>
      </c>
    </row>
    <row r="32" spans="1:22" ht="12.75" customHeight="1" x14ac:dyDescent="0.2">
      <c r="A32" s="7" t="s">
        <v>29</v>
      </c>
      <c r="B32" s="5" t="s">
        <v>30</v>
      </c>
      <c r="C32" s="294">
        <f t="shared" ref="C32:J32" si="24">+C33+C41+C48+C66+C71</f>
        <v>69192000</v>
      </c>
      <c r="D32" s="294">
        <f t="shared" si="24"/>
        <v>69192000</v>
      </c>
      <c r="E32" s="294">
        <f t="shared" si="24"/>
        <v>69737851</v>
      </c>
      <c r="F32" s="294">
        <f t="shared" si="24"/>
        <v>69453897</v>
      </c>
      <c r="G32" s="294"/>
      <c r="H32" s="294">
        <f t="shared" si="24"/>
        <v>36293747</v>
      </c>
      <c r="I32" s="294">
        <f t="shared" si="24"/>
        <v>43731872</v>
      </c>
      <c r="J32" s="294">
        <f t="shared" si="24"/>
        <v>61501618</v>
      </c>
      <c r="K32" s="338"/>
      <c r="L32" s="89">
        <f t="shared" si="22"/>
        <v>0.52453675280379231</v>
      </c>
      <c r="M32" s="89">
        <f t="shared" si="23"/>
        <v>0.6320365360157244</v>
      </c>
      <c r="N32" s="89">
        <f t="shared" si="23"/>
        <v>0.88189723540520337</v>
      </c>
      <c r="O32" s="338"/>
      <c r="P32" s="338">
        <f t="shared" si="18"/>
        <v>0</v>
      </c>
      <c r="Q32" s="338">
        <f t="shared" si="19"/>
        <v>545851</v>
      </c>
      <c r="R32" s="338">
        <f t="shared" si="20"/>
        <v>-283954</v>
      </c>
      <c r="S32" s="338">
        <f t="shared" si="21"/>
        <v>261897</v>
      </c>
      <c r="T32" s="305">
        <f>IF('8. WAMKK'!C32=0,0,+S32/'8. WAMKK'!C32)</f>
        <v>1.9238742378608682E-2</v>
      </c>
      <c r="U32" s="126"/>
      <c r="V32" s="208">
        <f t="shared" si="16"/>
        <v>-283954</v>
      </c>
    </row>
    <row r="33" spans="1:22" s="43" customFormat="1" ht="12.75" customHeight="1" x14ac:dyDescent="0.2">
      <c r="A33" s="39" t="s">
        <v>31</v>
      </c>
      <c r="B33" s="40" t="s">
        <v>32</v>
      </c>
      <c r="C33" s="298">
        <f>SUM(C34:C40)</f>
        <v>50006000</v>
      </c>
      <c r="D33" s="298">
        <f t="shared" ref="D33:F33" si="25">SUM(D34:D40)</f>
        <v>50021000</v>
      </c>
      <c r="E33" s="298">
        <f t="shared" si="25"/>
        <v>50024000</v>
      </c>
      <c r="F33" s="298">
        <f t="shared" si="25"/>
        <v>50024000</v>
      </c>
      <c r="G33" s="298"/>
      <c r="H33" s="298">
        <f t="shared" ref="H33" si="26">SUM(H34:H40)</f>
        <v>26345669</v>
      </c>
      <c r="I33" s="298">
        <f t="shared" ref="I33" si="27">SUM(I34:I40)</f>
        <v>31392846</v>
      </c>
      <c r="J33" s="298">
        <f t="shared" ref="J33" si="28">SUM(J34:J40)</f>
        <v>45467419</v>
      </c>
      <c r="K33" s="586"/>
      <c r="L33" s="161"/>
      <c r="M33" s="161"/>
      <c r="N33" s="161"/>
      <c r="O33" s="586"/>
      <c r="P33" s="586">
        <f t="shared" si="18"/>
        <v>15000</v>
      </c>
      <c r="Q33" s="586">
        <f t="shared" si="19"/>
        <v>3000</v>
      </c>
      <c r="R33" s="586">
        <f t="shared" si="20"/>
        <v>0</v>
      </c>
      <c r="S33" s="586">
        <f t="shared" si="21"/>
        <v>18000</v>
      </c>
      <c r="T33" s="304">
        <f>IF('8. WAMKK'!C33=0,0,+S33/'8. WAMKK'!C33)</f>
        <v>5.0139275766016714E-3</v>
      </c>
      <c r="U33" s="127"/>
      <c r="V33" s="587">
        <f t="shared" si="16"/>
        <v>0</v>
      </c>
    </row>
    <row r="34" spans="1:22" ht="12.75" customHeight="1" x14ac:dyDescent="0.2">
      <c r="A34" s="14" t="s">
        <v>33</v>
      </c>
      <c r="B34" s="20" t="s">
        <v>35</v>
      </c>
      <c r="C34" s="177">
        <v>6000</v>
      </c>
      <c r="D34" s="177">
        <v>21000</v>
      </c>
      <c r="E34" s="177">
        <v>24000</v>
      </c>
      <c r="F34" s="177">
        <v>24000</v>
      </c>
      <c r="G34" s="177"/>
      <c r="H34" s="177">
        <v>14619</v>
      </c>
      <c r="I34" s="177">
        <v>21066</v>
      </c>
      <c r="J34" s="177">
        <v>21066</v>
      </c>
      <c r="K34" s="177"/>
      <c r="L34" s="143">
        <f t="shared" si="22"/>
        <v>2.4365000000000001</v>
      </c>
      <c r="M34" s="143">
        <f t="shared" si="23"/>
        <v>1.0031428571428571</v>
      </c>
      <c r="N34" s="143">
        <f t="shared" si="23"/>
        <v>0.87775000000000003</v>
      </c>
      <c r="O34" s="177"/>
      <c r="P34" s="177">
        <f t="shared" si="18"/>
        <v>15000</v>
      </c>
      <c r="Q34" s="177">
        <f t="shared" si="19"/>
        <v>3000</v>
      </c>
      <c r="R34" s="177">
        <f t="shared" si="20"/>
        <v>0</v>
      </c>
      <c r="S34" s="177">
        <f t="shared" si="21"/>
        <v>18000</v>
      </c>
      <c r="T34" s="304">
        <f>IF('8. WAMKK'!C34=0,0,+S34/'8. WAMKK'!C34)</f>
        <v>1.2080536912751677E-2</v>
      </c>
      <c r="U34" s="126"/>
      <c r="V34" s="208">
        <f t="shared" si="16"/>
        <v>0</v>
      </c>
    </row>
    <row r="35" spans="1:22" ht="12.75" customHeight="1" x14ac:dyDescent="0.2">
      <c r="A35" s="14"/>
      <c r="B35" s="20" t="s">
        <v>89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42"/>
      <c r="M35" s="142"/>
      <c r="N35" s="142"/>
      <c r="O35" s="177"/>
      <c r="P35" s="177">
        <f t="shared" si="18"/>
        <v>0</v>
      </c>
      <c r="Q35" s="177">
        <f t="shared" si="19"/>
        <v>0</v>
      </c>
      <c r="R35" s="177">
        <f t="shared" si="20"/>
        <v>0</v>
      </c>
      <c r="S35" s="177">
        <f t="shared" si="21"/>
        <v>0</v>
      </c>
      <c r="T35" s="304">
        <f>IF('8. WAMKK'!C35=0,0,+S35/'8. WAMKK'!C35)</f>
        <v>0</v>
      </c>
      <c r="U35" s="126"/>
      <c r="V35" s="208">
        <f t="shared" si="16"/>
        <v>0</v>
      </c>
    </row>
    <row r="36" spans="1:22" ht="12.75" customHeight="1" x14ac:dyDescent="0.2">
      <c r="A36" s="14" t="s">
        <v>34</v>
      </c>
      <c r="B36" s="20" t="s">
        <v>36</v>
      </c>
      <c r="C36" s="593">
        <v>50000000</v>
      </c>
      <c r="D36" s="177">
        <v>50000000</v>
      </c>
      <c r="E36" s="177">
        <v>50000000</v>
      </c>
      <c r="F36" s="177">
        <v>50000000</v>
      </c>
      <c r="G36" s="177"/>
      <c r="H36" s="177">
        <v>26331050</v>
      </c>
      <c r="I36" s="177">
        <v>31371780</v>
      </c>
      <c r="J36" s="177">
        <v>45446353</v>
      </c>
      <c r="K36" s="177"/>
      <c r="L36" s="143">
        <f t="shared" si="22"/>
        <v>0.52662100000000001</v>
      </c>
      <c r="M36" s="143">
        <f t="shared" si="23"/>
        <v>0.62743559999999998</v>
      </c>
      <c r="N36" s="143">
        <f t="shared" si="23"/>
        <v>0.90892706000000001</v>
      </c>
      <c r="O36" s="177"/>
      <c r="P36" s="177">
        <f t="shared" si="18"/>
        <v>0</v>
      </c>
      <c r="Q36" s="177">
        <f t="shared" si="19"/>
        <v>0</v>
      </c>
      <c r="R36" s="177">
        <f t="shared" si="20"/>
        <v>0</v>
      </c>
      <c r="S36" s="177">
        <f t="shared" si="21"/>
        <v>0</v>
      </c>
      <c r="T36" s="304">
        <f>IF('8. WAMKK'!C36=0,0,+S36/'8. WAMKK'!C36)</f>
        <v>0</v>
      </c>
      <c r="U36" s="126"/>
      <c r="V36" s="208">
        <f t="shared" si="16"/>
        <v>0</v>
      </c>
    </row>
    <row r="37" spans="1:22" ht="12.75" customHeight="1" x14ac:dyDescent="0.2">
      <c r="A37" s="14"/>
      <c r="B37" s="20" t="s">
        <v>105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42"/>
      <c r="M37" s="142"/>
      <c r="N37" s="142"/>
      <c r="O37" s="177"/>
      <c r="P37" s="177">
        <f t="shared" si="18"/>
        <v>0</v>
      </c>
      <c r="Q37" s="177">
        <f t="shared" si="19"/>
        <v>0</v>
      </c>
      <c r="R37" s="177">
        <f t="shared" si="20"/>
        <v>0</v>
      </c>
      <c r="S37" s="177">
        <f t="shared" si="21"/>
        <v>0</v>
      </c>
      <c r="T37" s="304">
        <f>IF('8. WAMKK'!C37=0,0,+S37/'8. WAMKK'!C37)</f>
        <v>0</v>
      </c>
      <c r="U37" s="126"/>
      <c r="V37" s="208">
        <f t="shared" si="16"/>
        <v>0</v>
      </c>
    </row>
    <row r="38" spans="1:22" ht="12.75" customHeight="1" x14ac:dyDescent="0.2">
      <c r="A38" s="14"/>
      <c r="B38" s="20" t="s">
        <v>95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42"/>
      <c r="M38" s="142"/>
      <c r="N38" s="142"/>
      <c r="O38" s="177"/>
      <c r="P38" s="177">
        <f t="shared" si="18"/>
        <v>0</v>
      </c>
      <c r="Q38" s="177">
        <f t="shared" si="19"/>
        <v>0</v>
      </c>
      <c r="R38" s="177">
        <f t="shared" si="20"/>
        <v>0</v>
      </c>
      <c r="S38" s="177">
        <f t="shared" si="21"/>
        <v>0</v>
      </c>
      <c r="T38" s="304">
        <f>IF('8. WAMKK'!C38=0,0,+S38/'8. WAMKK'!C38)</f>
        <v>0</v>
      </c>
      <c r="U38" s="126"/>
      <c r="V38" s="208">
        <f t="shared" si="16"/>
        <v>0</v>
      </c>
    </row>
    <row r="39" spans="1:22" ht="12.75" customHeight="1" x14ac:dyDescent="0.2">
      <c r="A39" s="14"/>
      <c r="B39" s="20" t="s">
        <v>94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42"/>
      <c r="M39" s="142"/>
      <c r="N39" s="142"/>
      <c r="O39" s="177"/>
      <c r="P39" s="177">
        <f t="shared" si="18"/>
        <v>0</v>
      </c>
      <c r="Q39" s="177">
        <f t="shared" si="19"/>
        <v>0</v>
      </c>
      <c r="R39" s="177">
        <f t="shared" si="20"/>
        <v>0</v>
      </c>
      <c r="S39" s="177">
        <f t="shared" si="21"/>
        <v>0</v>
      </c>
      <c r="T39" s="304">
        <f>IF('8. WAMKK'!C39=0,0,+S39/'8. WAMKK'!C39)</f>
        <v>0</v>
      </c>
      <c r="U39" s="126"/>
      <c r="V39" s="208">
        <f t="shared" si="16"/>
        <v>0</v>
      </c>
    </row>
    <row r="40" spans="1:22" ht="12.75" customHeight="1" x14ac:dyDescent="0.2">
      <c r="A40" s="14"/>
      <c r="B40" s="20" t="s">
        <v>93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42"/>
      <c r="M40" s="142"/>
      <c r="N40" s="142"/>
      <c r="O40" s="177"/>
      <c r="P40" s="177">
        <f t="shared" si="18"/>
        <v>0</v>
      </c>
      <c r="Q40" s="177">
        <f t="shared" si="19"/>
        <v>0</v>
      </c>
      <c r="R40" s="177">
        <f t="shared" si="20"/>
        <v>0</v>
      </c>
      <c r="S40" s="177">
        <f t="shared" si="21"/>
        <v>0</v>
      </c>
      <c r="T40" s="304">
        <f>IF('8. WAMKK'!C40=0,0,+S40/'8. WAMKK'!C40)</f>
        <v>0</v>
      </c>
      <c r="U40" s="126"/>
      <c r="V40" s="208">
        <f t="shared" si="16"/>
        <v>0</v>
      </c>
    </row>
    <row r="41" spans="1:22" s="43" customFormat="1" ht="12.75" customHeight="1" x14ac:dyDescent="0.2">
      <c r="A41" s="39" t="s">
        <v>37</v>
      </c>
      <c r="B41" s="40" t="s">
        <v>38</v>
      </c>
      <c r="C41" s="298">
        <f>SUM(C42:C47)</f>
        <v>49000</v>
      </c>
      <c r="D41" s="298">
        <f t="shared" ref="D41:F41" si="29">SUM(D42:D47)</f>
        <v>49000</v>
      </c>
      <c r="E41" s="298">
        <f t="shared" si="29"/>
        <v>49000</v>
      </c>
      <c r="F41" s="298">
        <f t="shared" si="29"/>
        <v>50000</v>
      </c>
      <c r="G41" s="298"/>
      <c r="H41" s="298">
        <f t="shared" ref="H41" si="30">SUM(H42:H47)</f>
        <v>25667</v>
      </c>
      <c r="I41" s="298">
        <f t="shared" ref="I41" si="31">SUM(I42:I47)</f>
        <v>40092</v>
      </c>
      <c r="J41" s="298">
        <f t="shared" ref="J41" si="32">SUM(J42:J47)</f>
        <v>49880</v>
      </c>
      <c r="K41" s="586"/>
      <c r="L41" s="153"/>
      <c r="M41" s="153"/>
      <c r="N41" s="153"/>
      <c r="O41" s="586"/>
      <c r="P41" s="586">
        <f t="shared" si="18"/>
        <v>0</v>
      </c>
      <c r="Q41" s="586">
        <f t="shared" si="19"/>
        <v>0</v>
      </c>
      <c r="R41" s="586">
        <f t="shared" si="20"/>
        <v>1000</v>
      </c>
      <c r="S41" s="586">
        <f t="shared" si="21"/>
        <v>1000</v>
      </c>
      <c r="T41" s="304">
        <f>IF('8. WAMKK'!C41=0,0,+S41/'8. WAMKK'!C41)</f>
        <v>0.01</v>
      </c>
      <c r="U41" s="127"/>
      <c r="V41" s="587">
        <f t="shared" si="16"/>
        <v>1000</v>
      </c>
    </row>
    <row r="42" spans="1:22" ht="12.75" customHeight="1" x14ac:dyDescent="0.2">
      <c r="A42" s="14" t="s">
        <v>39</v>
      </c>
      <c r="B42" s="20" t="s">
        <v>40</v>
      </c>
      <c r="C42" s="177">
        <v>0</v>
      </c>
      <c r="D42" s="177">
        <v>0</v>
      </c>
      <c r="E42" s="177">
        <v>0</v>
      </c>
      <c r="F42" s="177">
        <v>0</v>
      </c>
      <c r="G42" s="177"/>
      <c r="H42" s="177">
        <v>0</v>
      </c>
      <c r="I42" s="177">
        <v>0</v>
      </c>
      <c r="J42" s="177">
        <v>0</v>
      </c>
      <c r="K42" s="177"/>
      <c r="L42" s="143" t="e">
        <f t="shared" si="22"/>
        <v>#DIV/0!</v>
      </c>
      <c r="M42" s="143" t="e">
        <f t="shared" si="23"/>
        <v>#DIV/0!</v>
      </c>
      <c r="N42" s="143" t="e">
        <f t="shared" si="23"/>
        <v>#DIV/0!</v>
      </c>
      <c r="O42" s="177"/>
      <c r="P42" s="177">
        <f t="shared" si="18"/>
        <v>0</v>
      </c>
      <c r="Q42" s="177">
        <f t="shared" si="19"/>
        <v>0</v>
      </c>
      <c r="R42" s="177">
        <f t="shared" si="20"/>
        <v>0</v>
      </c>
      <c r="S42" s="177">
        <f t="shared" si="21"/>
        <v>0</v>
      </c>
      <c r="T42" s="304">
        <f>IF('8. WAMKK'!C42=0,0,+S42/'8. WAMKK'!C42)</f>
        <v>0</v>
      </c>
      <c r="U42" s="126"/>
      <c r="V42" s="208">
        <f t="shared" si="16"/>
        <v>0</v>
      </c>
    </row>
    <row r="43" spans="1:22" ht="25.5" customHeight="1" x14ac:dyDescent="0.2">
      <c r="A43" s="14"/>
      <c r="B43" s="20" t="s">
        <v>41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42"/>
      <c r="M43" s="142"/>
      <c r="N43" s="142"/>
      <c r="O43" s="177"/>
      <c r="P43" s="177">
        <f t="shared" si="18"/>
        <v>0</v>
      </c>
      <c r="Q43" s="177">
        <f t="shared" si="19"/>
        <v>0</v>
      </c>
      <c r="R43" s="177">
        <f t="shared" si="20"/>
        <v>0</v>
      </c>
      <c r="S43" s="177">
        <f t="shared" si="21"/>
        <v>0</v>
      </c>
      <c r="T43" s="304">
        <f>IF('8. WAMKK'!C43=0,0,+S43/'8. WAMKK'!C43)</f>
        <v>0</v>
      </c>
      <c r="U43" s="126"/>
      <c r="V43" s="208">
        <f t="shared" si="16"/>
        <v>0</v>
      </c>
    </row>
    <row r="44" spans="1:22" ht="12.75" customHeight="1" x14ac:dyDescent="0.2">
      <c r="A44" s="14"/>
      <c r="B44" s="20" t="s">
        <v>42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42"/>
      <c r="M44" s="142"/>
      <c r="N44" s="142"/>
      <c r="O44" s="177"/>
      <c r="P44" s="177">
        <f t="shared" si="18"/>
        <v>0</v>
      </c>
      <c r="Q44" s="177">
        <f t="shared" si="19"/>
        <v>0</v>
      </c>
      <c r="R44" s="177">
        <f t="shared" si="20"/>
        <v>0</v>
      </c>
      <c r="S44" s="177">
        <f t="shared" si="21"/>
        <v>0</v>
      </c>
      <c r="T44" s="304">
        <f>IF('8. WAMKK'!C44=0,0,+S44/'8. WAMKK'!C44)</f>
        <v>0</v>
      </c>
      <c r="U44" s="126"/>
      <c r="V44" s="208">
        <f t="shared" si="16"/>
        <v>0</v>
      </c>
    </row>
    <row r="45" spans="1:22" ht="12.75" customHeight="1" x14ac:dyDescent="0.2">
      <c r="A45" s="14"/>
      <c r="B45" s="20" t="s">
        <v>43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42"/>
      <c r="M45" s="142"/>
      <c r="N45" s="142"/>
      <c r="O45" s="177"/>
      <c r="P45" s="177">
        <f t="shared" si="18"/>
        <v>0</v>
      </c>
      <c r="Q45" s="177">
        <f t="shared" si="19"/>
        <v>0</v>
      </c>
      <c r="R45" s="177">
        <f t="shared" si="20"/>
        <v>0</v>
      </c>
      <c r="S45" s="177">
        <f t="shared" si="21"/>
        <v>0</v>
      </c>
      <c r="T45" s="304">
        <f>IF('8. WAMKK'!C45=0,0,+S45/'8. WAMKK'!C45)</f>
        <v>0</v>
      </c>
      <c r="U45" s="126"/>
      <c r="V45" s="208">
        <f t="shared" si="16"/>
        <v>0</v>
      </c>
    </row>
    <row r="46" spans="1:22" ht="12.75" customHeight="1" x14ac:dyDescent="0.2">
      <c r="A46" s="14" t="s">
        <v>44</v>
      </c>
      <c r="B46" s="20" t="s">
        <v>45</v>
      </c>
      <c r="C46" s="177">
        <v>49000</v>
      </c>
      <c r="D46" s="177">
        <v>49000</v>
      </c>
      <c r="E46" s="177">
        <v>49000</v>
      </c>
      <c r="F46" s="177">
        <v>50000</v>
      </c>
      <c r="G46" s="177"/>
      <c r="H46" s="177">
        <v>25667</v>
      </c>
      <c r="I46" s="177">
        <v>40092</v>
      </c>
      <c r="J46" s="177">
        <v>49880</v>
      </c>
      <c r="K46" s="177"/>
      <c r="L46" s="143">
        <f t="shared" si="22"/>
        <v>0.52381632653061228</v>
      </c>
      <c r="M46" s="143">
        <f t="shared" si="23"/>
        <v>0.81820408163265301</v>
      </c>
      <c r="N46" s="143">
        <f t="shared" si="23"/>
        <v>1.0179591836734694</v>
      </c>
      <c r="O46" s="177"/>
      <c r="P46" s="177">
        <f t="shared" si="18"/>
        <v>0</v>
      </c>
      <c r="Q46" s="177">
        <f t="shared" si="19"/>
        <v>0</v>
      </c>
      <c r="R46" s="177">
        <f t="shared" si="20"/>
        <v>1000</v>
      </c>
      <c r="S46" s="177">
        <f t="shared" si="21"/>
        <v>1000</v>
      </c>
      <c r="T46" s="304">
        <f>IF('8. WAMKK'!C46=0,0,+S46/'8. WAMKK'!C46)</f>
        <v>0.1</v>
      </c>
      <c r="U46" s="126"/>
      <c r="V46" s="208">
        <f t="shared" si="16"/>
        <v>1000</v>
      </c>
    </row>
    <row r="47" spans="1:22" ht="12.75" customHeight="1" x14ac:dyDescent="0.2">
      <c r="A47" s="14"/>
      <c r="B47" s="20" t="s">
        <v>46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42"/>
      <c r="M47" s="142"/>
      <c r="N47" s="142"/>
      <c r="O47" s="177"/>
      <c r="P47" s="177">
        <f t="shared" si="18"/>
        <v>0</v>
      </c>
      <c r="Q47" s="177">
        <f t="shared" si="19"/>
        <v>0</v>
      </c>
      <c r="R47" s="177">
        <f t="shared" si="20"/>
        <v>0</v>
      </c>
      <c r="S47" s="177">
        <f t="shared" si="21"/>
        <v>0</v>
      </c>
      <c r="T47" s="304">
        <f>IF('8. WAMKK'!C47=0,0,+S47/'8. WAMKK'!C47)</f>
        <v>0</v>
      </c>
      <c r="U47" s="126"/>
      <c r="V47" s="208">
        <f t="shared" si="16"/>
        <v>0</v>
      </c>
    </row>
    <row r="48" spans="1:22" s="43" customFormat="1" ht="12.75" customHeight="1" x14ac:dyDescent="0.2">
      <c r="A48" s="39" t="s">
        <v>47</v>
      </c>
      <c r="B48" s="40" t="s">
        <v>48</v>
      </c>
      <c r="C48" s="298">
        <f>SUM(C49:C65)</f>
        <v>2592000</v>
      </c>
      <c r="D48" s="298">
        <f t="shared" ref="D48:F48" si="33">SUM(D49:D65)</f>
        <v>2575000</v>
      </c>
      <c r="E48" s="298">
        <f t="shared" si="33"/>
        <v>3112851</v>
      </c>
      <c r="F48" s="298">
        <f t="shared" si="33"/>
        <v>3162137</v>
      </c>
      <c r="G48" s="298"/>
      <c r="H48" s="298">
        <f t="shared" ref="H48" si="34">SUM(H49:H65)</f>
        <v>1533970</v>
      </c>
      <c r="I48" s="298">
        <f t="shared" ref="I48" si="35">SUM(I49:I65)</f>
        <v>2150400</v>
      </c>
      <c r="J48" s="298">
        <f t="shared" ref="J48" si="36">SUM(J49:J65)</f>
        <v>2781214</v>
      </c>
      <c r="K48" s="586"/>
      <c r="L48" s="153"/>
      <c r="M48" s="153"/>
      <c r="N48" s="153"/>
      <c r="O48" s="586"/>
      <c r="P48" s="586">
        <f t="shared" si="18"/>
        <v>-17000</v>
      </c>
      <c r="Q48" s="586">
        <f t="shared" si="19"/>
        <v>537851</v>
      </c>
      <c r="R48" s="586">
        <f t="shared" si="20"/>
        <v>49286</v>
      </c>
      <c r="S48" s="586">
        <f t="shared" si="21"/>
        <v>570137</v>
      </c>
      <c r="T48" s="304">
        <f>IF('8. WAMKK'!C48=0,0,+S48/'8. WAMKK'!C48)</f>
        <v>7.36135571336346E-2</v>
      </c>
      <c r="U48" s="127"/>
      <c r="V48" s="587">
        <f t="shared" si="16"/>
        <v>49286</v>
      </c>
    </row>
    <row r="49" spans="1:22" ht="12.75" customHeight="1" x14ac:dyDescent="0.2">
      <c r="A49" s="14" t="s">
        <v>49</v>
      </c>
      <c r="B49" s="20" t="s">
        <v>50</v>
      </c>
      <c r="C49" s="177">
        <v>1025000</v>
      </c>
      <c r="D49" s="177">
        <v>1025000</v>
      </c>
      <c r="E49" s="177">
        <v>1567851</v>
      </c>
      <c r="F49" s="177">
        <v>1524567</v>
      </c>
      <c r="G49" s="177"/>
      <c r="H49" s="177">
        <v>652068</v>
      </c>
      <c r="I49" s="177">
        <v>911743</v>
      </c>
      <c r="J49" s="177">
        <v>1169875</v>
      </c>
      <c r="K49" s="177"/>
      <c r="L49" s="143">
        <f t="shared" si="22"/>
        <v>0.63616390243902443</v>
      </c>
      <c r="M49" s="143">
        <f t="shared" si="23"/>
        <v>0.88950536585365858</v>
      </c>
      <c r="N49" s="143">
        <f t="shared" si="23"/>
        <v>0.74616465467700699</v>
      </c>
      <c r="O49" s="177"/>
      <c r="P49" s="177">
        <f t="shared" si="18"/>
        <v>0</v>
      </c>
      <c r="Q49" s="177">
        <f t="shared" si="19"/>
        <v>542851</v>
      </c>
      <c r="R49" s="177">
        <f t="shared" si="20"/>
        <v>-43284</v>
      </c>
      <c r="S49" s="177">
        <f t="shared" si="21"/>
        <v>499567</v>
      </c>
      <c r="T49" s="304">
        <f>IF('8. WAMKK'!C49=0,0,+S49/'8. WAMKK'!C49)</f>
        <v>0.3842823076923077</v>
      </c>
      <c r="U49" s="126"/>
      <c r="V49" s="208">
        <f t="shared" si="16"/>
        <v>-43284</v>
      </c>
    </row>
    <row r="50" spans="1:22" ht="12.75" customHeight="1" x14ac:dyDescent="0.2">
      <c r="A50" s="14" t="s">
        <v>103</v>
      </c>
      <c r="B50" s="20" t="s">
        <v>97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42"/>
      <c r="M50" s="142"/>
      <c r="N50" s="142"/>
      <c r="O50" s="177"/>
      <c r="P50" s="177">
        <f t="shared" si="18"/>
        <v>0</v>
      </c>
      <c r="Q50" s="177">
        <f t="shared" si="19"/>
        <v>0</v>
      </c>
      <c r="R50" s="177">
        <f t="shared" si="20"/>
        <v>0</v>
      </c>
      <c r="S50" s="177">
        <f t="shared" si="21"/>
        <v>0</v>
      </c>
      <c r="T50" s="304">
        <f>IF('8. WAMKK'!C50=0,0,+S50/'8. WAMKK'!C50)</f>
        <v>0</v>
      </c>
      <c r="U50" s="126"/>
      <c r="V50" s="208">
        <f t="shared" si="16"/>
        <v>0</v>
      </c>
    </row>
    <row r="51" spans="1:22" ht="12.75" customHeight="1" x14ac:dyDescent="0.2">
      <c r="A51" s="14"/>
      <c r="B51" s="20" t="s">
        <v>98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42"/>
      <c r="M51" s="142"/>
      <c r="N51" s="142"/>
      <c r="O51" s="177"/>
      <c r="P51" s="177">
        <f t="shared" si="18"/>
        <v>0</v>
      </c>
      <c r="Q51" s="177">
        <f t="shared" si="19"/>
        <v>0</v>
      </c>
      <c r="R51" s="177">
        <f t="shared" si="20"/>
        <v>0</v>
      </c>
      <c r="S51" s="177">
        <f t="shared" si="21"/>
        <v>0</v>
      </c>
      <c r="T51" s="304">
        <f>IF('8. WAMKK'!C51=0,0,+S51/'8. WAMKK'!C51)</f>
        <v>0</v>
      </c>
      <c r="U51" s="126"/>
      <c r="V51" s="208">
        <f t="shared" si="16"/>
        <v>0</v>
      </c>
    </row>
    <row r="52" spans="1:22" ht="12.75" customHeight="1" x14ac:dyDescent="0.2">
      <c r="A52" s="14"/>
      <c r="B52" s="20" t="s">
        <v>99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42"/>
      <c r="M52" s="142"/>
      <c r="N52" s="142"/>
      <c r="O52" s="177"/>
      <c r="P52" s="177">
        <f t="shared" si="18"/>
        <v>0</v>
      </c>
      <c r="Q52" s="177">
        <f t="shared" si="19"/>
        <v>0</v>
      </c>
      <c r="R52" s="177">
        <f t="shared" si="20"/>
        <v>0</v>
      </c>
      <c r="S52" s="177">
        <f t="shared" si="21"/>
        <v>0</v>
      </c>
      <c r="T52" s="304">
        <f>IF('8. WAMKK'!C52=0,0,+S52/'8. WAMKK'!C52)</f>
        <v>0</v>
      </c>
      <c r="U52" s="126"/>
      <c r="V52" s="208">
        <f t="shared" si="16"/>
        <v>0</v>
      </c>
    </row>
    <row r="53" spans="1:22" ht="12.75" customHeight="1" x14ac:dyDescent="0.2">
      <c r="A53" s="14" t="s">
        <v>51</v>
      </c>
      <c r="B53" s="20" t="s">
        <v>52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42"/>
      <c r="M53" s="142"/>
      <c r="N53" s="142"/>
      <c r="O53" s="177"/>
      <c r="P53" s="177">
        <f t="shared" si="18"/>
        <v>0</v>
      </c>
      <c r="Q53" s="177">
        <f t="shared" si="19"/>
        <v>0</v>
      </c>
      <c r="R53" s="177">
        <f t="shared" si="20"/>
        <v>0</v>
      </c>
      <c r="S53" s="177">
        <f t="shared" si="21"/>
        <v>0</v>
      </c>
      <c r="T53" s="304">
        <f>IF('8. WAMKK'!C53=0,0,+S53/'8. WAMKK'!C53)</f>
        <v>0</v>
      </c>
      <c r="U53" s="126"/>
      <c r="V53" s="208">
        <f t="shared" si="16"/>
        <v>0</v>
      </c>
    </row>
    <row r="54" spans="1:22" ht="12.75" customHeight="1" x14ac:dyDescent="0.2">
      <c r="A54" s="14"/>
      <c r="B54" s="20" t="s">
        <v>90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42"/>
      <c r="M54" s="142"/>
      <c r="N54" s="142"/>
      <c r="O54" s="177"/>
      <c r="P54" s="177">
        <f t="shared" si="18"/>
        <v>0</v>
      </c>
      <c r="Q54" s="177">
        <f t="shared" si="19"/>
        <v>0</v>
      </c>
      <c r="R54" s="177">
        <f t="shared" si="20"/>
        <v>0</v>
      </c>
      <c r="S54" s="177">
        <f t="shared" si="21"/>
        <v>0</v>
      </c>
      <c r="T54" s="304">
        <f>IF('8. WAMKK'!C54=0,0,+S54/'8. WAMKK'!C54)</f>
        <v>0</v>
      </c>
      <c r="U54" s="126"/>
      <c r="V54" s="208">
        <f t="shared" si="16"/>
        <v>0</v>
      </c>
    </row>
    <row r="55" spans="1:22" ht="12.75" customHeight="1" x14ac:dyDescent="0.2">
      <c r="A55" s="14"/>
      <c r="B55" s="20" t="s">
        <v>53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42"/>
      <c r="M55" s="142"/>
      <c r="N55" s="142"/>
      <c r="O55" s="177"/>
      <c r="P55" s="177">
        <f t="shared" si="18"/>
        <v>0</v>
      </c>
      <c r="Q55" s="177">
        <f t="shared" si="19"/>
        <v>0</v>
      </c>
      <c r="R55" s="177">
        <f t="shared" si="20"/>
        <v>0</v>
      </c>
      <c r="S55" s="177">
        <f t="shared" si="21"/>
        <v>0</v>
      </c>
      <c r="T55" s="304">
        <f>IF('8. WAMKK'!C55=0,0,+S55/'8. WAMKK'!C55)</f>
        <v>0</v>
      </c>
      <c r="U55" s="126"/>
      <c r="V55" s="208">
        <f t="shared" si="16"/>
        <v>0</v>
      </c>
    </row>
    <row r="56" spans="1:22" ht="12.75" customHeight="1" x14ac:dyDescent="0.2">
      <c r="A56" s="14" t="s">
        <v>54</v>
      </c>
      <c r="B56" s="20" t="s">
        <v>55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42"/>
      <c r="M56" s="142"/>
      <c r="N56" s="142"/>
      <c r="O56" s="177"/>
      <c r="P56" s="177">
        <f t="shared" si="18"/>
        <v>0</v>
      </c>
      <c r="Q56" s="177">
        <f t="shared" si="19"/>
        <v>0</v>
      </c>
      <c r="R56" s="177">
        <f t="shared" si="20"/>
        <v>0</v>
      </c>
      <c r="S56" s="177">
        <f t="shared" si="21"/>
        <v>0</v>
      </c>
      <c r="T56" s="304">
        <f>IF('8. WAMKK'!C56=0,0,+S56/'8. WAMKK'!C56)</f>
        <v>0</v>
      </c>
      <c r="U56" s="126"/>
      <c r="V56" s="208">
        <f t="shared" si="16"/>
        <v>0</v>
      </c>
    </row>
    <row r="57" spans="1:22" ht="12.75" customHeight="1" x14ac:dyDescent="0.2">
      <c r="A57" s="14"/>
      <c r="B57" s="20" t="s">
        <v>56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42"/>
      <c r="M57" s="142"/>
      <c r="N57" s="142"/>
      <c r="O57" s="177"/>
      <c r="P57" s="177">
        <f t="shared" si="18"/>
        <v>0</v>
      </c>
      <c r="Q57" s="177">
        <f t="shared" si="19"/>
        <v>0</v>
      </c>
      <c r="R57" s="177">
        <f t="shared" si="20"/>
        <v>0</v>
      </c>
      <c r="S57" s="177">
        <f t="shared" si="21"/>
        <v>0</v>
      </c>
      <c r="T57" s="304">
        <f>IF('8. WAMKK'!C57=0,0,+S57/'8. WAMKK'!C57)</f>
        <v>0</v>
      </c>
      <c r="U57" s="126"/>
      <c r="V57" s="208">
        <f t="shared" si="16"/>
        <v>0</v>
      </c>
    </row>
    <row r="58" spans="1:22" ht="12.75" customHeight="1" x14ac:dyDescent="0.2">
      <c r="A58" s="14" t="s">
        <v>57</v>
      </c>
      <c r="B58" s="20" t="s">
        <v>91</v>
      </c>
      <c r="C58" s="177">
        <v>616000</v>
      </c>
      <c r="D58" s="177">
        <v>616000</v>
      </c>
      <c r="E58" s="177">
        <v>411000</v>
      </c>
      <c r="F58" s="177">
        <v>383570</v>
      </c>
      <c r="G58" s="177"/>
      <c r="H58" s="177">
        <v>209897</v>
      </c>
      <c r="I58" s="177">
        <v>259897</v>
      </c>
      <c r="J58" s="177">
        <v>361570</v>
      </c>
      <c r="K58" s="177"/>
      <c r="L58" s="143">
        <f t="shared" si="22"/>
        <v>0.34074188311688314</v>
      </c>
      <c r="M58" s="143">
        <f t="shared" si="23"/>
        <v>0.42191071428571431</v>
      </c>
      <c r="N58" s="143">
        <f t="shared" si="23"/>
        <v>0.87973236009732358</v>
      </c>
      <c r="O58" s="177"/>
      <c r="P58" s="177">
        <f t="shared" si="18"/>
        <v>0</v>
      </c>
      <c r="Q58" s="177">
        <f t="shared" si="19"/>
        <v>-205000</v>
      </c>
      <c r="R58" s="177">
        <f t="shared" si="20"/>
        <v>-27430</v>
      </c>
      <c r="S58" s="177">
        <f t="shared" si="21"/>
        <v>-232430</v>
      </c>
      <c r="T58" s="304">
        <f>IF('8. WAMKK'!C58=0,0,+S58/'8. WAMKK'!C58)</f>
        <v>-3.0990666666666669</v>
      </c>
      <c r="U58" s="126"/>
      <c r="V58" s="208">
        <f t="shared" si="16"/>
        <v>-27430</v>
      </c>
    </row>
    <row r="59" spans="1:22" ht="12.75" customHeight="1" x14ac:dyDescent="0.2">
      <c r="A59" s="14"/>
      <c r="B59" s="20" t="s">
        <v>58</v>
      </c>
      <c r="C59" s="339"/>
      <c r="D59" s="177"/>
      <c r="E59" s="177"/>
      <c r="F59" s="177"/>
      <c r="G59" s="177"/>
      <c r="H59" s="177"/>
      <c r="I59" s="177"/>
      <c r="J59" s="177"/>
      <c r="K59" s="177"/>
      <c r="L59" s="142"/>
      <c r="M59" s="142"/>
      <c r="N59" s="142"/>
      <c r="O59" s="177"/>
      <c r="P59" s="177">
        <f t="shared" si="18"/>
        <v>0</v>
      </c>
      <c r="Q59" s="177">
        <f t="shared" si="19"/>
        <v>0</v>
      </c>
      <c r="R59" s="177">
        <f t="shared" si="20"/>
        <v>0</v>
      </c>
      <c r="S59" s="177">
        <f t="shared" si="21"/>
        <v>0</v>
      </c>
      <c r="T59" s="304">
        <f>IF('8. WAMKK'!C59=0,0,+S59/'8. WAMKK'!C59)</f>
        <v>0</v>
      </c>
      <c r="U59" s="126"/>
      <c r="V59" s="208">
        <f t="shared" si="16"/>
        <v>0</v>
      </c>
    </row>
    <row r="60" spans="1:22" ht="12.75" customHeight="1" x14ac:dyDescent="0.2">
      <c r="A60" s="14" t="s">
        <v>59</v>
      </c>
      <c r="B60" s="20" t="s">
        <v>60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42"/>
      <c r="M60" s="142"/>
      <c r="N60" s="142"/>
      <c r="O60" s="177"/>
      <c r="P60" s="177">
        <f t="shared" si="18"/>
        <v>0</v>
      </c>
      <c r="Q60" s="177">
        <f t="shared" si="19"/>
        <v>0</v>
      </c>
      <c r="R60" s="177">
        <f t="shared" si="20"/>
        <v>0</v>
      </c>
      <c r="S60" s="177">
        <f t="shared" si="21"/>
        <v>0</v>
      </c>
      <c r="T60" s="304">
        <f>IF('8. WAMKK'!C60=0,0,+S60/'8. WAMKK'!C60)</f>
        <v>0</v>
      </c>
      <c r="U60" s="126"/>
      <c r="V60" s="208">
        <f t="shared" si="16"/>
        <v>0</v>
      </c>
    </row>
    <row r="61" spans="1:22" ht="24.75" customHeight="1" x14ac:dyDescent="0.2">
      <c r="A61" s="20"/>
      <c r="B61" s="20" t="s">
        <v>61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42"/>
      <c r="M61" s="142"/>
      <c r="N61" s="142"/>
      <c r="O61" s="177"/>
      <c r="P61" s="177">
        <f t="shared" si="18"/>
        <v>0</v>
      </c>
      <c r="Q61" s="177">
        <f t="shared" si="19"/>
        <v>0</v>
      </c>
      <c r="R61" s="177">
        <f t="shared" si="20"/>
        <v>0</v>
      </c>
      <c r="S61" s="177">
        <f t="shared" si="21"/>
        <v>0</v>
      </c>
      <c r="T61" s="304">
        <f>IF('8. WAMKK'!C61=0,0,+S61/'8. WAMKK'!C61)</f>
        <v>0</v>
      </c>
      <c r="U61" s="126"/>
      <c r="V61" s="208">
        <f t="shared" si="16"/>
        <v>0</v>
      </c>
    </row>
    <row r="62" spans="1:22" ht="12.75" customHeight="1" x14ac:dyDescent="0.2">
      <c r="A62" s="14" t="s">
        <v>62</v>
      </c>
      <c r="B62" s="20" t="s">
        <v>63</v>
      </c>
      <c r="C62" s="177">
        <v>51000</v>
      </c>
      <c r="D62" s="177">
        <v>111000</v>
      </c>
      <c r="E62" s="177">
        <v>111000</v>
      </c>
      <c r="F62" s="177">
        <v>115000</v>
      </c>
      <c r="G62" s="177"/>
      <c r="H62" s="177">
        <v>110700</v>
      </c>
      <c r="I62" s="177">
        <v>110700</v>
      </c>
      <c r="J62" s="177">
        <v>114700</v>
      </c>
      <c r="K62" s="177"/>
      <c r="L62" s="143">
        <f t="shared" si="22"/>
        <v>2.1705882352941175</v>
      </c>
      <c r="M62" s="143">
        <f t="shared" si="23"/>
        <v>0.99729729729729732</v>
      </c>
      <c r="N62" s="143">
        <f t="shared" si="23"/>
        <v>1.0333333333333334</v>
      </c>
      <c r="O62" s="177"/>
      <c r="P62" s="177">
        <f t="shared" si="18"/>
        <v>60000</v>
      </c>
      <c r="Q62" s="177">
        <f t="shared" si="19"/>
        <v>0</v>
      </c>
      <c r="R62" s="177">
        <f t="shared" si="20"/>
        <v>4000</v>
      </c>
      <c r="S62" s="177">
        <f t="shared" si="21"/>
        <v>64000</v>
      </c>
      <c r="T62" s="304">
        <f>IF('8. WAMKK'!C62=0,0,+S62/'8. WAMKK'!C62)</f>
        <v>6.7368421052631577E-2</v>
      </c>
      <c r="U62" s="126"/>
      <c r="V62" s="208">
        <f t="shared" si="16"/>
        <v>4000</v>
      </c>
    </row>
    <row r="63" spans="1:22" ht="39.75" customHeight="1" x14ac:dyDescent="0.2">
      <c r="A63" s="14"/>
      <c r="B63" s="20" t="s">
        <v>102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42"/>
      <c r="M63" s="142"/>
      <c r="N63" s="142"/>
      <c r="O63" s="177"/>
      <c r="P63" s="177">
        <f t="shared" si="18"/>
        <v>0</v>
      </c>
      <c r="Q63" s="177">
        <f t="shared" si="19"/>
        <v>0</v>
      </c>
      <c r="R63" s="177">
        <f t="shared" si="20"/>
        <v>0</v>
      </c>
      <c r="S63" s="177">
        <f t="shared" si="21"/>
        <v>0</v>
      </c>
      <c r="T63" s="304">
        <f>IF('8. WAMKK'!C63=0,0,+S63/'8. WAMKK'!C63)</f>
        <v>0</v>
      </c>
      <c r="U63" s="126"/>
      <c r="V63" s="208">
        <f t="shared" si="16"/>
        <v>0</v>
      </c>
    </row>
    <row r="64" spans="1:22" ht="12.75" customHeight="1" x14ac:dyDescent="0.2">
      <c r="A64" s="14" t="s">
        <v>64</v>
      </c>
      <c r="B64" s="20" t="s">
        <v>65</v>
      </c>
      <c r="C64" s="177">
        <v>900000</v>
      </c>
      <c r="D64" s="177">
        <v>823000</v>
      </c>
      <c r="E64" s="177">
        <v>1023000</v>
      </c>
      <c r="F64" s="177">
        <v>1139000</v>
      </c>
      <c r="G64" s="177"/>
      <c r="H64" s="177">
        <v>561305</v>
      </c>
      <c r="I64" s="177">
        <v>868060</v>
      </c>
      <c r="J64" s="177">
        <v>1135069</v>
      </c>
      <c r="K64" s="177"/>
      <c r="L64" s="143">
        <f t="shared" si="22"/>
        <v>0.62367222222222218</v>
      </c>
      <c r="M64" s="143">
        <f t="shared" si="23"/>
        <v>1.0547509113001214</v>
      </c>
      <c r="N64" s="143">
        <f t="shared" si="23"/>
        <v>1.1095493646138808</v>
      </c>
      <c r="O64" s="177"/>
      <c r="P64" s="177">
        <f t="shared" si="18"/>
        <v>-77000</v>
      </c>
      <c r="Q64" s="177">
        <f t="shared" si="19"/>
        <v>200000</v>
      </c>
      <c r="R64" s="177">
        <f t="shared" si="20"/>
        <v>116000</v>
      </c>
      <c r="S64" s="177">
        <f t="shared" si="21"/>
        <v>239000</v>
      </c>
      <c r="T64" s="304">
        <f>IF('8. WAMKK'!C64=0,0,+S64/'8. WAMKK'!C64)</f>
        <v>5.4318181818181821E-2</v>
      </c>
      <c r="U64" s="126"/>
      <c r="V64" s="208">
        <f t="shared" si="16"/>
        <v>116000</v>
      </c>
    </row>
    <row r="65" spans="1:22" ht="39" customHeight="1" x14ac:dyDescent="0.2">
      <c r="A65" s="14"/>
      <c r="B65" s="20" t="s">
        <v>66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42"/>
      <c r="M65" s="142"/>
      <c r="N65" s="142"/>
      <c r="O65" s="177"/>
      <c r="P65" s="177">
        <f t="shared" si="18"/>
        <v>0</v>
      </c>
      <c r="Q65" s="177">
        <f t="shared" si="19"/>
        <v>0</v>
      </c>
      <c r="R65" s="177">
        <f t="shared" si="20"/>
        <v>0</v>
      </c>
      <c r="S65" s="177">
        <f t="shared" si="21"/>
        <v>0</v>
      </c>
      <c r="T65" s="304">
        <f>IF('8. WAMKK'!C65=0,0,+S65/'8. WAMKK'!C65)</f>
        <v>0</v>
      </c>
      <c r="U65" s="126"/>
      <c r="V65" s="208">
        <f t="shared" si="16"/>
        <v>0</v>
      </c>
    </row>
    <row r="66" spans="1:22" s="43" customFormat="1" ht="12.75" customHeight="1" x14ac:dyDescent="0.2">
      <c r="A66" s="39" t="s">
        <v>67</v>
      </c>
      <c r="B66" s="40" t="s">
        <v>68</v>
      </c>
      <c r="C66" s="298">
        <f>+C67+C69</f>
        <v>200000</v>
      </c>
      <c r="D66" s="298">
        <f t="shared" ref="D66:F66" si="37">+D67+D69</f>
        <v>200000</v>
      </c>
      <c r="E66" s="298">
        <f t="shared" si="37"/>
        <v>200000</v>
      </c>
      <c r="F66" s="298">
        <f t="shared" si="37"/>
        <v>220475</v>
      </c>
      <c r="G66" s="298"/>
      <c r="H66" s="298">
        <f t="shared" ref="H66" si="38">+H67+H69</f>
        <v>80885</v>
      </c>
      <c r="I66" s="298">
        <f t="shared" ref="I66" si="39">+I67+I69</f>
        <v>160786</v>
      </c>
      <c r="J66" s="298">
        <f t="shared" ref="J66" si="40">+J67+J69</f>
        <v>220475</v>
      </c>
      <c r="K66" s="586"/>
      <c r="L66" s="153"/>
      <c r="M66" s="153"/>
      <c r="N66" s="153"/>
      <c r="O66" s="586"/>
      <c r="P66" s="586">
        <f t="shared" si="18"/>
        <v>0</v>
      </c>
      <c r="Q66" s="586">
        <f t="shared" si="19"/>
        <v>0</v>
      </c>
      <c r="R66" s="586">
        <f t="shared" si="20"/>
        <v>20475</v>
      </c>
      <c r="S66" s="586">
        <f t="shared" si="21"/>
        <v>20475</v>
      </c>
      <c r="T66" s="304">
        <f>IF('8. WAMKK'!C66=0,0,+S66/'8. WAMKK'!C66)</f>
        <v>0.26250000000000001</v>
      </c>
      <c r="U66" s="127"/>
      <c r="V66" s="587">
        <f t="shared" si="16"/>
        <v>20475</v>
      </c>
    </row>
    <row r="67" spans="1:22" ht="12.75" customHeight="1" x14ac:dyDescent="0.2">
      <c r="A67" s="14" t="s">
        <v>69</v>
      </c>
      <c r="B67" s="20" t="s">
        <v>70</v>
      </c>
      <c r="C67" s="177">
        <v>200000</v>
      </c>
      <c r="D67" s="177">
        <v>200000</v>
      </c>
      <c r="E67" s="177">
        <v>200000</v>
      </c>
      <c r="F67" s="177">
        <v>220475</v>
      </c>
      <c r="G67" s="177"/>
      <c r="H67" s="177">
        <v>80885</v>
      </c>
      <c r="I67" s="177">
        <v>160786</v>
      </c>
      <c r="J67" s="177">
        <v>220475</v>
      </c>
      <c r="K67" s="177"/>
      <c r="L67" s="143">
        <f t="shared" si="22"/>
        <v>0.40442499999999998</v>
      </c>
      <c r="M67" s="143">
        <f t="shared" si="23"/>
        <v>0.80393000000000003</v>
      </c>
      <c r="N67" s="143">
        <f t="shared" si="23"/>
        <v>1.1023750000000001</v>
      </c>
      <c r="O67" s="177"/>
      <c r="P67" s="177">
        <f t="shared" si="18"/>
        <v>0</v>
      </c>
      <c r="Q67" s="177">
        <f t="shared" si="19"/>
        <v>0</v>
      </c>
      <c r="R67" s="177">
        <f t="shared" si="20"/>
        <v>20475</v>
      </c>
      <c r="S67" s="177">
        <f t="shared" si="21"/>
        <v>20475</v>
      </c>
      <c r="T67" s="304">
        <f>IF('8. WAMKK'!C67=0,0,+S67/'8. WAMKK'!C67)</f>
        <v>0.26250000000000001</v>
      </c>
      <c r="U67" s="126"/>
      <c r="V67" s="208">
        <f t="shared" si="16"/>
        <v>20475</v>
      </c>
    </row>
    <row r="68" spans="1:22" ht="12.75" customHeight="1" x14ac:dyDescent="0.2">
      <c r="A68" s="14"/>
      <c r="B68" s="20" t="s">
        <v>71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42"/>
      <c r="M68" s="142"/>
      <c r="N68" s="142"/>
      <c r="O68" s="177"/>
      <c r="P68" s="177">
        <f t="shared" si="18"/>
        <v>0</v>
      </c>
      <c r="Q68" s="177">
        <f t="shared" si="19"/>
        <v>0</v>
      </c>
      <c r="R68" s="177">
        <f t="shared" si="20"/>
        <v>0</v>
      </c>
      <c r="S68" s="177">
        <f t="shared" si="21"/>
        <v>0</v>
      </c>
      <c r="T68" s="304">
        <f>IF('8. WAMKK'!C68=0,0,+S68/'8. WAMKK'!C68)</f>
        <v>0</v>
      </c>
      <c r="U68" s="126"/>
      <c r="V68" s="208">
        <f t="shared" si="16"/>
        <v>0</v>
      </c>
    </row>
    <row r="69" spans="1:22" ht="12.75" customHeight="1" x14ac:dyDescent="0.2">
      <c r="A69" s="14" t="s">
        <v>72</v>
      </c>
      <c r="B69" s="20" t="s">
        <v>100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42"/>
      <c r="M69" s="142"/>
      <c r="N69" s="142"/>
      <c r="O69" s="177"/>
      <c r="P69" s="177">
        <f t="shared" si="18"/>
        <v>0</v>
      </c>
      <c r="Q69" s="177">
        <f t="shared" si="19"/>
        <v>0</v>
      </c>
      <c r="R69" s="177">
        <f t="shared" si="20"/>
        <v>0</v>
      </c>
      <c r="S69" s="177">
        <f t="shared" si="21"/>
        <v>0</v>
      </c>
      <c r="T69" s="304">
        <f>IF('8. WAMKK'!C69=0,0,+S69/'8. WAMKK'!C69)</f>
        <v>0</v>
      </c>
      <c r="U69" s="126"/>
      <c r="V69" s="208">
        <f t="shared" si="16"/>
        <v>0</v>
      </c>
    </row>
    <row r="70" spans="1:22" ht="12.75" customHeight="1" x14ac:dyDescent="0.2">
      <c r="A70" s="14"/>
      <c r="B70" s="20" t="s">
        <v>73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42"/>
      <c r="M70" s="142"/>
      <c r="N70" s="142"/>
      <c r="O70" s="177"/>
      <c r="P70" s="177">
        <f t="shared" si="18"/>
        <v>0</v>
      </c>
      <c r="Q70" s="177">
        <f t="shared" si="19"/>
        <v>0</v>
      </c>
      <c r="R70" s="177">
        <f t="shared" si="20"/>
        <v>0</v>
      </c>
      <c r="S70" s="177">
        <f t="shared" si="21"/>
        <v>0</v>
      </c>
      <c r="T70" s="304">
        <f>IF('8. WAMKK'!C70=0,0,+S70/'8. WAMKK'!C70)</f>
        <v>0</v>
      </c>
      <c r="U70" s="126"/>
      <c r="V70" s="208">
        <f t="shared" si="16"/>
        <v>0</v>
      </c>
    </row>
    <row r="71" spans="1:22" s="43" customFormat="1" ht="12.75" customHeight="1" x14ac:dyDescent="0.2">
      <c r="A71" s="39" t="s">
        <v>74</v>
      </c>
      <c r="B71" s="40" t="s">
        <v>75</v>
      </c>
      <c r="C71" s="298">
        <f>SUM(C72:C81)</f>
        <v>16345000</v>
      </c>
      <c r="D71" s="298">
        <f t="shared" ref="D71:F71" si="41">SUM(D72:D81)</f>
        <v>16347000</v>
      </c>
      <c r="E71" s="298">
        <f t="shared" si="41"/>
        <v>16352000</v>
      </c>
      <c r="F71" s="298">
        <f t="shared" si="41"/>
        <v>15997285</v>
      </c>
      <c r="G71" s="298"/>
      <c r="H71" s="298">
        <f t="shared" ref="H71" si="42">SUM(H72:H81)</f>
        <v>8307556</v>
      </c>
      <c r="I71" s="298">
        <f t="shared" ref="I71" si="43">SUM(I72:I81)</f>
        <v>9987748</v>
      </c>
      <c r="J71" s="298">
        <f t="shared" ref="J71" si="44">SUM(J72:J81)</f>
        <v>12982630</v>
      </c>
      <c r="K71" s="586"/>
      <c r="L71" s="153"/>
      <c r="M71" s="153"/>
      <c r="N71" s="153"/>
      <c r="O71" s="586"/>
      <c r="P71" s="586">
        <f t="shared" si="18"/>
        <v>2000</v>
      </c>
      <c r="Q71" s="586">
        <f t="shared" si="19"/>
        <v>5000</v>
      </c>
      <c r="R71" s="586">
        <f t="shared" si="20"/>
        <v>-354715</v>
      </c>
      <c r="S71" s="586">
        <f t="shared" si="21"/>
        <v>-347715</v>
      </c>
      <c r="T71" s="304">
        <f>IF('8. WAMKK'!C71=0,0,+S71/'8. WAMKK'!C71)</f>
        <v>-0.15805227272727274</v>
      </c>
      <c r="U71" s="127"/>
      <c r="V71" s="587">
        <f t="shared" si="16"/>
        <v>-354715</v>
      </c>
    </row>
    <row r="72" spans="1:22" ht="12.75" customHeight="1" x14ac:dyDescent="0.2">
      <c r="A72" s="14" t="s">
        <v>76</v>
      </c>
      <c r="B72" s="20" t="s">
        <v>77</v>
      </c>
      <c r="C72" s="177">
        <v>11345000</v>
      </c>
      <c r="D72" s="177">
        <v>11345000</v>
      </c>
      <c r="E72" s="177">
        <v>11345000</v>
      </c>
      <c r="F72" s="177">
        <v>11345000</v>
      </c>
      <c r="G72" s="177"/>
      <c r="H72" s="177">
        <v>5341624</v>
      </c>
      <c r="I72" s="177">
        <v>6345593</v>
      </c>
      <c r="J72" s="177">
        <v>9045805</v>
      </c>
      <c r="K72" s="177"/>
      <c r="L72" s="143">
        <f t="shared" si="22"/>
        <v>0.47083508153371528</v>
      </c>
      <c r="M72" s="143">
        <f t="shared" si="23"/>
        <v>0.55932948435434116</v>
      </c>
      <c r="N72" s="143">
        <f t="shared" si="23"/>
        <v>0.79733847509916267</v>
      </c>
      <c r="O72" s="177"/>
      <c r="P72" s="177">
        <f t="shared" si="18"/>
        <v>0</v>
      </c>
      <c r="Q72" s="177">
        <f t="shared" si="19"/>
        <v>0</v>
      </c>
      <c r="R72" s="177">
        <f t="shared" si="20"/>
        <v>0</v>
      </c>
      <c r="S72" s="177">
        <f t="shared" si="21"/>
        <v>0</v>
      </c>
      <c r="T72" s="304">
        <f>IF('8. WAMKK'!C72=0,0,+S72/'8. WAMKK'!C72)</f>
        <v>0</v>
      </c>
      <c r="U72" s="126"/>
      <c r="V72" s="208">
        <f t="shared" ref="V72:V101" si="45">+S72-E72+C72</f>
        <v>0</v>
      </c>
    </row>
    <row r="73" spans="1:22" ht="12.75" customHeight="1" x14ac:dyDescent="0.2">
      <c r="A73" s="14"/>
      <c r="B73" s="20" t="s">
        <v>78</v>
      </c>
      <c r="C73" s="177">
        <v>0</v>
      </c>
      <c r="D73" s="177"/>
      <c r="E73" s="177"/>
      <c r="F73" s="177"/>
      <c r="G73" s="177"/>
      <c r="H73" s="177"/>
      <c r="I73" s="177">
        <v>0</v>
      </c>
      <c r="J73" s="177"/>
      <c r="K73" s="177"/>
      <c r="L73" s="142"/>
      <c r="M73" s="142"/>
      <c r="N73" s="142"/>
      <c r="O73" s="177"/>
      <c r="P73" s="177">
        <f t="shared" si="18"/>
        <v>0</v>
      </c>
      <c r="Q73" s="177">
        <f t="shared" si="19"/>
        <v>0</v>
      </c>
      <c r="R73" s="177">
        <f t="shared" si="20"/>
        <v>0</v>
      </c>
      <c r="S73" s="177">
        <f t="shared" si="21"/>
        <v>0</v>
      </c>
      <c r="T73" s="304">
        <f>IF('8. WAMKK'!C73=0,0,+S73/'8. WAMKK'!C73)</f>
        <v>0</v>
      </c>
      <c r="U73" s="126"/>
      <c r="V73" s="208">
        <f t="shared" si="45"/>
        <v>0</v>
      </c>
    </row>
    <row r="74" spans="1:22" ht="12.75" customHeight="1" x14ac:dyDescent="0.2">
      <c r="A74" s="14" t="s">
        <v>79</v>
      </c>
      <c r="B74" s="20" t="s">
        <v>80</v>
      </c>
      <c r="C74" s="177">
        <v>5000000</v>
      </c>
      <c r="D74" s="177">
        <v>5000000</v>
      </c>
      <c r="E74" s="177">
        <v>5000000</v>
      </c>
      <c r="F74" s="177">
        <v>4607460</v>
      </c>
      <c r="G74" s="177"/>
      <c r="H74" s="177">
        <v>2965000</v>
      </c>
      <c r="I74" s="177">
        <v>3639000</v>
      </c>
      <c r="J74" s="177">
        <v>3892000</v>
      </c>
      <c r="K74" s="177"/>
      <c r="L74" s="143">
        <f t="shared" si="22"/>
        <v>0.59299999999999997</v>
      </c>
      <c r="M74" s="143">
        <f t="shared" si="23"/>
        <v>0.7278</v>
      </c>
      <c r="N74" s="143">
        <f t="shared" si="23"/>
        <v>0.77839999999999998</v>
      </c>
      <c r="O74" s="177"/>
      <c r="P74" s="177">
        <f t="shared" si="18"/>
        <v>0</v>
      </c>
      <c r="Q74" s="177">
        <f t="shared" si="19"/>
        <v>0</v>
      </c>
      <c r="R74" s="177">
        <f t="shared" si="20"/>
        <v>-392540</v>
      </c>
      <c r="S74" s="177">
        <f t="shared" si="21"/>
        <v>-392540</v>
      </c>
      <c r="T74" s="304">
        <f>IF('8. WAMKK'!C74=0,0,+S74/'8. WAMKK'!C74)</f>
        <v>0</v>
      </c>
      <c r="U74" s="126"/>
      <c r="V74" s="208">
        <f t="shared" si="45"/>
        <v>-392540</v>
      </c>
    </row>
    <row r="75" spans="1:22" ht="12.75" customHeight="1" x14ac:dyDescent="0.2">
      <c r="A75" s="14"/>
      <c r="B75" s="20" t="s">
        <v>101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42"/>
      <c r="M75" s="142"/>
      <c r="N75" s="142"/>
      <c r="O75" s="177"/>
      <c r="P75" s="177">
        <f t="shared" si="18"/>
        <v>0</v>
      </c>
      <c r="Q75" s="177">
        <f t="shared" si="19"/>
        <v>0</v>
      </c>
      <c r="R75" s="177">
        <f t="shared" si="20"/>
        <v>0</v>
      </c>
      <c r="S75" s="177">
        <f t="shared" si="21"/>
        <v>0</v>
      </c>
      <c r="T75" s="304">
        <f>IF('8. WAMKK'!C75=0,0,+S75/'8. WAMKK'!C75)</f>
        <v>0</v>
      </c>
      <c r="U75" s="126"/>
      <c r="V75" s="208">
        <f t="shared" si="45"/>
        <v>0</v>
      </c>
    </row>
    <row r="76" spans="1:22" ht="12.75" customHeight="1" x14ac:dyDescent="0.2">
      <c r="A76" s="14" t="s">
        <v>81</v>
      </c>
      <c r="B76" s="20" t="s">
        <v>82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42"/>
      <c r="M76" s="142"/>
      <c r="N76" s="142"/>
      <c r="O76" s="177"/>
      <c r="P76" s="177">
        <f t="shared" si="18"/>
        <v>0</v>
      </c>
      <c r="Q76" s="177">
        <f t="shared" si="19"/>
        <v>0</v>
      </c>
      <c r="R76" s="177">
        <f t="shared" si="20"/>
        <v>0</v>
      </c>
      <c r="S76" s="177">
        <f t="shared" si="21"/>
        <v>0</v>
      </c>
      <c r="T76" s="304">
        <f>IF('8. WAMKK'!C76=0,0,+S76/'8. WAMKK'!C76)</f>
        <v>0</v>
      </c>
      <c r="U76" s="126"/>
      <c r="V76" s="208">
        <f t="shared" si="45"/>
        <v>0</v>
      </c>
    </row>
    <row r="77" spans="1:22" ht="12.75" customHeight="1" x14ac:dyDescent="0.2">
      <c r="A77" s="14"/>
      <c r="B77" s="20" t="s">
        <v>106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42"/>
      <c r="M77" s="142"/>
      <c r="N77" s="142"/>
      <c r="O77" s="177"/>
      <c r="P77" s="177">
        <f t="shared" si="18"/>
        <v>0</v>
      </c>
      <c r="Q77" s="177">
        <f t="shared" si="19"/>
        <v>0</v>
      </c>
      <c r="R77" s="177">
        <f t="shared" si="20"/>
        <v>0</v>
      </c>
      <c r="S77" s="177">
        <f t="shared" si="21"/>
        <v>0</v>
      </c>
      <c r="T77" s="304">
        <f>IF('8. WAMKK'!C77=0,0,+S77/'8. WAMKK'!C77)</f>
        <v>0</v>
      </c>
      <c r="U77" s="126"/>
      <c r="V77" s="208">
        <f t="shared" si="45"/>
        <v>0</v>
      </c>
    </row>
    <row r="78" spans="1:22" ht="12.75" customHeight="1" x14ac:dyDescent="0.2">
      <c r="A78" s="14" t="s">
        <v>84</v>
      </c>
      <c r="B78" s="20" t="s">
        <v>85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42"/>
      <c r="M78" s="142"/>
      <c r="N78" s="142"/>
      <c r="O78" s="177"/>
      <c r="P78" s="177">
        <f t="shared" si="18"/>
        <v>0</v>
      </c>
      <c r="Q78" s="177">
        <f t="shared" si="19"/>
        <v>0</v>
      </c>
      <c r="R78" s="177">
        <f t="shared" si="20"/>
        <v>0</v>
      </c>
      <c r="S78" s="177">
        <f t="shared" si="21"/>
        <v>0</v>
      </c>
      <c r="T78" s="304">
        <f>IF('8. WAMKK'!C78=0,0,+S78/'8. WAMKK'!C78)</f>
        <v>0</v>
      </c>
      <c r="U78" s="126"/>
      <c r="V78" s="208">
        <f t="shared" si="45"/>
        <v>0</v>
      </c>
    </row>
    <row r="79" spans="1:22" ht="12.75" customHeight="1" x14ac:dyDescent="0.2">
      <c r="A79" s="14"/>
      <c r="B79" s="20" t="s">
        <v>86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42"/>
      <c r="M79" s="142"/>
      <c r="N79" s="142"/>
      <c r="O79" s="177"/>
      <c r="P79" s="177">
        <f t="shared" si="18"/>
        <v>0</v>
      </c>
      <c r="Q79" s="177">
        <f t="shared" si="19"/>
        <v>0</v>
      </c>
      <c r="R79" s="177">
        <f t="shared" si="20"/>
        <v>0</v>
      </c>
      <c r="S79" s="177">
        <f t="shared" si="21"/>
        <v>0</v>
      </c>
      <c r="T79" s="304">
        <f>IF('8. WAMKK'!C79=0,0,+S79/'8. WAMKK'!C79)</f>
        <v>0</v>
      </c>
      <c r="U79" s="126"/>
      <c r="V79" s="208">
        <f t="shared" si="45"/>
        <v>0</v>
      </c>
    </row>
    <row r="80" spans="1:22" ht="12.75" customHeight="1" x14ac:dyDescent="0.2">
      <c r="A80" s="14" t="s">
        <v>87</v>
      </c>
      <c r="B80" s="20" t="s">
        <v>88</v>
      </c>
      <c r="C80" s="177">
        <v>0</v>
      </c>
      <c r="D80" s="177">
        <v>2000</v>
      </c>
      <c r="E80" s="177">
        <v>7000</v>
      </c>
      <c r="F80" s="177">
        <v>44825</v>
      </c>
      <c r="G80" s="177"/>
      <c r="H80" s="177">
        <v>932</v>
      </c>
      <c r="I80" s="177">
        <v>3155</v>
      </c>
      <c r="J80" s="177">
        <v>44825</v>
      </c>
      <c r="K80" s="177"/>
      <c r="L80" s="143" t="e">
        <f t="shared" ref="L80:L102" si="46">+H80/C80</f>
        <v>#DIV/0!</v>
      </c>
      <c r="M80" s="143">
        <f t="shared" ref="M80:N102" si="47">+I80/D80</f>
        <v>1.5774999999999999</v>
      </c>
      <c r="N80" s="143">
        <f t="shared" si="47"/>
        <v>6.4035714285714285</v>
      </c>
      <c r="O80" s="177"/>
      <c r="P80" s="177">
        <f t="shared" ref="P80:P102" si="48">+(D80-C80)*P$10</f>
        <v>2000</v>
      </c>
      <c r="Q80" s="177">
        <f t="shared" ref="Q80:Q102" si="49">+(E80-D80)*Q$10</f>
        <v>5000</v>
      </c>
      <c r="R80" s="177">
        <f t="shared" ref="R80:R102" si="50">+(F80-E80)*R$10</f>
        <v>37825</v>
      </c>
      <c r="S80" s="177">
        <f t="shared" ref="S80:S102" si="51">SUM(P80:R80)</f>
        <v>44825</v>
      </c>
      <c r="T80" s="304">
        <f>IF('8. WAMKK'!C80=0,0,+S80/'8. WAMKK'!C80)</f>
        <v>0</v>
      </c>
      <c r="U80" s="126"/>
      <c r="V80" s="208">
        <f t="shared" si="45"/>
        <v>37825</v>
      </c>
    </row>
    <row r="81" spans="1:24" ht="12.75" customHeight="1" x14ac:dyDescent="0.2">
      <c r="A81" s="14"/>
      <c r="B81" s="20" t="s">
        <v>92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42"/>
      <c r="M81" s="142"/>
      <c r="N81" s="142"/>
      <c r="O81" s="177"/>
      <c r="P81" s="177">
        <f t="shared" si="48"/>
        <v>0</v>
      </c>
      <c r="Q81" s="177">
        <f t="shared" si="49"/>
        <v>0</v>
      </c>
      <c r="R81" s="177">
        <f t="shared" si="50"/>
        <v>0</v>
      </c>
      <c r="S81" s="177">
        <f t="shared" si="51"/>
        <v>0</v>
      </c>
      <c r="T81" s="304">
        <f>IF('8. WAMKK'!C81=0,0,+S81/'8. WAMKK'!C81)</f>
        <v>0</v>
      </c>
      <c r="U81" s="126"/>
      <c r="V81" s="208">
        <f t="shared" si="45"/>
        <v>0</v>
      </c>
    </row>
    <row r="82" spans="1:24" ht="12.75" customHeight="1" x14ac:dyDescent="0.2">
      <c r="A82" s="29"/>
      <c r="B82" s="21"/>
      <c r="C82" s="177"/>
      <c r="D82" s="177"/>
      <c r="E82" s="177"/>
      <c r="F82" s="177"/>
      <c r="G82" s="177"/>
      <c r="H82" s="177"/>
      <c r="I82" s="177"/>
      <c r="J82" s="177"/>
      <c r="K82" s="177"/>
      <c r="L82" s="161"/>
      <c r="M82" s="161"/>
      <c r="N82" s="161"/>
      <c r="O82" s="177"/>
      <c r="P82" s="177">
        <f t="shared" si="48"/>
        <v>0</v>
      </c>
      <c r="Q82" s="177">
        <f t="shared" si="49"/>
        <v>0</v>
      </c>
      <c r="R82" s="177">
        <f t="shared" si="50"/>
        <v>0</v>
      </c>
      <c r="S82" s="177">
        <f t="shared" si="51"/>
        <v>0</v>
      </c>
      <c r="T82" s="304">
        <f>IF('8. WAMKK'!C82=0,0,+S82/'8. WAMKK'!C82)</f>
        <v>0</v>
      </c>
      <c r="U82" s="126"/>
      <c r="V82" s="208">
        <f t="shared" si="45"/>
        <v>0</v>
      </c>
    </row>
    <row r="83" spans="1:24" s="43" customFormat="1" ht="12.75" customHeight="1" x14ac:dyDescent="0.2">
      <c r="A83" s="4" t="s">
        <v>158</v>
      </c>
      <c r="B83" s="50" t="s">
        <v>159</v>
      </c>
      <c r="C83" s="340">
        <f>SUM(C84:C85)</f>
        <v>800000</v>
      </c>
      <c r="D83" s="340">
        <f t="shared" ref="D83:F83" si="52">SUM(D84:D85)</f>
        <v>800000</v>
      </c>
      <c r="E83" s="340">
        <f t="shared" si="52"/>
        <v>254149</v>
      </c>
      <c r="F83" s="340">
        <f t="shared" si="52"/>
        <v>306781</v>
      </c>
      <c r="G83" s="340"/>
      <c r="H83" s="340">
        <f t="shared" ref="H83:J83" si="53">SUM(H84:H85)</f>
        <v>201042</v>
      </c>
      <c r="I83" s="340">
        <f t="shared" si="53"/>
        <v>254149</v>
      </c>
      <c r="J83" s="340">
        <f t="shared" si="53"/>
        <v>304866</v>
      </c>
      <c r="K83" s="341"/>
      <c r="L83" s="89">
        <f t="shared" ref="L83:L85" si="54">+H83/C83</f>
        <v>0.25130249999999998</v>
      </c>
      <c r="M83" s="89">
        <f t="shared" ref="M83:M85" si="55">+I83/D83</f>
        <v>0.31768625</v>
      </c>
      <c r="N83" s="89">
        <f t="shared" ref="N83:N85" si="56">+J83/E83</f>
        <v>1.1995561658712015</v>
      </c>
      <c r="O83" s="341"/>
      <c r="P83" s="341">
        <f t="shared" si="48"/>
        <v>0</v>
      </c>
      <c r="Q83" s="341">
        <f t="shared" si="49"/>
        <v>-545851</v>
      </c>
      <c r="R83" s="341">
        <f t="shared" si="50"/>
        <v>52632</v>
      </c>
      <c r="S83" s="341">
        <f t="shared" si="51"/>
        <v>-493219</v>
      </c>
      <c r="T83" s="305">
        <f>IF('8. WAMKK'!C80=0,0,+S83/'8. WAMKK'!C80)</f>
        <v>0</v>
      </c>
      <c r="U83" s="126"/>
      <c r="V83" s="208">
        <f t="shared" si="45"/>
        <v>52632</v>
      </c>
    </row>
    <row r="84" spans="1:24" ht="12.75" customHeight="1" x14ac:dyDescent="0.2">
      <c r="A84" s="44"/>
      <c r="B84" s="20"/>
      <c r="C84" s="342">
        <v>800000</v>
      </c>
      <c r="D84" s="342">
        <v>800000</v>
      </c>
      <c r="E84" s="342">
        <f>200116+54033</f>
        <v>254149</v>
      </c>
      <c r="F84" s="342">
        <v>306781</v>
      </c>
      <c r="G84" s="342"/>
      <c r="H84" s="177">
        <v>201042</v>
      </c>
      <c r="I84" s="177">
        <f>200116+54033</f>
        <v>254149</v>
      </c>
      <c r="J84" s="177">
        <v>304866</v>
      </c>
      <c r="K84" s="342"/>
      <c r="L84" s="143">
        <f t="shared" si="54"/>
        <v>0.25130249999999998</v>
      </c>
      <c r="M84" s="143">
        <f t="shared" si="55"/>
        <v>0.31768625</v>
      </c>
      <c r="N84" s="143">
        <f t="shared" si="56"/>
        <v>1.1995561658712015</v>
      </c>
      <c r="O84" s="342"/>
      <c r="P84" s="177">
        <f t="shared" si="48"/>
        <v>0</v>
      </c>
      <c r="Q84" s="177">
        <f t="shared" si="49"/>
        <v>-545851</v>
      </c>
      <c r="R84" s="177">
        <f t="shared" si="50"/>
        <v>52632</v>
      </c>
      <c r="S84" s="177">
        <f t="shared" si="51"/>
        <v>-493219</v>
      </c>
      <c r="T84" s="304">
        <f>IF('8. WAMKK'!C81=0,0,+S84/'8. WAMKK'!C81)</f>
        <v>0</v>
      </c>
      <c r="U84" s="126"/>
      <c r="V84" s="208">
        <f t="shared" si="45"/>
        <v>52632</v>
      </c>
      <c r="W84" s="2"/>
    </row>
    <row r="85" spans="1:24" ht="12.75" hidden="1" customHeight="1" x14ac:dyDescent="0.2">
      <c r="A85" s="14"/>
      <c r="B85" s="20"/>
      <c r="C85" s="342"/>
      <c r="D85" s="177"/>
      <c r="E85" s="177"/>
      <c r="F85" s="177"/>
      <c r="G85" s="177"/>
      <c r="H85" s="177"/>
      <c r="I85" s="177"/>
      <c r="J85" s="177"/>
      <c r="K85" s="177"/>
      <c r="L85" s="161" t="e">
        <f t="shared" si="54"/>
        <v>#DIV/0!</v>
      </c>
      <c r="M85" s="161" t="e">
        <f t="shared" si="55"/>
        <v>#DIV/0!</v>
      </c>
      <c r="N85" s="161" t="e">
        <f t="shared" si="56"/>
        <v>#DIV/0!</v>
      </c>
      <c r="O85" s="177"/>
      <c r="P85" s="177">
        <f t="shared" si="48"/>
        <v>0</v>
      </c>
      <c r="Q85" s="177">
        <f t="shared" si="49"/>
        <v>0</v>
      </c>
      <c r="R85" s="177">
        <f t="shared" si="50"/>
        <v>0</v>
      </c>
      <c r="S85" s="177">
        <f t="shared" si="51"/>
        <v>0</v>
      </c>
      <c r="T85" s="304">
        <f>IF('8. WAMKK'!C82=0,0,+S85/'8. WAMKK'!C82)</f>
        <v>0</v>
      </c>
      <c r="U85" s="126"/>
      <c r="V85" s="208">
        <f t="shared" si="45"/>
        <v>0</v>
      </c>
    </row>
    <row r="86" spans="1:24" s="43" customFormat="1" ht="12.75" customHeight="1" x14ac:dyDescent="0.2">
      <c r="A86" s="4" t="s">
        <v>173</v>
      </c>
      <c r="B86" s="50" t="s">
        <v>174</v>
      </c>
      <c r="C86" s="340">
        <f>SUM(C87:C88)</f>
        <v>0</v>
      </c>
      <c r="D86" s="340">
        <f t="shared" ref="D86:F86" si="57">SUM(D87:D88)</f>
        <v>0</v>
      </c>
      <c r="E86" s="340">
        <f t="shared" si="57"/>
        <v>0</v>
      </c>
      <c r="F86" s="340">
        <f t="shared" si="57"/>
        <v>0</v>
      </c>
      <c r="G86" s="340"/>
      <c r="H86" s="340">
        <f t="shared" ref="H86:J86" si="58">SUM(H87:H88)</f>
        <v>0</v>
      </c>
      <c r="I86" s="340">
        <f t="shared" si="58"/>
        <v>0</v>
      </c>
      <c r="J86" s="340">
        <f t="shared" si="58"/>
        <v>0</v>
      </c>
      <c r="K86" s="341"/>
      <c r="L86" s="89" t="e">
        <f t="shared" ref="L86:L88" si="59">+H86/C86</f>
        <v>#DIV/0!</v>
      </c>
      <c r="M86" s="89" t="e">
        <f t="shared" ref="M86:M88" si="60">+I86/D86</f>
        <v>#DIV/0!</v>
      </c>
      <c r="N86" s="89" t="e">
        <f t="shared" ref="N86:N88" si="61">+J86/E86</f>
        <v>#DIV/0!</v>
      </c>
      <c r="O86" s="341"/>
      <c r="P86" s="341">
        <f t="shared" ref="P86:P88" si="62">+(D86-C86)*P$10</f>
        <v>0</v>
      </c>
      <c r="Q86" s="341">
        <f t="shared" ref="Q86:Q88" si="63">+(E86-D86)*Q$10</f>
        <v>0</v>
      </c>
      <c r="R86" s="341">
        <f t="shared" ref="R86:R88" si="64">+(F86-E86)*R$10</f>
        <v>0</v>
      </c>
      <c r="S86" s="341">
        <f t="shared" ref="S86:S88" si="65">SUM(P86:R86)</f>
        <v>0</v>
      </c>
      <c r="T86" s="305">
        <f>IF('8. WAMKK'!C83=0,0,+S86/'8. WAMKK'!C83)</f>
        <v>0</v>
      </c>
      <c r="U86" s="126"/>
      <c r="V86" s="208">
        <f t="shared" ref="V86:V88" si="66">+S86-E86+C86</f>
        <v>0</v>
      </c>
    </row>
    <row r="87" spans="1:24" ht="12.75" customHeight="1" x14ac:dyDescent="0.2">
      <c r="A87" s="44"/>
      <c r="B87" s="20"/>
      <c r="C87" s="342"/>
      <c r="D87" s="342"/>
      <c r="E87" s="342"/>
      <c r="F87" s="342"/>
      <c r="G87" s="342"/>
      <c r="H87" s="177"/>
      <c r="I87" s="177"/>
      <c r="J87" s="177"/>
      <c r="K87" s="342"/>
      <c r="L87" s="143" t="e">
        <f t="shared" si="59"/>
        <v>#DIV/0!</v>
      </c>
      <c r="M87" s="143" t="e">
        <f t="shared" si="60"/>
        <v>#DIV/0!</v>
      </c>
      <c r="N87" s="143" t="e">
        <f t="shared" si="61"/>
        <v>#DIV/0!</v>
      </c>
      <c r="O87" s="342"/>
      <c r="P87" s="177">
        <f t="shared" si="62"/>
        <v>0</v>
      </c>
      <c r="Q87" s="177">
        <f t="shared" si="63"/>
        <v>0</v>
      </c>
      <c r="R87" s="177">
        <f t="shared" si="64"/>
        <v>0</v>
      </c>
      <c r="S87" s="177">
        <f t="shared" si="65"/>
        <v>0</v>
      </c>
      <c r="T87" s="304">
        <f>IF('8. WAMKK'!C84=0,0,+S87/'8. WAMKK'!C84)</f>
        <v>0</v>
      </c>
      <c r="U87" s="126"/>
      <c r="V87" s="208">
        <f t="shared" si="66"/>
        <v>0</v>
      </c>
      <c r="W87" s="2"/>
    </row>
    <row r="88" spans="1:24" ht="12.75" hidden="1" customHeight="1" x14ac:dyDescent="0.2">
      <c r="A88" s="14"/>
      <c r="B88" s="20"/>
      <c r="C88" s="342"/>
      <c r="D88" s="177"/>
      <c r="E88" s="177"/>
      <c r="F88" s="177"/>
      <c r="G88" s="177"/>
      <c r="H88" s="177"/>
      <c r="I88" s="177"/>
      <c r="J88" s="177"/>
      <c r="K88" s="177"/>
      <c r="L88" s="161" t="e">
        <f t="shared" si="59"/>
        <v>#DIV/0!</v>
      </c>
      <c r="M88" s="161" t="e">
        <f t="shared" si="60"/>
        <v>#DIV/0!</v>
      </c>
      <c r="N88" s="161" t="e">
        <f t="shared" si="61"/>
        <v>#DIV/0!</v>
      </c>
      <c r="O88" s="177"/>
      <c r="P88" s="177">
        <f t="shared" si="62"/>
        <v>0</v>
      </c>
      <c r="Q88" s="177">
        <f t="shared" si="63"/>
        <v>0</v>
      </c>
      <c r="R88" s="177">
        <f t="shared" si="64"/>
        <v>0</v>
      </c>
      <c r="S88" s="177">
        <f t="shared" si="65"/>
        <v>0</v>
      </c>
      <c r="T88" s="304">
        <f>IF('8. WAMKK'!C85=0,0,+S88/'8. WAMKK'!C85)</f>
        <v>0</v>
      </c>
      <c r="U88" s="126"/>
      <c r="V88" s="208">
        <f t="shared" si="66"/>
        <v>0</v>
      </c>
    </row>
    <row r="89" spans="1:24" ht="17.25" customHeight="1" x14ac:dyDescent="0.2">
      <c r="A89" s="512"/>
      <c r="B89" s="501" t="s">
        <v>379</v>
      </c>
      <c r="C89" s="509">
        <f>C13+C29+C32+C83+C86</f>
        <v>98992000</v>
      </c>
      <c r="D89" s="509">
        <f t="shared" ref="D89:J89" si="67">D13+D29+D32+D83+D86</f>
        <v>98992000</v>
      </c>
      <c r="E89" s="509">
        <f t="shared" si="67"/>
        <v>98992000</v>
      </c>
      <c r="F89" s="509">
        <f t="shared" si="67"/>
        <v>98992000</v>
      </c>
      <c r="G89" s="509"/>
      <c r="H89" s="509">
        <f t="shared" si="67"/>
        <v>50787336</v>
      </c>
      <c r="I89" s="509">
        <f t="shared" si="67"/>
        <v>65747364</v>
      </c>
      <c r="J89" s="509">
        <f t="shared" si="67"/>
        <v>91037806</v>
      </c>
      <c r="K89" s="338"/>
      <c r="L89" s="505">
        <f t="shared" si="46"/>
        <v>0.51304485210926132</v>
      </c>
      <c r="M89" s="505">
        <f t="shared" si="47"/>
        <v>0.66416845805721669</v>
      </c>
      <c r="N89" s="505">
        <f t="shared" si="47"/>
        <v>0.91964811297882654</v>
      </c>
      <c r="O89" s="338"/>
      <c r="P89" s="509">
        <f t="shared" si="48"/>
        <v>0</v>
      </c>
      <c r="Q89" s="509">
        <f t="shared" si="49"/>
        <v>0</v>
      </c>
      <c r="R89" s="509">
        <f t="shared" si="50"/>
        <v>0</v>
      </c>
      <c r="S89" s="509">
        <f t="shared" si="51"/>
        <v>0</v>
      </c>
      <c r="T89" s="506">
        <f>IF('8. WAMKK'!C89=0,0,+S89/'8. WAMKK'!C89)</f>
        <v>0</v>
      </c>
      <c r="U89" s="126"/>
      <c r="V89" s="208">
        <f t="shared" si="45"/>
        <v>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45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">
      <c r="A93" s="4" t="s">
        <v>241</v>
      </c>
      <c r="B93" s="50" t="s">
        <v>242</v>
      </c>
      <c r="C93" s="340">
        <f>SUM(C94:C94)</f>
        <v>0</v>
      </c>
      <c r="D93" s="340">
        <v>500000</v>
      </c>
      <c r="E93" s="340">
        <f>SUM(E94:E94)</f>
        <v>500000</v>
      </c>
      <c r="F93" s="340">
        <f>SUM(F94:F94)</f>
        <v>500000</v>
      </c>
      <c r="G93" s="340"/>
      <c r="H93" s="340">
        <v>411810</v>
      </c>
      <c r="I93" s="340">
        <f>SUM(I94:I94)</f>
        <v>411810</v>
      </c>
      <c r="J93" s="340">
        <f>SUM(J94:J94)</f>
        <v>411810</v>
      </c>
      <c r="K93" s="341"/>
      <c r="L93" s="89" t="e">
        <f t="shared" ref="L93:L94" si="68">+H93/C93</f>
        <v>#DIV/0!</v>
      </c>
      <c r="M93" s="89">
        <f t="shared" ref="M93:M94" si="69">+I93/D93</f>
        <v>0.82362000000000002</v>
      </c>
      <c r="N93" s="89">
        <f t="shared" ref="N93:N94" si="70">+J93/E93</f>
        <v>0.82362000000000002</v>
      </c>
      <c r="O93" s="341"/>
      <c r="P93" s="341">
        <f t="shared" ref="P93:P94" si="71">+(D93-C93)*P$10</f>
        <v>500000</v>
      </c>
      <c r="Q93" s="341">
        <f t="shared" ref="Q93:Q94" si="72">+(E93-D93)*Q$10</f>
        <v>0</v>
      </c>
      <c r="R93" s="341">
        <f t="shared" ref="R93:R94" si="73">+(F93-E93)*R$10</f>
        <v>0</v>
      </c>
      <c r="S93" s="341">
        <f t="shared" ref="S93:S94" si="74">SUM(P93:R93)</f>
        <v>500000</v>
      </c>
      <c r="T93" s="305">
        <f>IF('8. WAMKK'!C90=0,0,+S93/'8. WAMKK'!C90)</f>
        <v>0</v>
      </c>
      <c r="U93" s="126"/>
      <c r="V93" s="208">
        <f t="shared" ref="V93:V94" si="75">+S93-E93+C93</f>
        <v>0</v>
      </c>
    </row>
    <row r="94" spans="1:24" ht="12.75" customHeight="1" x14ac:dyDescent="0.2">
      <c r="A94" s="560" t="s">
        <v>261</v>
      </c>
      <c r="B94" s="513" t="s">
        <v>515</v>
      </c>
      <c r="C94" s="342"/>
      <c r="D94" s="342"/>
      <c r="E94" s="342">
        <v>500000</v>
      </c>
      <c r="F94" s="342">
        <v>500000</v>
      </c>
      <c r="G94" s="342"/>
      <c r="H94" s="177"/>
      <c r="I94" s="177">
        <v>411810</v>
      </c>
      <c r="J94" s="177">
        <v>411810</v>
      </c>
      <c r="K94" s="342"/>
      <c r="L94" s="143" t="e">
        <f t="shared" si="68"/>
        <v>#DIV/0!</v>
      </c>
      <c r="M94" s="143" t="e">
        <f t="shared" si="69"/>
        <v>#DIV/0!</v>
      </c>
      <c r="N94" s="143">
        <f t="shared" si="70"/>
        <v>0.82362000000000002</v>
      </c>
      <c r="O94" s="342"/>
      <c r="P94" s="177">
        <f t="shared" si="71"/>
        <v>0</v>
      </c>
      <c r="Q94" s="177">
        <f t="shared" si="72"/>
        <v>500000</v>
      </c>
      <c r="R94" s="177">
        <f t="shared" si="73"/>
        <v>0</v>
      </c>
      <c r="S94" s="177">
        <f t="shared" si="74"/>
        <v>500000</v>
      </c>
      <c r="T94" s="304">
        <f>IF('8. WAMKK'!C91=0,0,+S94/'8. WAMKK'!C91)</f>
        <v>0</v>
      </c>
      <c r="U94" s="126"/>
      <c r="V94" s="208">
        <f t="shared" si="75"/>
        <v>0</v>
      </c>
      <c r="W94" s="2"/>
    </row>
    <row r="95" spans="1:24" s="43" customFormat="1" ht="12.75" customHeight="1" x14ac:dyDescent="0.2">
      <c r="A95" s="4" t="s">
        <v>284</v>
      </c>
      <c r="B95" s="3" t="s">
        <v>285</v>
      </c>
      <c r="C95" s="340">
        <f>SUM(C96:C98)</f>
        <v>28181000</v>
      </c>
      <c r="D95" s="340">
        <f t="shared" ref="D95:J95" si="76">SUM(D96:D98)</f>
        <v>27681000</v>
      </c>
      <c r="E95" s="340">
        <f t="shared" si="76"/>
        <v>27681000</v>
      </c>
      <c r="F95" s="340">
        <f t="shared" si="76"/>
        <v>27681000</v>
      </c>
      <c r="G95" s="340"/>
      <c r="H95" s="340">
        <f t="shared" si="76"/>
        <v>16755980</v>
      </c>
      <c r="I95" s="340">
        <f t="shared" si="76"/>
        <v>20426213</v>
      </c>
      <c r="J95" s="340">
        <f t="shared" si="76"/>
        <v>28368808</v>
      </c>
      <c r="K95" s="341"/>
      <c r="L95" s="89">
        <f t="shared" si="46"/>
        <v>0.59458429438274019</v>
      </c>
      <c r="M95" s="89">
        <f t="shared" si="47"/>
        <v>0.73791456233517572</v>
      </c>
      <c r="N95" s="89">
        <f t="shared" si="47"/>
        <v>1.0248476572378165</v>
      </c>
      <c r="O95" s="341"/>
      <c r="P95" s="341">
        <f t="shared" si="48"/>
        <v>-500000</v>
      </c>
      <c r="Q95" s="341">
        <f t="shared" si="49"/>
        <v>0</v>
      </c>
      <c r="R95" s="341">
        <f t="shared" si="50"/>
        <v>0</v>
      </c>
      <c r="S95" s="341">
        <f t="shared" si="51"/>
        <v>-500000</v>
      </c>
      <c r="T95" s="305">
        <f>IF('8. WAMKK'!C93=0,0,+S95/'8. WAMKK'!C93)</f>
        <v>0</v>
      </c>
      <c r="U95" s="126"/>
      <c r="V95" s="208">
        <f t="shared" si="45"/>
        <v>0</v>
      </c>
    </row>
    <row r="96" spans="1:24" ht="12.75" customHeight="1" x14ac:dyDescent="0.2">
      <c r="A96" s="14" t="s">
        <v>296</v>
      </c>
      <c r="B96" s="20" t="s">
        <v>297</v>
      </c>
      <c r="C96" s="342">
        <v>21931000</v>
      </c>
      <c r="D96" s="177">
        <v>21431000</v>
      </c>
      <c r="E96" s="177">
        <v>21431000</v>
      </c>
      <c r="F96" s="177">
        <v>21431000</v>
      </c>
      <c r="G96" s="177"/>
      <c r="H96" s="177">
        <v>13172912</v>
      </c>
      <c r="I96" s="177">
        <v>16052135</v>
      </c>
      <c r="J96" s="177">
        <v>22304870</v>
      </c>
      <c r="K96" s="177"/>
      <c r="L96" s="143">
        <f t="shared" si="46"/>
        <v>0.60065259222105694</v>
      </c>
      <c r="M96" s="143">
        <f t="shared" si="47"/>
        <v>0.74901474499556719</v>
      </c>
      <c r="N96" s="143">
        <f t="shared" si="47"/>
        <v>1.0407759787224116</v>
      </c>
      <c r="O96" s="177"/>
      <c r="P96" s="177">
        <f t="shared" si="48"/>
        <v>-500000</v>
      </c>
      <c r="Q96" s="177">
        <f t="shared" si="49"/>
        <v>0</v>
      </c>
      <c r="R96" s="177">
        <f t="shared" si="50"/>
        <v>0</v>
      </c>
      <c r="S96" s="177">
        <f t="shared" si="51"/>
        <v>-500000</v>
      </c>
      <c r="T96" s="304">
        <f>IF('8. WAMKK'!C94=0,0,+S96/'8. WAMKK'!C94)</f>
        <v>0</v>
      </c>
      <c r="U96" s="126"/>
      <c r="V96" s="208">
        <f t="shared" si="45"/>
        <v>0</v>
      </c>
    </row>
    <row r="97" spans="1:23" ht="12.75" customHeight="1" x14ac:dyDescent="0.2">
      <c r="A97" s="14" t="s">
        <v>299</v>
      </c>
      <c r="B97" s="20" t="s">
        <v>300</v>
      </c>
      <c r="C97" s="342">
        <v>6125000</v>
      </c>
      <c r="D97" s="177">
        <v>6125000</v>
      </c>
      <c r="E97" s="177">
        <v>6125000</v>
      </c>
      <c r="F97" s="177">
        <v>6125000</v>
      </c>
      <c r="G97" s="177"/>
      <c r="H97" s="177">
        <v>3563191</v>
      </c>
      <c r="I97" s="584">
        <v>4343480</v>
      </c>
      <c r="J97" s="177">
        <v>6031759</v>
      </c>
      <c r="K97" s="177"/>
      <c r="L97" s="143">
        <f t="shared" si="46"/>
        <v>0.58174546938775507</v>
      </c>
      <c r="M97" s="143">
        <f t="shared" si="47"/>
        <v>0.7091395918367347</v>
      </c>
      <c r="N97" s="143">
        <f t="shared" si="47"/>
        <v>0.98477697959183674</v>
      </c>
      <c r="O97" s="177"/>
      <c r="P97" s="177">
        <f t="shared" si="48"/>
        <v>0</v>
      </c>
      <c r="Q97" s="177">
        <f t="shared" si="49"/>
        <v>0</v>
      </c>
      <c r="R97" s="177">
        <f t="shared" si="50"/>
        <v>0</v>
      </c>
      <c r="S97" s="177">
        <f t="shared" si="51"/>
        <v>0</v>
      </c>
      <c r="T97" s="304">
        <f>IF('8. WAMKK'!C95=0,0,+S97/'8. WAMKK'!C95)</f>
        <v>0</v>
      </c>
      <c r="U97" s="126"/>
      <c r="V97" s="208">
        <f t="shared" si="45"/>
        <v>0</v>
      </c>
    </row>
    <row r="98" spans="1:23" ht="12.75" customHeight="1" x14ac:dyDescent="0.2">
      <c r="A98" s="560" t="s">
        <v>471</v>
      </c>
      <c r="B98" s="513" t="s">
        <v>474</v>
      </c>
      <c r="C98" s="342">
        <v>125000</v>
      </c>
      <c r="D98" s="177">
        <v>125000</v>
      </c>
      <c r="E98" s="177">
        <f>1000+124000</f>
        <v>125000</v>
      </c>
      <c r="F98" s="177">
        <f>1000+124000</f>
        <v>125000</v>
      </c>
      <c r="G98" s="177"/>
      <c r="H98" s="177">
        <f>136+19741</f>
        <v>19877</v>
      </c>
      <c r="I98" s="177">
        <f>160+30438</f>
        <v>30598</v>
      </c>
      <c r="J98" s="177">
        <f>208+31971</f>
        <v>32179</v>
      </c>
      <c r="K98" s="177"/>
      <c r="L98" s="188">
        <f t="shared" si="46"/>
        <v>0.15901599999999999</v>
      </c>
      <c r="M98" s="188">
        <f t="shared" si="47"/>
        <v>0.244784</v>
      </c>
      <c r="N98" s="188">
        <f t="shared" si="47"/>
        <v>0.25743199999999999</v>
      </c>
      <c r="O98" s="177"/>
      <c r="P98" s="177">
        <f t="shared" si="48"/>
        <v>0</v>
      </c>
      <c r="Q98" s="177">
        <f t="shared" si="49"/>
        <v>0</v>
      </c>
      <c r="R98" s="177">
        <f t="shared" si="50"/>
        <v>0</v>
      </c>
      <c r="S98" s="177">
        <f t="shared" si="51"/>
        <v>0</v>
      </c>
      <c r="T98" s="304">
        <f>IF('8. WAMKK'!C96=0,0,+S98/'8. WAMKK'!C96)</f>
        <v>0</v>
      </c>
      <c r="U98" s="126"/>
      <c r="V98" s="208">
        <f t="shared" si="45"/>
        <v>0</v>
      </c>
    </row>
    <row r="99" spans="1:23" s="43" customFormat="1" ht="12.75" customHeight="1" x14ac:dyDescent="0.2">
      <c r="A99" s="4" t="s">
        <v>333</v>
      </c>
      <c r="B99" s="3" t="s">
        <v>334</v>
      </c>
      <c r="C99" s="340">
        <f>SUM(C100:C101)</f>
        <v>70811000</v>
      </c>
      <c r="D99" s="340">
        <f t="shared" ref="D99:J99" si="77">SUM(D100:D101)</f>
        <v>70811000</v>
      </c>
      <c r="E99" s="340">
        <f t="shared" si="77"/>
        <v>70811000</v>
      </c>
      <c r="F99" s="340">
        <f t="shared" si="77"/>
        <v>70811000</v>
      </c>
      <c r="G99" s="340"/>
      <c r="H99" s="340">
        <f t="shared" si="77"/>
        <v>38465133</v>
      </c>
      <c r="I99" s="340">
        <f t="shared" si="77"/>
        <v>48967745</v>
      </c>
      <c r="J99" s="340">
        <f t="shared" si="77"/>
        <v>67806187</v>
      </c>
      <c r="K99" s="341"/>
      <c r="L99" s="89">
        <f t="shared" si="46"/>
        <v>0.54320844219118503</v>
      </c>
      <c r="M99" s="89">
        <f t="shared" si="47"/>
        <v>0.6915273756902176</v>
      </c>
      <c r="N99" s="89">
        <f t="shared" si="47"/>
        <v>0.95756573131293166</v>
      </c>
      <c r="O99" s="341"/>
      <c r="P99" s="341">
        <f t="shared" si="48"/>
        <v>0</v>
      </c>
      <c r="Q99" s="341">
        <f t="shared" si="49"/>
        <v>0</v>
      </c>
      <c r="R99" s="341">
        <f t="shared" si="50"/>
        <v>0</v>
      </c>
      <c r="S99" s="341">
        <f t="shared" si="51"/>
        <v>0</v>
      </c>
      <c r="T99" s="305">
        <f>IF('8. WAMKK'!C97=0,0,+S99/'8. WAMKK'!C97)</f>
        <v>0</v>
      </c>
      <c r="U99" s="126"/>
      <c r="V99" s="208">
        <f t="shared" si="45"/>
        <v>0</v>
      </c>
    </row>
    <row r="100" spans="1:23" ht="12.75" customHeight="1" x14ac:dyDescent="0.2">
      <c r="A100" s="44" t="s">
        <v>359</v>
      </c>
      <c r="B100" s="20" t="s">
        <v>325</v>
      </c>
      <c r="C100" s="342">
        <v>65769773</v>
      </c>
      <c r="D100" s="342">
        <v>65769773</v>
      </c>
      <c r="E100" s="342">
        <v>65769773</v>
      </c>
      <c r="F100" s="342">
        <v>65769773</v>
      </c>
      <c r="G100" s="342"/>
      <c r="H100" s="177">
        <v>33423906</v>
      </c>
      <c r="I100" s="177">
        <v>43926518</v>
      </c>
      <c r="J100" s="177">
        <v>62764960</v>
      </c>
      <c r="K100" s="342"/>
      <c r="L100" s="143">
        <f t="shared" si="46"/>
        <v>0.50819555056089372</v>
      </c>
      <c r="M100" s="143">
        <f t="shared" si="47"/>
        <v>0.66788307145289982</v>
      </c>
      <c r="N100" s="143">
        <f t="shared" si="47"/>
        <v>0.95431316145792389</v>
      </c>
      <c r="O100" s="342"/>
      <c r="P100" s="177">
        <f t="shared" si="48"/>
        <v>0</v>
      </c>
      <c r="Q100" s="177">
        <f t="shared" si="49"/>
        <v>0</v>
      </c>
      <c r="R100" s="177">
        <f t="shared" si="50"/>
        <v>0</v>
      </c>
      <c r="S100" s="177">
        <f t="shared" si="51"/>
        <v>0</v>
      </c>
      <c r="T100" s="304">
        <f>IF('8. WAMKK'!C98=0,0,+S100/'8. WAMKK'!C98)</f>
        <v>0</v>
      </c>
      <c r="U100" s="126"/>
      <c r="V100" s="208">
        <f t="shared" si="45"/>
        <v>0</v>
      </c>
      <c r="W100" s="2"/>
    </row>
    <row r="101" spans="1:23" ht="12.75" customHeight="1" x14ac:dyDescent="0.2">
      <c r="A101" s="14" t="s">
        <v>347</v>
      </c>
      <c r="B101" s="20" t="s">
        <v>348</v>
      </c>
      <c r="C101" s="596">
        <v>5041227</v>
      </c>
      <c r="D101" s="177">
        <v>5041227</v>
      </c>
      <c r="E101" s="177">
        <v>5041227</v>
      </c>
      <c r="F101" s="177">
        <v>5041227</v>
      </c>
      <c r="G101" s="177"/>
      <c r="H101" s="177">
        <v>5041227</v>
      </c>
      <c r="I101" s="177">
        <v>5041227</v>
      </c>
      <c r="J101" s="177">
        <v>5041227</v>
      </c>
      <c r="K101" s="177"/>
      <c r="L101" s="161">
        <f t="shared" si="46"/>
        <v>1</v>
      </c>
      <c r="M101" s="161">
        <f t="shared" si="47"/>
        <v>1</v>
      </c>
      <c r="N101" s="161">
        <f t="shared" si="47"/>
        <v>1</v>
      </c>
      <c r="O101" s="177"/>
      <c r="P101" s="177">
        <f t="shared" si="48"/>
        <v>0</v>
      </c>
      <c r="Q101" s="177">
        <f t="shared" si="49"/>
        <v>0</v>
      </c>
      <c r="R101" s="177">
        <f t="shared" si="50"/>
        <v>0</v>
      </c>
      <c r="S101" s="177">
        <f t="shared" si="51"/>
        <v>0</v>
      </c>
      <c r="T101" s="304">
        <f>IF('8. WAMKK'!C99=0,0,+S101/'8. WAMKK'!C99)</f>
        <v>0</v>
      </c>
      <c r="U101" s="126"/>
      <c r="V101" s="208">
        <f t="shared" si="45"/>
        <v>0</v>
      </c>
    </row>
    <row r="102" spans="1:23" ht="21.75" customHeight="1" x14ac:dyDescent="0.2">
      <c r="A102" s="501"/>
      <c r="B102" s="501" t="s">
        <v>377</v>
      </c>
      <c r="C102" s="509">
        <f>+C95+C99+C93</f>
        <v>98992000</v>
      </c>
      <c r="D102" s="509">
        <f>+D95+D99+D93</f>
        <v>98992000</v>
      </c>
      <c r="E102" s="509">
        <f>+E95+E99+E93</f>
        <v>98992000</v>
      </c>
      <c r="F102" s="509">
        <f>+F95+F99+F93</f>
        <v>98992000</v>
      </c>
      <c r="G102" s="509"/>
      <c r="H102" s="509">
        <f>+H95+H99+H93</f>
        <v>55632923</v>
      </c>
      <c r="I102" s="509">
        <f>+I95+I99+I93</f>
        <v>69805768</v>
      </c>
      <c r="J102" s="509">
        <f>+J95+J99+J93</f>
        <v>96586805</v>
      </c>
      <c r="K102" s="338"/>
      <c r="L102" s="505">
        <f t="shared" si="46"/>
        <v>0.56199413083885563</v>
      </c>
      <c r="M102" s="505">
        <f t="shared" si="47"/>
        <v>0.7051657507677388</v>
      </c>
      <c r="N102" s="505">
        <f t="shared" si="47"/>
        <v>0.975703137627283</v>
      </c>
      <c r="O102" s="338"/>
      <c r="P102" s="509">
        <f t="shared" si="48"/>
        <v>0</v>
      </c>
      <c r="Q102" s="509">
        <f t="shared" si="49"/>
        <v>0</v>
      </c>
      <c r="R102" s="509">
        <f t="shared" si="50"/>
        <v>0</v>
      </c>
      <c r="S102" s="509">
        <f t="shared" si="51"/>
        <v>0</v>
      </c>
      <c r="T102" s="506">
        <f>IF('8. WAMKK'!C100=0,0,+S102/'8. WAMKK'!C100)</f>
        <v>0</v>
      </c>
      <c r="U102" s="126"/>
      <c r="V102" s="208">
        <f>+S102-E102+C102</f>
        <v>0</v>
      </c>
    </row>
    <row r="103" spans="1:23" ht="12.75" customHeight="1" x14ac:dyDescent="0.2">
      <c r="C103" s="343"/>
      <c r="D103" s="343"/>
      <c r="E103" s="343"/>
      <c r="F103" s="343"/>
      <c r="G103" s="343"/>
      <c r="H103" s="343"/>
      <c r="I103" s="343"/>
      <c r="J103" s="343"/>
      <c r="K103" s="343"/>
      <c r="O103" s="343"/>
      <c r="P103" s="343"/>
      <c r="Q103" s="343"/>
      <c r="R103" s="343"/>
      <c r="S103" s="343"/>
    </row>
    <row r="104" spans="1:23" ht="12.75" customHeight="1" x14ac:dyDescent="0.2">
      <c r="C104" s="343"/>
      <c r="D104" s="343"/>
      <c r="E104" s="343"/>
      <c r="F104" s="343"/>
      <c r="G104" s="343"/>
      <c r="H104" s="343"/>
      <c r="I104" s="343"/>
      <c r="J104" s="343"/>
      <c r="K104" s="343"/>
      <c r="O104" s="343"/>
      <c r="P104" s="343"/>
      <c r="Q104" s="343"/>
      <c r="R104" s="343"/>
      <c r="S104" s="343"/>
    </row>
    <row r="107" spans="1:23" ht="12.75" customHeight="1" x14ac:dyDescent="0.2">
      <c r="A107" s="61"/>
      <c r="B107" s="61"/>
      <c r="C107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5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1"/>
  <sheetViews>
    <sheetView tabSelected="1" view="pageBreakPreview" topLeftCell="A34" zoomScale="85" zoomScaleNormal="75" zoomScaleSheetLayoutView="85" workbookViewId="0">
      <selection activeCell="F19" sqref="F19"/>
    </sheetView>
  </sheetViews>
  <sheetFormatPr defaultRowHeight="12.75" x14ac:dyDescent="0.2"/>
  <cols>
    <col min="1" max="1" width="6.42578125" style="22" bestFit="1" customWidth="1"/>
    <col min="2" max="2" width="41.42578125" style="22" customWidth="1"/>
    <col min="3" max="3" width="19.140625" style="22" customWidth="1"/>
    <col min="4" max="5" width="18.5703125" style="23" customWidth="1"/>
    <col min="6" max="6" width="15.5703125" style="23" customWidth="1"/>
    <col min="7" max="7" width="0.85546875" style="23" customWidth="1"/>
    <col min="8" max="8" width="15.5703125" style="22" customWidth="1"/>
    <col min="9" max="10" width="15.5703125" style="23" customWidth="1"/>
    <col min="11" max="11" width="0.85546875" style="23" customWidth="1"/>
    <col min="12" max="12" width="12.5703125" style="22" customWidth="1"/>
    <col min="13" max="14" width="10.5703125" style="22" customWidth="1"/>
    <col min="15" max="15" width="0.85546875" style="23" customWidth="1"/>
    <col min="16" max="18" width="14.5703125" style="22" customWidth="1"/>
    <col min="19" max="19" width="15.5703125" style="22" customWidth="1"/>
    <col min="20" max="20" width="10.5703125" style="22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467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0.25" hidden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75" x14ac:dyDescent="0.25">
      <c r="A7" s="48"/>
      <c r="B7" s="48"/>
      <c r="C7" s="605" t="s">
        <v>408</v>
      </c>
      <c r="D7" s="606"/>
      <c r="E7" s="606"/>
      <c r="F7" s="607"/>
      <c r="G7" s="375"/>
      <c r="H7" s="605" t="s">
        <v>407</v>
      </c>
      <c r="I7" s="608"/>
      <c r="J7" s="608"/>
      <c r="K7" s="608"/>
      <c r="L7" s="608"/>
      <c r="M7" s="608"/>
      <c r="N7" s="609"/>
      <c r="O7" s="375"/>
      <c r="P7" s="605" t="s">
        <v>404</v>
      </c>
      <c r="Q7" s="606"/>
      <c r="R7" s="606"/>
      <c r="S7" s="606"/>
      <c r="T7" s="607"/>
      <c r="U7"/>
    </row>
    <row r="8" spans="1:27" ht="15" x14ac:dyDescent="0.25">
      <c r="A8" s="48"/>
      <c r="B8" s="48"/>
      <c r="C8" s="548"/>
      <c r="D8" s="494"/>
      <c r="E8" s="494"/>
      <c r="F8" s="520"/>
      <c r="G8" s="372"/>
      <c r="H8" s="610" t="s">
        <v>421</v>
      </c>
      <c r="I8" s="611"/>
      <c r="J8" s="611"/>
      <c r="K8" s="493"/>
      <c r="L8" s="612" t="s">
        <v>420</v>
      </c>
      <c r="M8" s="611"/>
      <c r="N8" s="613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1</v>
      </c>
      <c r="S8" s="494"/>
      <c r="T8" s="520"/>
      <c r="U8"/>
    </row>
    <row r="9" spans="1:27" ht="20.100000000000001" customHeight="1" x14ac:dyDescent="0.2">
      <c r="A9" s="377"/>
      <c r="B9" s="378" t="s">
        <v>377</v>
      </c>
      <c r="C9" s="521">
        <f>+C22</f>
        <v>1256317924</v>
      </c>
      <c r="D9" s="379">
        <f t="shared" ref="D9:J9" si="0">+D22</f>
        <v>1690615637</v>
      </c>
      <c r="E9" s="379">
        <f t="shared" si="0"/>
        <v>1884380262</v>
      </c>
      <c r="F9" s="549">
        <f t="shared" si="0"/>
        <v>1848157543</v>
      </c>
      <c r="G9" s="379"/>
      <c r="H9" s="521">
        <f t="shared" si="0"/>
        <v>1130876173</v>
      </c>
      <c r="I9" s="379">
        <f t="shared" si="0"/>
        <v>1511178187</v>
      </c>
      <c r="J9" s="379">
        <f t="shared" si="0"/>
        <v>1898133293</v>
      </c>
      <c r="K9" s="380"/>
      <c r="L9" s="381">
        <f>H9/C9</f>
        <v>0.90015126855740057</v>
      </c>
      <c r="M9" s="382">
        <f>I9/D9</f>
        <v>0.89386265803242415</v>
      </c>
      <c r="N9" s="522">
        <f>+J9/E9</f>
        <v>1.0072984371983409</v>
      </c>
      <c r="O9" s="380"/>
      <c r="P9" s="521">
        <f>IF(D9&gt;0,+D9-C9,0)</f>
        <v>434297713</v>
      </c>
      <c r="Q9" s="379">
        <f>IF(E9&gt;0,+E9-D9,0)</f>
        <v>193764625</v>
      </c>
      <c r="R9" s="379">
        <f>IF(F9&gt;0,+F9-E9,0)</f>
        <v>-36222719</v>
      </c>
      <c r="S9" s="379">
        <f>SUM(P9:R9)</f>
        <v>591839619</v>
      </c>
      <c r="T9" s="522">
        <f>+S9/C9</f>
        <v>0.47109064329484168</v>
      </c>
      <c r="U9" s="271"/>
      <c r="V9" s="254">
        <f>+S9-E9+C9</f>
        <v>-36222719</v>
      </c>
    </row>
    <row r="10" spans="1:27" ht="15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">
      <c r="A11" s="387" t="s">
        <v>373</v>
      </c>
      <c r="B11" s="38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370"/>
      <c r="V11" s="138" t="s">
        <v>410</v>
      </c>
    </row>
    <row r="12" spans="1:27" x14ac:dyDescent="0.2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x14ac:dyDescent="0.2">
      <c r="A13" s="35" t="s">
        <v>241</v>
      </c>
      <c r="B13" s="545" t="s">
        <v>454</v>
      </c>
      <c r="C13" s="172">
        <f>+C36</f>
        <v>577146258</v>
      </c>
      <c r="D13" s="172">
        <f t="shared" ref="D13:E13" si="1">+D36</f>
        <v>588969848</v>
      </c>
      <c r="E13" s="172">
        <f t="shared" si="1"/>
        <v>588969848</v>
      </c>
      <c r="F13" s="172">
        <f t="shared" ref="F13" si="2">+F36</f>
        <v>649437930</v>
      </c>
      <c r="G13" s="537"/>
      <c r="H13" s="403">
        <f t="shared" ref="H13:J13" si="3">+H36</f>
        <v>310504756</v>
      </c>
      <c r="I13" s="172">
        <f t="shared" si="3"/>
        <v>489594945</v>
      </c>
      <c r="J13" s="145">
        <f t="shared" si="3"/>
        <v>649226081</v>
      </c>
      <c r="K13" s="172"/>
      <c r="L13" s="36">
        <f t="shared" ref="L13:N19" si="4">H13/D13</f>
        <v>0.52719974894198662</v>
      </c>
      <c r="M13" s="36">
        <f t="shared" si="4"/>
        <v>0.83127336087330572</v>
      </c>
      <c r="N13" s="36">
        <f t="shared" si="4"/>
        <v>0.99967379638574549</v>
      </c>
      <c r="O13" s="537"/>
      <c r="P13" s="187">
        <f t="shared" ref="P13:R19" si="5">+(D13-C13)*P$8</f>
        <v>11823590</v>
      </c>
      <c r="Q13" s="187">
        <f t="shared" si="5"/>
        <v>0</v>
      </c>
      <c r="R13" s="187">
        <f t="shared" si="5"/>
        <v>60468082</v>
      </c>
      <c r="S13" s="187">
        <f t="shared" ref="S13:S19" si="6">SUM(P13:R13)</f>
        <v>72291672</v>
      </c>
      <c r="T13" s="188">
        <f t="shared" ref="T13:T23" si="7">IF(C13=0,0,+S13/C13)</f>
        <v>0.12525710943793383</v>
      </c>
      <c r="U13" s="516"/>
      <c r="V13" s="263">
        <f t="shared" ref="V13:V23" si="8">+S13-E13+C13</f>
        <v>60468082</v>
      </c>
    </row>
    <row r="14" spans="1:27" ht="15" customHeight="1" x14ac:dyDescent="0.2">
      <c r="A14" s="35" t="s">
        <v>262</v>
      </c>
      <c r="B14" s="545" t="s">
        <v>453</v>
      </c>
      <c r="C14" s="172">
        <f>+C48</f>
        <v>175000000</v>
      </c>
      <c r="D14" s="172">
        <f t="shared" ref="D14:E14" si="9">+D48</f>
        <v>580968123</v>
      </c>
      <c r="E14" s="172">
        <f t="shared" si="9"/>
        <v>759461472</v>
      </c>
      <c r="F14" s="172">
        <f t="shared" ref="F14" si="10">+F48</f>
        <v>675688584</v>
      </c>
      <c r="G14" s="537"/>
      <c r="H14" s="172">
        <f t="shared" ref="H14:J14" si="11">+H48</f>
        <v>505968123</v>
      </c>
      <c r="I14" s="172">
        <f t="shared" si="11"/>
        <v>607324056</v>
      </c>
      <c r="J14" s="145">
        <f t="shared" si="11"/>
        <v>702735950</v>
      </c>
      <c r="K14" s="172"/>
      <c r="L14" s="36">
        <f t="shared" si="4"/>
        <v>0.87090513742352094</v>
      </c>
      <c r="M14" s="36">
        <f t="shared" si="4"/>
        <v>0.79967724287664721</v>
      </c>
      <c r="N14" s="36">
        <f t="shared" si="4"/>
        <v>1.0400293369467375</v>
      </c>
      <c r="O14" s="537"/>
      <c r="P14" s="187">
        <f t="shared" si="5"/>
        <v>405968123</v>
      </c>
      <c r="Q14" s="187">
        <f t="shared" si="5"/>
        <v>178493349</v>
      </c>
      <c r="R14" s="187">
        <f t="shared" si="5"/>
        <v>-83772888</v>
      </c>
      <c r="S14" s="187">
        <f t="shared" si="6"/>
        <v>500688584</v>
      </c>
      <c r="T14" s="188">
        <f t="shared" si="7"/>
        <v>2.8610776228571431</v>
      </c>
      <c r="U14" s="516"/>
      <c r="V14" s="263">
        <f t="shared" si="8"/>
        <v>-83772888</v>
      </c>
    </row>
    <row r="15" spans="1:27" x14ac:dyDescent="0.2">
      <c r="A15" s="35" t="s">
        <v>270</v>
      </c>
      <c r="B15" s="545" t="s">
        <v>271</v>
      </c>
      <c r="C15" s="172">
        <f>+C60</f>
        <v>198244647</v>
      </c>
      <c r="D15" s="172">
        <f t="shared" ref="D15:E15" si="12">+D60</f>
        <v>198244647</v>
      </c>
      <c r="E15" s="172">
        <f t="shared" si="12"/>
        <v>198244647</v>
      </c>
      <c r="F15" s="172">
        <f t="shared" ref="F15" si="13">+F60</f>
        <v>202101569</v>
      </c>
      <c r="G15" s="537"/>
      <c r="H15" s="172">
        <f t="shared" ref="H15:J15" si="14">+H60</f>
        <v>110800513</v>
      </c>
      <c r="I15" s="172">
        <f t="shared" si="14"/>
        <v>168764227</v>
      </c>
      <c r="J15" s="145">
        <f t="shared" si="14"/>
        <v>219393130</v>
      </c>
      <c r="K15" s="172"/>
      <c r="L15" s="36">
        <f t="shared" si="4"/>
        <v>0.55890796889965966</v>
      </c>
      <c r="M15" s="36">
        <f t="shared" si="4"/>
        <v>0.85129273124837512</v>
      </c>
      <c r="N15" s="36">
        <f t="shared" si="4"/>
        <v>1.0855587667406976</v>
      </c>
      <c r="O15" s="537"/>
      <c r="P15" s="187">
        <f t="shared" si="5"/>
        <v>0</v>
      </c>
      <c r="Q15" s="187">
        <f t="shared" si="5"/>
        <v>0</v>
      </c>
      <c r="R15" s="187">
        <f t="shared" si="5"/>
        <v>3856922</v>
      </c>
      <c r="S15" s="187">
        <f t="shared" si="6"/>
        <v>3856922</v>
      </c>
      <c r="T15" s="188">
        <f t="shared" si="7"/>
        <v>1.9455365168069332E-2</v>
      </c>
      <c r="U15" s="516"/>
      <c r="V15" s="263">
        <f t="shared" si="8"/>
        <v>3856922</v>
      </c>
    </row>
    <row r="16" spans="1:27" x14ac:dyDescent="0.2">
      <c r="A16" s="35" t="s">
        <v>284</v>
      </c>
      <c r="B16" s="545" t="s">
        <v>285</v>
      </c>
      <c r="C16" s="403">
        <f>+C72</f>
        <v>112396000</v>
      </c>
      <c r="D16" s="172">
        <f t="shared" ref="D16:E16" si="15">+D72</f>
        <v>111902000</v>
      </c>
      <c r="E16" s="172">
        <f t="shared" si="15"/>
        <v>112173276</v>
      </c>
      <c r="F16" s="172">
        <f t="shared" ref="F16" si="16">+F72</f>
        <v>114459954</v>
      </c>
      <c r="G16" s="537"/>
      <c r="H16" s="403">
        <f t="shared" ref="H16:J16" si="17">+H72</f>
        <v>77405545</v>
      </c>
      <c r="I16" s="403">
        <f t="shared" si="17"/>
        <v>106141511</v>
      </c>
      <c r="J16" s="145">
        <f t="shared" si="17"/>
        <v>135557922</v>
      </c>
      <c r="K16" s="172"/>
      <c r="L16" s="36">
        <f t="shared" si="4"/>
        <v>0.6917261979231828</v>
      </c>
      <c r="M16" s="36">
        <f t="shared" si="4"/>
        <v>0.94622814617627826</v>
      </c>
      <c r="N16" s="36">
        <f t="shared" si="4"/>
        <v>1.1843261967412637</v>
      </c>
      <c r="O16" s="537"/>
      <c r="P16" s="187">
        <f t="shared" si="5"/>
        <v>-494000</v>
      </c>
      <c r="Q16" s="187">
        <f t="shared" si="5"/>
        <v>271276</v>
      </c>
      <c r="R16" s="187">
        <f t="shared" si="5"/>
        <v>2286678</v>
      </c>
      <c r="S16" s="187">
        <f t="shared" si="6"/>
        <v>2063954</v>
      </c>
      <c r="T16" s="188">
        <f t="shared" si="7"/>
        <v>1.8363233567030856E-2</v>
      </c>
      <c r="U16" s="516"/>
      <c r="V16" s="263">
        <f t="shared" si="8"/>
        <v>2286678</v>
      </c>
    </row>
    <row r="17" spans="1:22" x14ac:dyDescent="0.2">
      <c r="A17" s="35" t="s">
        <v>311</v>
      </c>
      <c r="B17" s="545" t="s">
        <v>312</v>
      </c>
      <c r="C17" s="172">
        <f>+C84</f>
        <v>72638000</v>
      </c>
      <c r="D17" s="172">
        <f t="shared" ref="D17:E17" si="18">+D84</f>
        <v>72638000</v>
      </c>
      <c r="E17" s="172">
        <f t="shared" si="18"/>
        <v>72638000</v>
      </c>
      <c r="F17" s="172">
        <f t="shared" ref="F17" si="19">+F84</f>
        <v>52199487</v>
      </c>
      <c r="G17" s="537"/>
      <c r="H17" s="172">
        <f t="shared" ref="H17:J17" si="20">+H84</f>
        <v>16435054</v>
      </c>
      <c r="I17" s="172">
        <f t="shared" si="20"/>
        <v>29416266</v>
      </c>
      <c r="J17" s="145">
        <f t="shared" si="20"/>
        <v>35127563</v>
      </c>
      <c r="K17" s="172"/>
      <c r="L17" s="36">
        <f t="shared" si="4"/>
        <v>0.2262597263140505</v>
      </c>
      <c r="M17" s="36">
        <f t="shared" si="4"/>
        <v>0.40497075910680358</v>
      </c>
      <c r="N17" s="36">
        <f t="shared" si="4"/>
        <v>0.67294843338211352</v>
      </c>
      <c r="O17" s="537"/>
      <c r="P17" s="187">
        <f t="shared" si="5"/>
        <v>0</v>
      </c>
      <c r="Q17" s="187">
        <f t="shared" si="5"/>
        <v>0</v>
      </c>
      <c r="R17" s="187">
        <f t="shared" si="5"/>
        <v>-20438513</v>
      </c>
      <c r="S17" s="187">
        <f t="shared" si="6"/>
        <v>-20438513</v>
      </c>
      <c r="T17" s="188">
        <f t="shared" si="7"/>
        <v>-0.28137494149067982</v>
      </c>
      <c r="U17" s="516"/>
      <c r="V17" s="263">
        <f t="shared" si="8"/>
        <v>-20438513</v>
      </c>
    </row>
    <row r="18" spans="1:22" x14ac:dyDescent="0.2">
      <c r="A18" s="35" t="s">
        <v>321</v>
      </c>
      <c r="B18" s="545" t="s">
        <v>322</v>
      </c>
      <c r="C18" s="172">
        <f>+C96</f>
        <v>0</v>
      </c>
      <c r="D18" s="172">
        <f t="shared" ref="D18:E18" si="21">+D96</f>
        <v>0</v>
      </c>
      <c r="E18" s="172">
        <f t="shared" si="21"/>
        <v>15000000</v>
      </c>
      <c r="F18" s="172">
        <f t="shared" ref="F18" si="22">+F96</f>
        <v>16000000</v>
      </c>
      <c r="G18" s="537"/>
      <c r="H18" s="172">
        <f t="shared" ref="H18:J18" si="23">+H96</f>
        <v>100000</v>
      </c>
      <c r="I18" s="172">
        <f t="shared" si="23"/>
        <v>100000</v>
      </c>
      <c r="J18" s="145">
        <f t="shared" si="23"/>
        <v>16140000</v>
      </c>
      <c r="K18" s="172"/>
      <c r="L18" s="36" t="e">
        <f t="shared" si="4"/>
        <v>#DIV/0!</v>
      </c>
      <c r="M18" s="36">
        <f t="shared" si="4"/>
        <v>6.6666666666666671E-3</v>
      </c>
      <c r="N18" s="36">
        <f t="shared" si="4"/>
        <v>1.00875</v>
      </c>
      <c r="O18" s="537"/>
      <c r="P18" s="187">
        <f t="shared" si="5"/>
        <v>0</v>
      </c>
      <c r="Q18" s="187">
        <f t="shared" si="5"/>
        <v>15000000</v>
      </c>
      <c r="R18" s="187">
        <f t="shared" si="5"/>
        <v>1000000</v>
      </c>
      <c r="S18" s="187">
        <f t="shared" si="6"/>
        <v>16000000</v>
      </c>
      <c r="T18" s="188">
        <f t="shared" si="7"/>
        <v>0</v>
      </c>
      <c r="U18" s="516"/>
      <c r="V18" s="263">
        <f t="shared" si="8"/>
        <v>1000000</v>
      </c>
    </row>
    <row r="19" spans="1:22" x14ac:dyDescent="0.2">
      <c r="A19" s="35" t="s">
        <v>326</v>
      </c>
      <c r="B19" s="545" t="s">
        <v>327</v>
      </c>
      <c r="C19" s="172">
        <f>+C108</f>
        <v>0</v>
      </c>
      <c r="D19" s="172">
        <f t="shared" ref="D19:E19" si="24">+D108</f>
        <v>0</v>
      </c>
      <c r="E19" s="172">
        <f t="shared" si="24"/>
        <v>0</v>
      </c>
      <c r="F19" s="172">
        <f t="shared" ref="F19" si="25">+F108</f>
        <v>377000</v>
      </c>
      <c r="G19" s="537"/>
      <c r="H19" s="172">
        <f t="shared" ref="H19:J19" si="26">+H108</f>
        <v>102000</v>
      </c>
      <c r="I19" s="172">
        <f t="shared" si="26"/>
        <v>277000</v>
      </c>
      <c r="J19" s="145">
        <f t="shared" si="26"/>
        <v>397000</v>
      </c>
      <c r="K19" s="172"/>
      <c r="L19" s="36" t="e">
        <f t="shared" si="4"/>
        <v>#DIV/0!</v>
      </c>
      <c r="M19" s="36" t="e">
        <f t="shared" si="4"/>
        <v>#DIV/0!</v>
      </c>
      <c r="N19" s="36">
        <f t="shared" si="4"/>
        <v>1.0530503978779842</v>
      </c>
      <c r="O19" s="537"/>
      <c r="P19" s="187">
        <f t="shared" si="5"/>
        <v>0</v>
      </c>
      <c r="Q19" s="187">
        <f t="shared" si="5"/>
        <v>0</v>
      </c>
      <c r="R19" s="187">
        <f t="shared" si="5"/>
        <v>377000</v>
      </c>
      <c r="S19" s="187">
        <f t="shared" si="6"/>
        <v>377000</v>
      </c>
      <c r="T19" s="188">
        <f t="shared" si="7"/>
        <v>0</v>
      </c>
      <c r="U19" s="516"/>
      <c r="V19" s="263">
        <f t="shared" si="8"/>
        <v>377000</v>
      </c>
    </row>
    <row r="20" spans="1:22" x14ac:dyDescent="0.2">
      <c r="A20" s="35" t="s">
        <v>333</v>
      </c>
      <c r="B20" s="545" t="s">
        <v>334</v>
      </c>
      <c r="C20" s="172">
        <f>+C120</f>
        <v>575059181</v>
      </c>
      <c r="D20" s="172">
        <f t="shared" ref="D20:J20" si="27">+D120</f>
        <v>595512181</v>
      </c>
      <c r="E20" s="172">
        <f t="shared" si="27"/>
        <v>597172181</v>
      </c>
      <c r="F20" s="172">
        <f t="shared" si="27"/>
        <v>605966018</v>
      </c>
      <c r="G20" s="537"/>
      <c r="H20" s="172">
        <f t="shared" si="27"/>
        <v>347273157</v>
      </c>
      <c r="I20" s="172">
        <f t="shared" si="27"/>
        <v>456478629</v>
      </c>
      <c r="J20" s="145">
        <f t="shared" si="27"/>
        <v>597025779</v>
      </c>
      <c r="K20" s="172"/>
      <c r="L20" s="36">
        <v>0</v>
      </c>
      <c r="M20" s="36">
        <v>0</v>
      </c>
      <c r="N20" s="36">
        <v>0</v>
      </c>
      <c r="O20" s="537"/>
      <c r="P20" s="172">
        <f t="shared" ref="P20:S20" si="28">+P120</f>
        <v>20453000</v>
      </c>
      <c r="Q20" s="172">
        <f t="shared" si="28"/>
        <v>1660000</v>
      </c>
      <c r="R20" s="172">
        <f t="shared" si="28"/>
        <v>8793837</v>
      </c>
      <c r="S20" s="172">
        <f t="shared" si="28"/>
        <v>30906837</v>
      </c>
      <c r="T20" s="188">
        <f t="shared" si="7"/>
        <v>5.3745489196876245E-2</v>
      </c>
      <c r="U20" s="516"/>
      <c r="V20" s="263">
        <f t="shared" si="8"/>
        <v>8793837</v>
      </c>
    </row>
    <row r="21" spans="1:22" x14ac:dyDescent="0.2">
      <c r="A21" s="35"/>
      <c r="B21" s="545" t="s">
        <v>450</v>
      </c>
      <c r="C21" s="172">
        <f>-C143</f>
        <v>-454166162</v>
      </c>
      <c r="D21" s="172">
        <f t="shared" ref="D21:J21" si="29">-D143</f>
        <v>-457619162</v>
      </c>
      <c r="E21" s="172">
        <f t="shared" si="29"/>
        <v>-459279162</v>
      </c>
      <c r="F21" s="172">
        <f t="shared" si="29"/>
        <v>-468072999</v>
      </c>
      <c r="G21" s="172"/>
      <c r="H21" s="172">
        <f t="shared" si="29"/>
        <v>-237712975</v>
      </c>
      <c r="I21" s="172">
        <f t="shared" si="29"/>
        <v>-346918447</v>
      </c>
      <c r="J21" s="145">
        <f t="shared" si="29"/>
        <v>-457470132</v>
      </c>
      <c r="K21" s="172"/>
      <c r="L21" s="36">
        <f>+H21/D21</f>
        <v>0.51945590294140698</v>
      </c>
      <c r="M21" s="36">
        <f>+I21/E21</f>
        <v>0.75535420655553276</v>
      </c>
      <c r="N21" s="36">
        <f>+J21/F21</f>
        <v>0.97734783458423757</v>
      </c>
      <c r="O21" s="537"/>
      <c r="P21" s="172">
        <f t="shared" ref="P21:S21" si="30">-P143</f>
        <v>-3453000</v>
      </c>
      <c r="Q21" s="172">
        <f t="shared" si="30"/>
        <v>-1660000</v>
      </c>
      <c r="R21" s="172">
        <f t="shared" si="30"/>
        <v>-8793837</v>
      </c>
      <c r="S21" s="172">
        <f t="shared" si="30"/>
        <v>-13906837</v>
      </c>
      <c r="T21" s="188">
        <f t="shared" si="7"/>
        <v>3.0620592557487804E-2</v>
      </c>
      <c r="U21" s="516"/>
      <c r="V21" s="263">
        <f t="shared" si="8"/>
        <v>-8793837</v>
      </c>
    </row>
    <row r="22" spans="1:22" x14ac:dyDescent="0.2">
      <c r="A22" s="12"/>
      <c r="B22" s="546" t="s">
        <v>377</v>
      </c>
      <c r="C22" s="176">
        <f>SUM(C13:C21)</f>
        <v>1256317924</v>
      </c>
      <c r="D22" s="176">
        <f>SUM(D13:D21)</f>
        <v>1690615637</v>
      </c>
      <c r="E22" s="176">
        <f>SUM(E13:E21)</f>
        <v>1884380262</v>
      </c>
      <c r="F22" s="176">
        <f>SUM(F13:F21)</f>
        <v>1848157543</v>
      </c>
      <c r="G22" s="538"/>
      <c r="H22" s="176">
        <f>SUM(H13:H21)</f>
        <v>1130876173</v>
      </c>
      <c r="I22" s="176">
        <f>SUM(I13:I21)</f>
        <v>1511178187</v>
      </c>
      <c r="J22" s="176">
        <f>SUM(J13:J21)</f>
        <v>1898133293</v>
      </c>
      <c r="K22" s="176"/>
      <c r="L22" s="34">
        <f>H22/D22</f>
        <v>0.66891382538419053</v>
      </c>
      <c r="M22" s="34">
        <f>I22/E22</f>
        <v>0.80194970063850091</v>
      </c>
      <c r="N22" s="34">
        <f>J22/F22</f>
        <v>1.0270408495148511</v>
      </c>
      <c r="O22" s="538"/>
      <c r="P22" s="176">
        <f>SUM(P13:P21)</f>
        <v>434297713</v>
      </c>
      <c r="Q22" s="176">
        <f>SUM(Q13:Q21)</f>
        <v>193764625</v>
      </c>
      <c r="R22" s="176">
        <f>SUM(R13:R21)</f>
        <v>-36222719</v>
      </c>
      <c r="S22" s="176">
        <f>SUM(S13:S21)</f>
        <v>591839619</v>
      </c>
      <c r="T22" s="188">
        <f t="shared" si="7"/>
        <v>0.47109064329484168</v>
      </c>
      <c r="U22" s="517"/>
      <c r="V22" s="263">
        <f t="shared" si="8"/>
        <v>-36222719</v>
      </c>
    </row>
    <row r="23" spans="1:22" x14ac:dyDescent="0.2">
      <c r="A23" s="35"/>
      <c r="B23" s="547" t="s">
        <v>410</v>
      </c>
      <c r="C23" s="190"/>
      <c r="D23" s="190"/>
      <c r="E23" s="190"/>
      <c r="F23" s="190"/>
      <c r="G23" s="539"/>
      <c r="H23" s="190"/>
      <c r="I23" s="190"/>
      <c r="J23" s="190"/>
      <c r="K23" s="190"/>
      <c r="L23" s="397"/>
      <c r="M23" s="397"/>
      <c r="N23" s="397"/>
      <c r="O23" s="539"/>
      <c r="P23" s="190"/>
      <c r="Q23" s="190"/>
      <c r="R23" s="190"/>
      <c r="S23" s="190"/>
      <c r="T23" s="188">
        <f t="shared" si="7"/>
        <v>0</v>
      </c>
      <c r="U23" s="518"/>
      <c r="V23" s="263">
        <f t="shared" si="8"/>
        <v>0</v>
      </c>
    </row>
    <row r="24" spans="1:22" x14ac:dyDescent="0.2">
      <c r="C24" s="529"/>
      <c r="D24" s="76"/>
      <c r="E24" s="76"/>
      <c r="F24" s="555"/>
      <c r="G24" s="76"/>
      <c r="H24" s="529"/>
      <c r="K24" s="76"/>
      <c r="L24" s="93"/>
      <c r="M24" s="93"/>
      <c r="N24" s="530"/>
      <c r="O24" s="76"/>
      <c r="P24" s="529"/>
      <c r="Q24" s="75"/>
      <c r="R24" s="75"/>
      <c r="S24" s="75"/>
      <c r="T24" s="530"/>
      <c r="U24" s="76"/>
    </row>
    <row r="25" spans="1:22" x14ac:dyDescent="0.2">
      <c r="C25" s="529"/>
      <c r="D25" s="76"/>
      <c r="E25" s="76"/>
      <c r="F25" s="555">
        <f>+F22-'1. Sülysáp összesen'!F19</f>
        <v>0</v>
      </c>
      <c r="G25" s="76"/>
      <c r="H25" s="541"/>
      <c r="I25" s="238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">
      <c r="C26" s="529"/>
      <c r="D26" s="76"/>
      <c r="E26" s="76"/>
      <c r="F26" s="555"/>
      <c r="G26" s="76"/>
      <c r="H26" s="541"/>
      <c r="I26" s="23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">
      <c r="A27" s="346" t="s">
        <v>241</v>
      </c>
      <c r="B27" s="346" t="str">
        <f>+B13</f>
        <v>Működési célú tám-ok államháztartáson belülről</v>
      </c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">
      <c r="B28" s="22" t="str">
        <f>+'3. Önk. Kiadások'!A1</f>
        <v>Sülysáp Város Önkormányzat</v>
      </c>
      <c r="C28" s="529">
        <f>+' 2. Önk. Bevételek'!C13</f>
        <v>577146258</v>
      </c>
      <c r="D28" s="75">
        <f>+' 2. Önk. Bevételek'!D13</f>
        <v>588469848</v>
      </c>
      <c r="E28" s="75">
        <f>+' 2. Önk. Bevételek'!E13</f>
        <v>588469848</v>
      </c>
      <c r="F28" s="489">
        <f>+' 2. Önk. Bevételek'!F13</f>
        <v>647637164</v>
      </c>
      <c r="G28" s="75">
        <f>+'3. Önk. Kiadások'!G13</f>
        <v>0</v>
      </c>
      <c r="H28" s="529">
        <f>+' 2. Önk. Bevételek'!H13</f>
        <v>310092946</v>
      </c>
      <c r="I28" s="75">
        <f>+' 2. Önk. Bevételek'!I13</f>
        <v>487769287</v>
      </c>
      <c r="J28" s="75">
        <f>+' 2. Önk. Bevételek'!J13</f>
        <v>646582727</v>
      </c>
      <c r="K28" s="75"/>
      <c r="L28" s="75"/>
      <c r="M28" s="75"/>
      <c r="N28" s="489"/>
      <c r="O28" s="75"/>
      <c r="P28" s="529">
        <f>+' 2. Önk. Bevételek'!P13</f>
        <v>11323590</v>
      </c>
      <c r="Q28" s="75">
        <f>+' 2. Önk. Bevételek'!Q13</f>
        <v>0</v>
      </c>
      <c r="R28" s="75">
        <f>+' 2. Önk. Bevételek'!R13</f>
        <v>59167316</v>
      </c>
      <c r="S28" s="75">
        <f>+' 2. Önk. Bevételek'!S13</f>
        <v>70490906</v>
      </c>
      <c r="T28" s="530"/>
      <c r="U28" s="76"/>
    </row>
    <row r="29" spans="1:22" x14ac:dyDescent="0.2">
      <c r="B29" s="58" t="str">
        <f>+'4. Dr Gáspár HSZK'!A1</f>
        <v>Dr. Gáspár István HSZK</v>
      </c>
      <c r="C29" s="529">
        <f>+'4. Dr Gáspár HSZK'!C93</f>
        <v>0</v>
      </c>
      <c r="D29" s="75">
        <f>+'4. Dr Gáspár HSZK'!D93</f>
        <v>0</v>
      </c>
      <c r="E29" s="75">
        <f>+'4. Dr Gáspár HSZK'!E93</f>
        <v>0</v>
      </c>
      <c r="F29" s="489">
        <f>+'4. Dr Gáspár HSZK'!F93</f>
        <v>0</v>
      </c>
      <c r="G29" s="75"/>
      <c r="H29" s="529">
        <f>+'4. Dr Gáspár HSZK'!H93</f>
        <v>0</v>
      </c>
      <c r="I29" s="75">
        <f>+'4. Dr Gáspár HSZK'!I93</f>
        <v>0</v>
      </c>
      <c r="J29" s="75">
        <f>+'4. Dr Gáspár HSZK'!J93</f>
        <v>0</v>
      </c>
      <c r="K29" s="75"/>
      <c r="L29" s="75"/>
      <c r="M29" s="75"/>
      <c r="N29" s="489"/>
      <c r="O29" s="75"/>
      <c r="P29" s="529">
        <f>+'4. Dr Gáspár HSZK'!P93</f>
        <v>0</v>
      </c>
      <c r="Q29" s="75">
        <f>+'4. Dr Gáspár HSZK'!Q93</f>
        <v>0</v>
      </c>
      <c r="R29" s="75">
        <f>+'4. Dr Gáspár HSZK'!R93</f>
        <v>0</v>
      </c>
      <c r="S29" s="75">
        <f>+'4. Dr Gáspár HSZK'!S93</f>
        <v>0</v>
      </c>
      <c r="T29" s="530"/>
      <c r="U29" s="76"/>
    </row>
    <row r="30" spans="1:22" x14ac:dyDescent="0.2">
      <c r="B30" s="58" t="str">
        <f>+'5. Csicsergő'!A1</f>
        <v>SÜLYSÁPI CSICSERGŐ ÓVODA</v>
      </c>
      <c r="C30" s="529">
        <f>+'5. Csicsergő'!C93</f>
        <v>0</v>
      </c>
      <c r="D30" s="75">
        <f>+'5. Csicsergő'!D93</f>
        <v>0</v>
      </c>
      <c r="E30" s="75">
        <f>+'5. Csicsergő'!E93</f>
        <v>0</v>
      </c>
      <c r="F30" s="489">
        <f>+'5. Csicsergő'!F93</f>
        <v>990000</v>
      </c>
      <c r="G30" s="75"/>
      <c r="H30" s="529">
        <f>+'5. Csicsergő'!H93</f>
        <v>0</v>
      </c>
      <c r="I30" s="75">
        <f>+'5. Csicsergő'!I93</f>
        <v>0</v>
      </c>
      <c r="J30" s="75">
        <f>+'5. Csicsergő'!J93</f>
        <v>990000</v>
      </c>
      <c r="K30" s="75"/>
      <c r="L30" s="75"/>
      <c r="M30" s="75"/>
      <c r="N30" s="489"/>
      <c r="O30" s="75"/>
      <c r="P30" s="529">
        <f>+'5. Csicsergő'!P93</f>
        <v>0</v>
      </c>
      <c r="Q30" s="75">
        <f>+'5. Csicsergő'!Q93</f>
        <v>0</v>
      </c>
      <c r="R30" s="75">
        <f>+'5. Csicsergő'!R93</f>
        <v>990000</v>
      </c>
      <c r="S30" s="75">
        <f>+'5. Csicsergő'!S93</f>
        <v>990000</v>
      </c>
      <c r="T30" s="530"/>
      <c r="U30" s="76"/>
    </row>
    <row r="31" spans="1:22" x14ac:dyDescent="0.2">
      <c r="B31" s="22" t="str">
        <f>+'6. Gólyahír'!A1</f>
        <v>GÓLYAHÍR BÖLCSŐDE</v>
      </c>
      <c r="C31" s="529">
        <f>+'6. Gólyahír'!C93</f>
        <v>0</v>
      </c>
      <c r="D31" s="75">
        <f>+'6. Gólyahír'!D93</f>
        <v>0</v>
      </c>
      <c r="E31" s="75">
        <f>+'6. Gólyahír'!E93</f>
        <v>0</v>
      </c>
      <c r="F31" s="489">
        <f>+'6. Gólyahír'!F93</f>
        <v>0</v>
      </c>
      <c r="G31" s="75"/>
      <c r="H31" s="529">
        <f>+'6. Gólyahír'!H93</f>
        <v>0</v>
      </c>
      <c r="I31" s="75">
        <f>+'6. Gólyahír'!I93</f>
        <v>0</v>
      </c>
      <c r="J31" s="75">
        <f>+'6. Gólyahír'!J93</f>
        <v>0</v>
      </c>
      <c r="K31" s="75"/>
      <c r="L31" s="75"/>
      <c r="M31" s="75"/>
      <c r="N31" s="489"/>
      <c r="O31" s="75"/>
      <c r="P31" s="529">
        <f>+'6. Gólyahír'!P93</f>
        <v>0</v>
      </c>
      <c r="Q31" s="75">
        <f>+'6. Gólyahír'!Q93</f>
        <v>0</v>
      </c>
      <c r="R31" s="75">
        <f>+'6. Gólyahír'!R93</f>
        <v>0</v>
      </c>
      <c r="S31" s="75">
        <f>+'6. Gólyahír'!S93</f>
        <v>0</v>
      </c>
      <c r="T31" s="530"/>
      <c r="U31" s="76"/>
    </row>
    <row r="32" spans="1:22" x14ac:dyDescent="0.2">
      <c r="B32" s="75" t="str">
        <f>+'7. Polg.Hiv.'!A1</f>
        <v>POLGÁRMESTERI HIVATAL</v>
      </c>
      <c r="C32" s="529">
        <f>+'7. Polg.Hiv.'!C93</f>
        <v>0</v>
      </c>
      <c r="D32" s="75">
        <f>+'7. Polg.Hiv.'!D93</f>
        <v>0</v>
      </c>
      <c r="E32" s="75">
        <f>+'7. Polg.Hiv.'!E93</f>
        <v>0</v>
      </c>
      <c r="F32" s="489">
        <f>+'7. Polg.Hiv.'!F93</f>
        <v>310766</v>
      </c>
      <c r="G32" s="75"/>
      <c r="H32" s="529">
        <f>+'7. Polg.Hiv.'!H93</f>
        <v>0</v>
      </c>
      <c r="I32" s="75">
        <f>+'7. Polg.Hiv.'!I93</f>
        <v>413848</v>
      </c>
      <c r="J32" s="75">
        <f>+'7. Polg.Hiv.'!J93</f>
        <v>1241544</v>
      </c>
      <c r="K32" s="75"/>
      <c r="L32" s="75"/>
      <c r="M32" s="75"/>
      <c r="N32" s="489"/>
      <c r="O32" s="75"/>
      <c r="P32" s="529">
        <f>+'7. Polg.Hiv.'!P93</f>
        <v>0</v>
      </c>
      <c r="Q32" s="75">
        <f>+'7. Polg.Hiv.'!Q93</f>
        <v>0</v>
      </c>
      <c r="R32" s="75">
        <f>+'7. Polg.Hiv.'!R93</f>
        <v>310766</v>
      </c>
      <c r="S32" s="75">
        <f>+'7. Polg.Hiv.'!S93</f>
        <v>310766</v>
      </c>
      <c r="T32" s="530"/>
      <c r="U32" s="76"/>
    </row>
    <row r="33" spans="1:21" x14ac:dyDescent="0.2">
      <c r="B33" s="75" t="str">
        <f>+'8. WAMKK'!A1</f>
        <v>Wass Albert Művelődési Központ és Könyvtár</v>
      </c>
      <c r="C33" s="529">
        <f>+'8. WAMKK'!C93</f>
        <v>0</v>
      </c>
      <c r="D33" s="75">
        <f>+'8. WAMKK'!D93</f>
        <v>0</v>
      </c>
      <c r="E33" s="75">
        <f>+'8. WAMKK'!E93</f>
        <v>0</v>
      </c>
      <c r="F33" s="489"/>
      <c r="G33" s="75"/>
      <c r="H33" s="529">
        <f>+'8. WAMKK'!H93</f>
        <v>0</v>
      </c>
      <c r="I33" s="75">
        <f>+'8. WAMKK'!I93</f>
        <v>1000000</v>
      </c>
      <c r="J33" s="75"/>
      <c r="K33" s="75"/>
      <c r="L33" s="75"/>
      <c r="M33" s="75"/>
      <c r="N33" s="489"/>
      <c r="O33" s="75"/>
      <c r="P33" s="529">
        <f>+'8. WAMKK'!P93</f>
        <v>0</v>
      </c>
      <c r="Q33" s="75">
        <f>+'8. WAMKK'!Q93</f>
        <v>0</v>
      </c>
      <c r="R33" s="75">
        <f>+'8. WAMKK'!R93</f>
        <v>1000000</v>
      </c>
      <c r="S33" s="75">
        <f>+'8. WAMKK'!S93</f>
        <v>1000000</v>
      </c>
      <c r="T33" s="530"/>
      <c r="U33" s="76"/>
    </row>
    <row r="34" spans="1:21" x14ac:dyDescent="0.2">
      <c r="B34" s="75" t="str">
        <f>+'9. Közp. Konyha'!A1</f>
        <v>Központi Konyha</v>
      </c>
      <c r="C34" s="529">
        <f>+'9. Közp. Konyha'!C93</f>
        <v>0</v>
      </c>
      <c r="D34" s="75">
        <f>+'9. Közp. Konyha'!D93</f>
        <v>500000</v>
      </c>
      <c r="E34" s="75">
        <f>+'9. Közp. Konyha'!E93</f>
        <v>500000</v>
      </c>
      <c r="F34" s="489">
        <f>+'9. Közp. Konyha'!F93</f>
        <v>500000</v>
      </c>
      <c r="G34" s="75"/>
      <c r="H34" s="529">
        <f>+'9. Közp. Konyha'!H93</f>
        <v>411810</v>
      </c>
      <c r="I34" s="75">
        <f>+'9. Közp. Konyha'!I93</f>
        <v>411810</v>
      </c>
      <c r="J34" s="75">
        <f>+'9. Közp. Konyha'!J93</f>
        <v>411810</v>
      </c>
      <c r="K34" s="75"/>
      <c r="L34" s="75"/>
      <c r="M34" s="75"/>
      <c r="N34" s="489"/>
      <c r="O34" s="75"/>
      <c r="P34" s="529">
        <f>+'9. Közp. Konyha'!P93</f>
        <v>500000</v>
      </c>
      <c r="Q34" s="75">
        <f>+'9. Közp. Konyha'!Q93</f>
        <v>0</v>
      </c>
      <c r="R34" s="75">
        <f>+'9. Közp. Konyha'!R93</f>
        <v>0</v>
      </c>
      <c r="S34" s="75">
        <f>+'9. Közp. Konyha'!S93</f>
        <v>500000</v>
      </c>
      <c r="T34" s="530"/>
      <c r="U34" s="76"/>
    </row>
    <row r="35" spans="1:21" ht="8.1" customHeight="1" x14ac:dyDescent="0.2">
      <c r="B35" s="413" t="s">
        <v>455</v>
      </c>
      <c r="C35" s="531"/>
      <c r="D35" s="412"/>
      <c r="E35" s="412"/>
      <c r="F35" s="542"/>
      <c r="G35" s="412"/>
      <c r="H35" s="531"/>
      <c r="I35" s="412"/>
      <c r="J35" s="412"/>
      <c r="K35" s="412"/>
      <c r="L35" s="412"/>
      <c r="M35" s="412"/>
      <c r="N35" s="542"/>
      <c r="O35" s="412"/>
      <c r="P35" s="531"/>
      <c r="Q35" s="412"/>
      <c r="R35" s="412"/>
      <c r="S35" s="412"/>
      <c r="T35" s="530"/>
      <c r="U35" s="76"/>
    </row>
    <row r="36" spans="1:21" x14ac:dyDescent="0.2">
      <c r="A36" s="414" t="str">
        <f>+A27</f>
        <v>B1</v>
      </c>
      <c r="B36" s="394" t="s">
        <v>448</v>
      </c>
      <c r="C36" s="532">
        <f>SUM(C28:C35)</f>
        <v>577146258</v>
      </c>
      <c r="D36" s="395">
        <f t="shared" ref="D36" si="31">SUM(D28:D35)</f>
        <v>588969848</v>
      </c>
      <c r="E36" s="395">
        <f t="shared" ref="E36" si="32">SUM(E28:E35)</f>
        <v>588969848</v>
      </c>
      <c r="F36" s="543">
        <f t="shared" ref="F36" si="33">SUM(F28:F35)</f>
        <v>649437930</v>
      </c>
      <c r="G36" s="395"/>
      <c r="H36" s="532">
        <f>SUM(H28:H35)</f>
        <v>310504756</v>
      </c>
      <c r="I36" s="395">
        <f t="shared" ref="I36" si="34">SUM(I28:I35)</f>
        <v>489594945</v>
      </c>
      <c r="J36" s="395">
        <f t="shared" ref="J36" si="35">SUM(J28:J35)</f>
        <v>649226081</v>
      </c>
      <c r="K36" s="395"/>
      <c r="L36" s="395"/>
      <c r="M36" s="395"/>
      <c r="N36" s="543"/>
      <c r="O36" s="395"/>
      <c r="P36" s="532">
        <f>SUM(P28:P35)</f>
        <v>11823590</v>
      </c>
      <c r="Q36" s="395">
        <f t="shared" ref="Q36" si="36">SUM(Q28:Q35)</f>
        <v>0</v>
      </c>
      <c r="R36" s="395">
        <f t="shared" ref="R36" si="37">SUM(R28:R35)</f>
        <v>61468082</v>
      </c>
      <c r="S36" s="395">
        <f t="shared" ref="S36" si="38">SUM(S28:S35)</f>
        <v>73291672</v>
      </c>
      <c r="T36" s="530"/>
      <c r="U36" s="76"/>
    </row>
    <row r="37" spans="1:21" x14ac:dyDescent="0.2">
      <c r="C37" s="529"/>
      <c r="D37" s="76"/>
      <c r="E37" s="76"/>
      <c r="F37" s="555"/>
      <c r="G37" s="76"/>
      <c r="H37" s="529"/>
      <c r="K37" s="76"/>
      <c r="L37" s="93"/>
      <c r="M37" s="93"/>
      <c r="N37" s="530"/>
      <c r="O37" s="76"/>
      <c r="P37" s="529"/>
      <c r="Q37" s="75"/>
      <c r="R37" s="75"/>
      <c r="S37" s="75"/>
      <c r="T37" s="530"/>
      <c r="U37" s="76"/>
    </row>
    <row r="38" spans="1:21" x14ac:dyDescent="0.2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">
      <c r="A39" s="346" t="s">
        <v>262</v>
      </c>
      <c r="B39" s="346" t="str">
        <f>+B14</f>
        <v>Felhalmozási célú tám-ok államházt-on belülről</v>
      </c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">
      <c r="B40" s="58" t="str">
        <f t="shared" ref="B40:B46" si="39">+B28</f>
        <v>Sülysáp Város Önkormányzat</v>
      </c>
      <c r="C40" s="529">
        <f>+' 2. Önk. Bevételek'!C30</f>
        <v>175000000</v>
      </c>
      <c r="D40" s="75">
        <f>+' 2. Önk. Bevételek'!D30</f>
        <v>580968123</v>
      </c>
      <c r="E40" s="75">
        <f>+' 2. Önk. Bevételek'!E30</f>
        <v>759461472</v>
      </c>
      <c r="F40" s="489">
        <f>+' 2. Önk. Bevételek'!F30</f>
        <v>675428584</v>
      </c>
      <c r="G40" s="76"/>
      <c r="H40" s="529">
        <f>+' 2. Önk. Bevételek'!H30</f>
        <v>505968123</v>
      </c>
      <c r="I40" s="75">
        <f>+' 2. Önk. Bevételek'!I30</f>
        <v>607324056</v>
      </c>
      <c r="J40" s="75">
        <f>+' 2. Önk. Bevételek'!J30</f>
        <v>702475950</v>
      </c>
      <c r="K40" s="76"/>
      <c r="L40" s="93"/>
      <c r="M40" s="93"/>
      <c r="N40" s="530"/>
      <c r="O40" s="76"/>
      <c r="P40" s="529">
        <f>+' 2. Önk. Bevételek'!P30</f>
        <v>405968123</v>
      </c>
      <c r="Q40" s="75">
        <f>+' 2. Önk. Bevételek'!Q30</f>
        <v>178493349</v>
      </c>
      <c r="R40" s="75">
        <f>+' 2. Önk. Bevételek'!R30</f>
        <v>-84032888</v>
      </c>
      <c r="S40" s="75">
        <f>+' 2. Önk. Bevételek'!S30</f>
        <v>500428584</v>
      </c>
      <c r="T40" s="530"/>
      <c r="U40" s="76"/>
    </row>
    <row r="41" spans="1:21" x14ac:dyDescent="0.2">
      <c r="B41" s="58" t="str">
        <f t="shared" si="39"/>
        <v>Dr. Gáspár István HSZK</v>
      </c>
      <c r="C41" s="529"/>
      <c r="D41" s="75"/>
      <c r="E41" s="75"/>
      <c r="F41" s="489"/>
      <c r="G41" s="75"/>
      <c r="H41" s="529"/>
      <c r="I41" s="75"/>
      <c r="J41" s="75"/>
      <c r="K41" s="75"/>
      <c r="L41" s="75"/>
      <c r="M41" s="75"/>
      <c r="N41" s="489"/>
      <c r="O41" s="75"/>
      <c r="P41" s="529"/>
      <c r="Q41" s="75"/>
      <c r="R41" s="75"/>
      <c r="S41" s="75"/>
      <c r="T41" s="530"/>
      <c r="U41" s="76"/>
    </row>
    <row r="42" spans="1:21" x14ac:dyDescent="0.2">
      <c r="B42" s="58" t="str">
        <f t="shared" si="39"/>
        <v>SÜLYSÁPI CSICSERGŐ ÓVODA</v>
      </c>
      <c r="C42" s="529"/>
      <c r="D42" s="75"/>
      <c r="E42" s="75"/>
      <c r="F42" s="489">
        <f>+'5. Csicsergő'!F94</f>
        <v>260000</v>
      </c>
      <c r="G42" s="75"/>
      <c r="H42" s="529"/>
      <c r="I42" s="75"/>
      <c r="J42" s="75">
        <f>+'5. Csicsergő'!J94</f>
        <v>260000</v>
      </c>
      <c r="K42" s="75"/>
      <c r="L42" s="75"/>
      <c r="M42" s="75"/>
      <c r="N42" s="489"/>
      <c r="O42" s="75"/>
      <c r="P42" s="529"/>
      <c r="Q42" s="75"/>
      <c r="R42" s="75"/>
      <c r="S42" s="75"/>
      <c r="T42" s="530"/>
      <c r="U42" s="76"/>
    </row>
    <row r="43" spans="1:21" x14ac:dyDescent="0.2">
      <c r="B43" s="58" t="str">
        <f t="shared" si="39"/>
        <v>GÓLYAHÍR BÖLCSŐDE</v>
      </c>
      <c r="C43" s="529"/>
      <c r="D43" s="75"/>
      <c r="E43" s="75"/>
      <c r="F43" s="489"/>
      <c r="G43" s="75"/>
      <c r="H43" s="529"/>
      <c r="I43" s="75"/>
      <c r="J43" s="75"/>
      <c r="K43" s="75"/>
      <c r="L43" s="75"/>
      <c r="M43" s="75"/>
      <c r="N43" s="489"/>
      <c r="O43" s="75"/>
      <c r="P43" s="529"/>
      <c r="Q43" s="75"/>
      <c r="R43" s="75"/>
      <c r="S43" s="75"/>
      <c r="T43" s="530"/>
      <c r="U43" s="76"/>
    </row>
    <row r="44" spans="1:21" x14ac:dyDescent="0.2">
      <c r="B44" s="58" t="str">
        <f t="shared" si="39"/>
        <v>POLGÁRMESTERI HIVATAL</v>
      </c>
      <c r="C44" s="529"/>
      <c r="D44" s="75"/>
      <c r="E44" s="75"/>
      <c r="F44" s="489"/>
      <c r="G44" s="75"/>
      <c r="H44" s="529"/>
      <c r="I44" s="75"/>
      <c r="J44" s="75"/>
      <c r="K44" s="75"/>
      <c r="L44" s="75"/>
      <c r="M44" s="75"/>
      <c r="N44" s="489"/>
      <c r="O44" s="75"/>
      <c r="P44" s="529"/>
      <c r="Q44" s="75"/>
      <c r="R44" s="75"/>
      <c r="S44" s="75"/>
      <c r="T44" s="530"/>
      <c r="U44" s="76"/>
    </row>
    <row r="45" spans="1:21" x14ac:dyDescent="0.2">
      <c r="B45" s="58" t="str">
        <f t="shared" si="39"/>
        <v>Wass Albert Művelődési Központ és Könyvtár</v>
      </c>
      <c r="C45" s="529"/>
      <c r="D45" s="75"/>
      <c r="E45" s="75"/>
      <c r="F45" s="489"/>
      <c r="G45" s="75"/>
      <c r="H45" s="529"/>
      <c r="I45" s="75"/>
      <c r="J45" s="75"/>
      <c r="K45" s="75"/>
      <c r="L45" s="75"/>
      <c r="M45" s="75"/>
      <c r="N45" s="489"/>
      <c r="O45" s="75"/>
      <c r="P45" s="529"/>
      <c r="Q45" s="75"/>
      <c r="R45" s="75"/>
      <c r="S45" s="75"/>
      <c r="T45" s="530"/>
      <c r="U45" s="76"/>
    </row>
    <row r="46" spans="1:21" x14ac:dyDescent="0.2">
      <c r="B46" s="58" t="str">
        <f t="shared" si="39"/>
        <v>Központi Konyha</v>
      </c>
      <c r="C46" s="529"/>
      <c r="D46" s="75"/>
      <c r="E46" s="75"/>
      <c r="F46" s="489"/>
      <c r="G46" s="75"/>
      <c r="H46" s="529"/>
      <c r="I46" s="75"/>
      <c r="J46" s="75"/>
      <c r="K46" s="75"/>
      <c r="L46" s="75"/>
      <c r="M46" s="75"/>
      <c r="N46" s="489"/>
      <c r="O46" s="75"/>
      <c r="P46" s="529"/>
      <c r="Q46" s="75"/>
      <c r="R46" s="75"/>
      <c r="S46" s="75"/>
      <c r="T46" s="530"/>
      <c r="U46" s="76"/>
    </row>
    <row r="47" spans="1:21" ht="8.1" customHeight="1" x14ac:dyDescent="0.2">
      <c r="B47" s="413" t="s">
        <v>455</v>
      </c>
      <c r="C47" s="531"/>
      <c r="D47" s="412"/>
      <c r="E47" s="412"/>
      <c r="F47" s="542"/>
      <c r="G47" s="412"/>
      <c r="H47" s="531"/>
      <c r="I47" s="412"/>
      <c r="J47" s="412"/>
      <c r="K47" s="412"/>
      <c r="L47" s="412"/>
      <c r="M47" s="412"/>
      <c r="N47" s="542"/>
      <c r="O47" s="412"/>
      <c r="P47" s="531"/>
      <c r="Q47" s="412"/>
      <c r="R47" s="412"/>
      <c r="S47" s="412"/>
      <c r="T47" s="530"/>
      <c r="U47" s="76"/>
    </row>
    <row r="48" spans="1:21" x14ac:dyDescent="0.2">
      <c r="A48" s="414" t="str">
        <f>+A39</f>
        <v>B2</v>
      </c>
      <c r="B48" s="394" t="s">
        <v>448</v>
      </c>
      <c r="C48" s="532">
        <f>SUM(C40:C47)</f>
        <v>175000000</v>
      </c>
      <c r="D48" s="395">
        <f t="shared" ref="D48" si="40">SUM(D40:D47)</f>
        <v>580968123</v>
      </c>
      <c r="E48" s="395">
        <f t="shared" ref="E48" si="41">SUM(E40:E47)</f>
        <v>759461472</v>
      </c>
      <c r="F48" s="543">
        <f t="shared" ref="F48" si="42">SUM(F40:F47)</f>
        <v>675688584</v>
      </c>
      <c r="G48" s="395"/>
      <c r="H48" s="532">
        <f>SUM(H40:H47)</f>
        <v>505968123</v>
      </c>
      <c r="I48" s="395">
        <f t="shared" ref="I48" si="43">SUM(I40:I47)</f>
        <v>607324056</v>
      </c>
      <c r="J48" s="395">
        <f t="shared" ref="J48" si="44">SUM(J40:J47)</f>
        <v>702735950</v>
      </c>
      <c r="K48" s="395"/>
      <c r="L48" s="395"/>
      <c r="M48" s="395"/>
      <c r="N48" s="543"/>
      <c r="O48" s="395"/>
      <c r="P48" s="532">
        <f>SUM(P40:P47)</f>
        <v>405968123</v>
      </c>
      <c r="Q48" s="395">
        <f t="shared" ref="Q48" si="45">SUM(Q40:Q47)</f>
        <v>178493349</v>
      </c>
      <c r="R48" s="395">
        <f t="shared" ref="R48" si="46">SUM(R40:R47)</f>
        <v>-84032888</v>
      </c>
      <c r="S48" s="395">
        <f t="shared" ref="S48" si="47">SUM(S40:S47)</f>
        <v>500428584</v>
      </c>
      <c r="T48" s="530"/>
      <c r="U48" s="76"/>
    </row>
    <row r="49" spans="1:21" x14ac:dyDescent="0.2">
      <c r="C49" s="529"/>
      <c r="D49" s="76"/>
      <c r="E49" s="76"/>
      <c r="F49" s="555"/>
      <c r="G49" s="76"/>
      <c r="H49" s="529"/>
      <c r="K49" s="76"/>
      <c r="L49" s="93"/>
      <c r="M49" s="93"/>
      <c r="N49" s="530"/>
      <c r="O49" s="76"/>
      <c r="P49" s="529"/>
      <c r="Q49" s="75"/>
      <c r="R49" s="75"/>
      <c r="S49" s="75"/>
      <c r="T49" s="530"/>
      <c r="U49" s="76"/>
    </row>
    <row r="50" spans="1:21" x14ac:dyDescent="0.2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">
      <c r="A51" s="346" t="s">
        <v>270</v>
      </c>
      <c r="B51" s="411" t="str">
        <f>+B15</f>
        <v>Közhatalmi bevételek</v>
      </c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">
      <c r="B52" s="58" t="str">
        <f t="shared" ref="B52:B58" si="48">+B40</f>
        <v>Sülysáp Város Önkormányzat</v>
      </c>
      <c r="C52" s="529">
        <f>+' 2. Önk. Bevételek'!C39</f>
        <v>198244647</v>
      </c>
      <c r="D52" s="75">
        <f>+' 2. Önk. Bevételek'!D39</f>
        <v>198244647</v>
      </c>
      <c r="E52" s="75">
        <f>+' 2. Önk. Bevételek'!E39</f>
        <v>198244647</v>
      </c>
      <c r="F52" s="489">
        <f>+' 2. Önk. Bevételek'!F39</f>
        <v>202101569</v>
      </c>
      <c r="G52" s="76"/>
      <c r="H52" s="529">
        <f>+' 2. Önk. Bevételek'!H39</f>
        <v>110800513</v>
      </c>
      <c r="I52" s="75">
        <f>+' 2. Önk. Bevételek'!I39</f>
        <v>168764227</v>
      </c>
      <c r="J52" s="75">
        <f>+' 2. Önk. Bevételek'!J39</f>
        <v>219393130</v>
      </c>
      <c r="K52" s="76"/>
      <c r="L52" s="93"/>
      <c r="M52" s="93"/>
      <c r="N52" s="530"/>
      <c r="O52" s="76"/>
      <c r="P52" s="529">
        <f>+' 2. Önk. Bevételek'!P39</f>
        <v>0</v>
      </c>
      <c r="Q52" s="75">
        <f>+' 2. Önk. Bevételek'!Q39</f>
        <v>0</v>
      </c>
      <c r="R52" s="75">
        <f>+' 2. Önk. Bevételek'!R39</f>
        <v>3856922</v>
      </c>
      <c r="S52" s="75">
        <f>+' 2. Önk. Bevételek'!S39</f>
        <v>3856922</v>
      </c>
      <c r="T52" s="530"/>
      <c r="U52" s="76"/>
    </row>
    <row r="53" spans="1:21" x14ac:dyDescent="0.2">
      <c r="A53" s="58"/>
      <c r="B53" s="58" t="str">
        <f t="shared" si="48"/>
        <v>Dr. Gáspár István HSZK</v>
      </c>
      <c r="C53" s="529"/>
      <c r="D53" s="75"/>
      <c r="E53" s="75"/>
      <c r="F53" s="489"/>
      <c r="G53" s="75"/>
      <c r="H53" s="529"/>
      <c r="I53" s="75"/>
      <c r="J53" s="75"/>
      <c r="K53" s="75"/>
      <c r="L53" s="75"/>
      <c r="M53" s="75"/>
      <c r="N53" s="489"/>
      <c r="O53" s="75"/>
      <c r="P53" s="529"/>
      <c r="Q53" s="75"/>
      <c r="R53" s="75"/>
      <c r="S53" s="75"/>
      <c r="T53" s="530"/>
      <c r="U53" s="76"/>
    </row>
    <row r="54" spans="1:21" x14ac:dyDescent="0.2">
      <c r="B54" s="58" t="str">
        <f t="shared" si="48"/>
        <v>SÜLYSÁPI CSICSERGŐ ÓVODA</v>
      </c>
      <c r="C54" s="529"/>
      <c r="D54" s="75"/>
      <c r="E54" s="75"/>
      <c r="F54" s="489"/>
      <c r="G54" s="75"/>
      <c r="H54" s="529"/>
      <c r="I54" s="75"/>
      <c r="J54" s="75"/>
      <c r="K54" s="75"/>
      <c r="L54" s="75"/>
      <c r="M54" s="75"/>
      <c r="N54" s="489"/>
      <c r="O54" s="75"/>
      <c r="P54" s="529"/>
      <c r="Q54" s="75"/>
      <c r="R54" s="75"/>
      <c r="S54" s="75"/>
      <c r="T54" s="530"/>
      <c r="U54" s="76"/>
    </row>
    <row r="55" spans="1:21" x14ac:dyDescent="0.2">
      <c r="B55" s="58" t="str">
        <f t="shared" si="48"/>
        <v>GÓLYAHÍR BÖLCSŐDE</v>
      </c>
      <c r="C55" s="529"/>
      <c r="D55" s="75"/>
      <c r="E55" s="75"/>
      <c r="F55" s="489"/>
      <c r="G55" s="75"/>
      <c r="H55" s="529"/>
      <c r="I55" s="75"/>
      <c r="J55" s="75"/>
      <c r="K55" s="75"/>
      <c r="L55" s="75"/>
      <c r="M55" s="75"/>
      <c r="N55" s="489"/>
      <c r="O55" s="75"/>
      <c r="P55" s="529"/>
      <c r="Q55" s="75"/>
      <c r="R55" s="75"/>
      <c r="S55" s="75"/>
      <c r="T55" s="530"/>
      <c r="U55" s="76"/>
    </row>
    <row r="56" spans="1:21" x14ac:dyDescent="0.2">
      <c r="B56" s="58" t="str">
        <f t="shared" si="48"/>
        <v>POLGÁRMESTERI HIVATAL</v>
      </c>
      <c r="C56" s="529"/>
      <c r="D56" s="75"/>
      <c r="E56" s="75"/>
      <c r="F56" s="489"/>
      <c r="G56" s="75"/>
      <c r="H56" s="529"/>
      <c r="I56" s="75"/>
      <c r="J56" s="75"/>
      <c r="K56" s="75"/>
      <c r="L56" s="75"/>
      <c r="M56" s="75"/>
      <c r="N56" s="489"/>
      <c r="O56" s="75"/>
      <c r="P56" s="529"/>
      <c r="Q56" s="75"/>
      <c r="R56" s="75"/>
      <c r="S56" s="75"/>
      <c r="T56" s="530"/>
      <c r="U56" s="76"/>
    </row>
    <row r="57" spans="1:21" x14ac:dyDescent="0.2">
      <c r="B57" s="58" t="str">
        <f t="shared" si="48"/>
        <v>Wass Albert Művelődési Központ és Könyvtár</v>
      </c>
      <c r="C57" s="529"/>
      <c r="D57" s="75"/>
      <c r="E57" s="75"/>
      <c r="F57" s="489"/>
      <c r="G57" s="75"/>
      <c r="H57" s="529"/>
      <c r="I57" s="75"/>
      <c r="J57" s="75"/>
      <c r="K57" s="75"/>
      <c r="L57" s="75"/>
      <c r="M57" s="75"/>
      <c r="N57" s="489"/>
      <c r="O57" s="75"/>
      <c r="P57" s="529"/>
      <c r="Q57" s="75"/>
      <c r="R57" s="75"/>
      <c r="S57" s="75"/>
      <c r="T57" s="530"/>
      <c r="U57" s="76"/>
    </row>
    <row r="58" spans="1:21" x14ac:dyDescent="0.2">
      <c r="B58" s="58" t="str">
        <f t="shared" si="48"/>
        <v>Központi Konyha</v>
      </c>
      <c r="C58" s="529"/>
      <c r="D58" s="75"/>
      <c r="E58" s="75"/>
      <c r="F58" s="489"/>
      <c r="G58" s="75"/>
      <c r="H58" s="529"/>
      <c r="I58" s="75"/>
      <c r="J58" s="75"/>
      <c r="K58" s="75"/>
      <c r="L58" s="75"/>
      <c r="M58" s="75"/>
      <c r="N58" s="489"/>
      <c r="O58" s="75"/>
      <c r="P58" s="529"/>
      <c r="Q58" s="75"/>
      <c r="R58" s="75"/>
      <c r="S58" s="75"/>
      <c r="T58" s="530"/>
      <c r="U58" s="76"/>
    </row>
    <row r="59" spans="1:21" ht="8.1" customHeight="1" x14ac:dyDescent="0.2">
      <c r="B59" s="413" t="s">
        <v>455</v>
      </c>
      <c r="C59" s="531"/>
      <c r="D59" s="412"/>
      <c r="E59" s="412"/>
      <c r="F59" s="542"/>
      <c r="G59" s="412"/>
      <c r="H59" s="531"/>
      <c r="I59" s="412"/>
      <c r="J59" s="412"/>
      <c r="K59" s="412"/>
      <c r="L59" s="412"/>
      <c r="M59" s="412"/>
      <c r="N59" s="542"/>
      <c r="O59" s="412"/>
      <c r="P59" s="531"/>
      <c r="Q59" s="412"/>
      <c r="R59" s="412"/>
      <c r="S59" s="412"/>
      <c r="T59" s="530"/>
      <c r="U59" s="76"/>
    </row>
    <row r="60" spans="1:21" x14ac:dyDescent="0.2">
      <c r="A60" s="414" t="str">
        <f>+A51</f>
        <v>B3</v>
      </c>
      <c r="B60" s="394" t="s">
        <v>448</v>
      </c>
      <c r="C60" s="532">
        <f>SUM(C52:C59)</f>
        <v>198244647</v>
      </c>
      <c r="D60" s="395">
        <f t="shared" ref="D60:F60" si="49">SUM(D52:D59)</f>
        <v>198244647</v>
      </c>
      <c r="E60" s="395">
        <f t="shared" si="49"/>
        <v>198244647</v>
      </c>
      <c r="F60" s="543">
        <f t="shared" si="49"/>
        <v>202101569</v>
      </c>
      <c r="G60" s="395"/>
      <c r="H60" s="532">
        <f>SUM(H52:H59)</f>
        <v>110800513</v>
      </c>
      <c r="I60" s="395">
        <f t="shared" ref="I60:J60" si="50">SUM(I52:I59)</f>
        <v>168764227</v>
      </c>
      <c r="J60" s="395">
        <f t="shared" si="50"/>
        <v>219393130</v>
      </c>
      <c r="K60" s="395"/>
      <c r="L60" s="395"/>
      <c r="M60" s="395"/>
      <c r="N60" s="543"/>
      <c r="O60" s="395"/>
      <c r="P60" s="532">
        <f>SUM(P52:P59)</f>
        <v>0</v>
      </c>
      <c r="Q60" s="395">
        <f t="shared" ref="Q60:S60" si="51">SUM(Q52:Q59)</f>
        <v>0</v>
      </c>
      <c r="R60" s="395">
        <f t="shared" si="51"/>
        <v>3856922</v>
      </c>
      <c r="S60" s="395">
        <f t="shared" si="51"/>
        <v>3856922</v>
      </c>
      <c r="T60" s="530"/>
      <c r="U60" s="76"/>
    </row>
    <row r="61" spans="1:21" x14ac:dyDescent="0.2">
      <c r="C61" s="529"/>
      <c r="D61" s="76"/>
      <c r="E61" s="76"/>
      <c r="F61" s="555"/>
      <c r="G61" s="76"/>
      <c r="H61" s="529"/>
      <c r="K61" s="76"/>
      <c r="L61" s="93"/>
      <c r="M61" s="93"/>
      <c r="N61" s="530"/>
      <c r="O61" s="76"/>
      <c r="P61" s="529"/>
      <c r="Q61" s="75"/>
      <c r="R61" s="75"/>
      <c r="S61" s="75"/>
      <c r="T61" s="530"/>
      <c r="U61" s="76"/>
    </row>
    <row r="62" spans="1:21" x14ac:dyDescent="0.2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">
      <c r="A63" s="346" t="s">
        <v>284</v>
      </c>
      <c r="B63" s="346" t="str">
        <f>+B16</f>
        <v>Működési bevételek</v>
      </c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">
      <c r="B64" s="58" t="str">
        <f t="shared" ref="B64:B70" si="52">+B52</f>
        <v>Sülysáp Város Önkormányzat</v>
      </c>
      <c r="C64" s="529">
        <f>+' 2. Önk. Bevételek'!C50</f>
        <v>70826000</v>
      </c>
      <c r="D64" s="75">
        <f>+' 2. Önk. Bevételek'!D50</f>
        <v>70826000</v>
      </c>
      <c r="E64" s="75">
        <f>+' 2. Önk. Bevételek'!E50</f>
        <v>70826000</v>
      </c>
      <c r="F64" s="489">
        <f>+' 2. Önk. Bevételek'!F50</f>
        <v>71197000</v>
      </c>
      <c r="G64" s="76"/>
      <c r="H64" s="529">
        <f>+' 2. Önk. Bevételek'!H50</f>
        <v>53883694</v>
      </c>
      <c r="I64" s="75">
        <f>+' 2. Önk. Bevételek'!I50</f>
        <v>75275766</v>
      </c>
      <c r="J64" s="75">
        <f>+' 2. Önk. Bevételek'!J50</f>
        <v>92590922</v>
      </c>
      <c r="K64" s="76"/>
      <c r="L64" s="93"/>
      <c r="M64" s="93"/>
      <c r="N64" s="530"/>
      <c r="O64" s="76"/>
      <c r="P64" s="529">
        <f>+' 2. Önk. Bevételek'!P50</f>
        <v>0</v>
      </c>
      <c r="Q64" s="75">
        <f>+' 2. Önk. Bevételek'!Q50</f>
        <v>0</v>
      </c>
      <c r="R64" s="75">
        <f>+' 2. Önk. Bevételek'!R50</f>
        <v>371000</v>
      </c>
      <c r="S64" s="75">
        <f>+' 2. Önk. Bevételek'!S50</f>
        <v>371000</v>
      </c>
      <c r="T64" s="530"/>
      <c r="U64" s="76"/>
    </row>
    <row r="65" spans="1:21" x14ac:dyDescent="0.2">
      <c r="A65" s="58"/>
      <c r="B65" s="58" t="str">
        <f t="shared" si="52"/>
        <v>Dr. Gáspár István HSZK</v>
      </c>
      <c r="C65" s="529">
        <f>+'4. Dr Gáspár HSZK'!C95</f>
        <v>8135000</v>
      </c>
      <c r="D65" s="75">
        <f>+'4. Dr Gáspár HSZK'!D95</f>
        <v>8135000</v>
      </c>
      <c r="E65" s="75">
        <f>+'4. Dr Gáspár HSZK'!E95</f>
        <v>8135000</v>
      </c>
      <c r="F65" s="489">
        <f>+'4. Dr Gáspár HSZK'!F95</f>
        <v>8201000</v>
      </c>
      <c r="G65" s="75"/>
      <c r="H65" s="529">
        <f>+'4. Dr Gáspár HSZK'!H95</f>
        <v>3968495</v>
      </c>
      <c r="I65" s="75">
        <f>+'4. Dr Gáspár HSZK'!I95</f>
        <v>5851709</v>
      </c>
      <c r="J65" s="75">
        <f>+'4. Dr Gáspár HSZK'!J95</f>
        <v>8169050</v>
      </c>
      <c r="K65" s="75"/>
      <c r="L65" s="75"/>
      <c r="M65" s="75"/>
      <c r="N65" s="489"/>
      <c r="O65" s="75"/>
      <c r="P65" s="529">
        <f>+'4. Dr Gáspár HSZK'!P95</f>
        <v>0</v>
      </c>
      <c r="Q65" s="75">
        <f>+'4. Dr Gáspár HSZK'!Q95</f>
        <v>0</v>
      </c>
      <c r="R65" s="75">
        <f>+'4. Dr Gáspár HSZK'!R95</f>
        <v>66000</v>
      </c>
      <c r="S65" s="75">
        <f>+'4. Dr Gáspár HSZK'!S95</f>
        <v>66000</v>
      </c>
      <c r="T65" s="530"/>
      <c r="U65" s="76"/>
    </row>
    <row r="66" spans="1:21" x14ac:dyDescent="0.2">
      <c r="B66" s="58" t="str">
        <f t="shared" si="52"/>
        <v>SÜLYSÁPI CSICSERGŐ ÓVODA</v>
      </c>
      <c r="C66" s="529">
        <f>+'5. Csicsergő'!C95</f>
        <v>0</v>
      </c>
      <c r="D66" s="75">
        <f>+'5. Csicsergő'!D95</f>
        <v>6000</v>
      </c>
      <c r="E66" s="75">
        <f>+'5. Csicsergő'!E95</f>
        <v>6000</v>
      </c>
      <c r="F66" s="489">
        <f>+'5. Csicsergő'!F95</f>
        <v>262428</v>
      </c>
      <c r="G66" s="75"/>
      <c r="H66" s="529">
        <f>+'5. Csicsergő'!H95</f>
        <v>2952</v>
      </c>
      <c r="I66" s="75">
        <f>+'5. Csicsergő'!I95</f>
        <v>3719</v>
      </c>
      <c r="J66" s="75">
        <f>+'5. Csicsergő'!J95</f>
        <v>261564</v>
      </c>
      <c r="K66" s="75"/>
      <c r="L66" s="75"/>
      <c r="M66" s="75"/>
      <c r="N66" s="489"/>
      <c r="O66" s="75"/>
      <c r="P66" s="529">
        <f>+'5. Csicsergő'!P95</f>
        <v>6000</v>
      </c>
      <c r="Q66" s="75">
        <f>+'5. Csicsergő'!Q95</f>
        <v>0</v>
      </c>
      <c r="R66" s="75">
        <f>+'5. Csicsergő'!R95</f>
        <v>256428</v>
      </c>
      <c r="S66" s="75">
        <f>+'5. Csicsergő'!S95</f>
        <v>262428</v>
      </c>
      <c r="T66" s="530"/>
      <c r="U66" s="76"/>
    </row>
    <row r="67" spans="1:21" x14ac:dyDescent="0.2">
      <c r="B67" s="58" t="str">
        <f t="shared" si="52"/>
        <v>GÓLYAHÍR BÖLCSŐDE</v>
      </c>
      <c r="C67" s="529">
        <f>+'6. Gólyahír'!C95</f>
        <v>3733000</v>
      </c>
      <c r="D67" s="75">
        <f>+'6. Gólyahír'!D95</f>
        <v>3733000</v>
      </c>
      <c r="E67" s="75">
        <f>+'6. Gólyahír'!E95</f>
        <v>3733000</v>
      </c>
      <c r="F67" s="489">
        <f>+'6. Gólyahír'!F95</f>
        <v>4868500</v>
      </c>
      <c r="G67" s="75"/>
      <c r="H67" s="529">
        <f>+'6. Gólyahír'!H95</f>
        <v>2041073</v>
      </c>
      <c r="I67" s="75">
        <f>+'6. Gólyahír'!I95</f>
        <v>2996339</v>
      </c>
      <c r="J67" s="75">
        <f>+'6. Gólyahír'!J95</f>
        <v>3813722</v>
      </c>
      <c r="K67" s="75"/>
      <c r="L67" s="75"/>
      <c r="M67" s="75"/>
      <c r="N67" s="489"/>
      <c r="O67" s="75"/>
      <c r="P67" s="529">
        <f>+'6. Gólyahír'!P95</f>
        <v>0</v>
      </c>
      <c r="Q67" s="75">
        <f>+'6. Gólyahír'!Q95</f>
        <v>0</v>
      </c>
      <c r="R67" s="75">
        <f>+'6. Gólyahír'!R95</f>
        <v>1135500</v>
      </c>
      <c r="S67" s="75">
        <f>+'6. Gólyahír'!S95</f>
        <v>1135500</v>
      </c>
      <c r="T67" s="530"/>
      <c r="U67" s="76"/>
    </row>
    <row r="68" spans="1:21" x14ac:dyDescent="0.2">
      <c r="B68" s="58" t="str">
        <f t="shared" si="52"/>
        <v>POLGÁRMESTERI HIVATAL</v>
      </c>
      <c r="C68" s="529">
        <f>+'7. Polg.Hiv.'!C95</f>
        <v>0</v>
      </c>
      <c r="D68" s="75">
        <f>+'7. Polg.Hiv.'!D95</f>
        <v>0</v>
      </c>
      <c r="E68" s="75">
        <f>+'7. Polg.Hiv.'!E95</f>
        <v>271276</v>
      </c>
      <c r="F68" s="489">
        <f>+'7. Polg.Hiv.'!F95</f>
        <v>271276</v>
      </c>
      <c r="G68" s="75"/>
      <c r="H68" s="529">
        <f>+'7. Polg.Hiv.'!H95</f>
        <v>3822</v>
      </c>
      <c r="I68" s="75">
        <f>+'7. Polg.Hiv.'!I95</f>
        <v>284276</v>
      </c>
      <c r="J68" s="75">
        <f>+'7. Polg.Hiv.'!J95</f>
        <v>363847</v>
      </c>
      <c r="K68" s="75"/>
      <c r="L68" s="75"/>
      <c r="M68" s="75"/>
      <c r="N68" s="489"/>
      <c r="O68" s="75"/>
      <c r="P68" s="529">
        <f>+'7. Polg.Hiv.'!P95</f>
        <v>0</v>
      </c>
      <c r="Q68" s="75">
        <f>+'7. Polg.Hiv.'!Q95</f>
        <v>271276</v>
      </c>
      <c r="R68" s="75">
        <f>+'7. Polg.Hiv.'!R95</f>
        <v>0</v>
      </c>
      <c r="S68" s="75">
        <f>+'7. Polg.Hiv.'!S95</f>
        <v>271276</v>
      </c>
      <c r="T68" s="530"/>
      <c r="U68" s="76"/>
    </row>
    <row r="69" spans="1:21" x14ac:dyDescent="0.2">
      <c r="B69" s="58" t="str">
        <f t="shared" si="52"/>
        <v>Wass Albert Művelődési Központ és Könyvtár</v>
      </c>
      <c r="C69" s="529">
        <f>+'8. WAMKK'!C95</f>
        <v>1521000</v>
      </c>
      <c r="D69" s="75">
        <f>+'8. WAMKK'!D95</f>
        <v>1521000</v>
      </c>
      <c r="E69" s="75">
        <f>+'8. WAMKK'!E95</f>
        <v>1521000</v>
      </c>
      <c r="F69" s="489">
        <f>+'8. WAMKK'!F95</f>
        <v>1978750</v>
      </c>
      <c r="G69" s="75"/>
      <c r="H69" s="529">
        <f>+'8. WAMKK'!H95</f>
        <v>749529</v>
      </c>
      <c r="I69" s="75">
        <f>+'8. WAMKK'!I95</f>
        <v>1303489</v>
      </c>
      <c r="J69" s="75">
        <f>+'8. WAMKK'!J95</f>
        <v>1990009</v>
      </c>
      <c r="K69" s="75"/>
      <c r="L69" s="75"/>
      <c r="M69" s="75"/>
      <c r="N69" s="489"/>
      <c r="O69" s="75"/>
      <c r="P69" s="529">
        <f>+'8. WAMKK'!P95</f>
        <v>0</v>
      </c>
      <c r="Q69" s="75">
        <f>+'8. WAMKK'!Q95</f>
        <v>0</v>
      </c>
      <c r="R69" s="75">
        <f>+'8. WAMKK'!R95</f>
        <v>457750</v>
      </c>
      <c r="S69" s="75">
        <f>+'8. WAMKK'!S95</f>
        <v>457750</v>
      </c>
      <c r="T69" s="530"/>
      <c r="U69" s="76"/>
    </row>
    <row r="70" spans="1:21" x14ac:dyDescent="0.2">
      <c r="B70" s="58" t="str">
        <f t="shared" si="52"/>
        <v>Központi Konyha</v>
      </c>
      <c r="C70" s="529">
        <f>+'9. Közp. Konyha'!C95</f>
        <v>28181000</v>
      </c>
      <c r="D70" s="75">
        <f>+'9. Közp. Konyha'!D95</f>
        <v>27681000</v>
      </c>
      <c r="E70" s="75">
        <f>+'9. Közp. Konyha'!E95</f>
        <v>27681000</v>
      </c>
      <c r="F70" s="489">
        <f>+'9. Közp. Konyha'!F95</f>
        <v>27681000</v>
      </c>
      <c r="G70" s="75"/>
      <c r="H70" s="529">
        <f>+'9. Közp. Konyha'!H95</f>
        <v>16755980</v>
      </c>
      <c r="I70" s="75">
        <f>+'9. Közp. Konyha'!I95</f>
        <v>20426213</v>
      </c>
      <c r="J70" s="75">
        <f>+'9. Közp. Konyha'!J95</f>
        <v>28368808</v>
      </c>
      <c r="K70" s="75"/>
      <c r="L70" s="75"/>
      <c r="M70" s="75"/>
      <c r="N70" s="489"/>
      <c r="O70" s="75"/>
      <c r="P70" s="529">
        <f>+'9. Közp. Konyha'!P95</f>
        <v>-500000</v>
      </c>
      <c r="Q70" s="75">
        <f>+'9. Közp. Konyha'!Q95</f>
        <v>0</v>
      </c>
      <c r="R70" s="75">
        <f>+'9. Közp. Konyha'!R95</f>
        <v>0</v>
      </c>
      <c r="S70" s="75">
        <f>+'9. Közp. Konyha'!S95</f>
        <v>-500000</v>
      </c>
      <c r="T70" s="530"/>
      <c r="U70" s="76"/>
    </row>
    <row r="71" spans="1:21" ht="8.1" customHeight="1" x14ac:dyDescent="0.2">
      <c r="B71" s="413" t="s">
        <v>455</v>
      </c>
      <c r="C71" s="531"/>
      <c r="D71" s="412"/>
      <c r="E71" s="412"/>
      <c r="F71" s="542"/>
      <c r="G71" s="412"/>
      <c r="H71" s="531"/>
      <c r="I71" s="412"/>
      <c r="J71" s="412"/>
      <c r="K71" s="412"/>
      <c r="L71" s="412"/>
      <c r="M71" s="412"/>
      <c r="N71" s="542"/>
      <c r="O71" s="412"/>
      <c r="P71" s="531"/>
      <c r="Q71" s="412"/>
      <c r="R71" s="412"/>
      <c r="S71" s="412"/>
      <c r="T71" s="530"/>
      <c r="U71" s="76"/>
    </row>
    <row r="72" spans="1:21" x14ac:dyDescent="0.2">
      <c r="A72" s="414" t="str">
        <f>+A63</f>
        <v>B4</v>
      </c>
      <c r="B72" s="394" t="s">
        <v>448</v>
      </c>
      <c r="C72" s="532">
        <f>SUM(C64:C71)</f>
        <v>112396000</v>
      </c>
      <c r="D72" s="395">
        <f t="shared" ref="D72" si="53">SUM(D64:D71)</f>
        <v>111902000</v>
      </c>
      <c r="E72" s="395">
        <f t="shared" ref="E72" si="54">SUM(E64:E71)</f>
        <v>112173276</v>
      </c>
      <c r="F72" s="543">
        <f t="shared" ref="F72" si="55">SUM(F64:F71)</f>
        <v>114459954</v>
      </c>
      <c r="G72" s="395"/>
      <c r="H72" s="532">
        <f>SUM(H64:H71)</f>
        <v>77405545</v>
      </c>
      <c r="I72" s="395">
        <f t="shared" ref="I72" si="56">SUM(I64:I71)</f>
        <v>106141511</v>
      </c>
      <c r="J72" s="395">
        <f t="shared" ref="J72" si="57">SUM(J64:J71)</f>
        <v>135557922</v>
      </c>
      <c r="K72" s="395"/>
      <c r="L72" s="395"/>
      <c r="M72" s="395"/>
      <c r="N72" s="543"/>
      <c r="O72" s="395"/>
      <c r="P72" s="532">
        <f>SUM(P64:P71)</f>
        <v>-494000</v>
      </c>
      <c r="Q72" s="395">
        <f t="shared" ref="Q72" si="58">SUM(Q64:Q71)</f>
        <v>271276</v>
      </c>
      <c r="R72" s="395">
        <f t="shared" ref="R72" si="59">SUM(R64:R71)</f>
        <v>2286678</v>
      </c>
      <c r="S72" s="395">
        <f t="shared" ref="S72" si="60">SUM(S64:S71)</f>
        <v>2063954</v>
      </c>
      <c r="T72" s="530"/>
      <c r="U72" s="76"/>
    </row>
    <row r="73" spans="1:21" x14ac:dyDescent="0.2">
      <c r="C73" s="533"/>
      <c r="F73" s="487"/>
      <c r="H73" s="533"/>
      <c r="N73" s="530"/>
      <c r="P73" s="533"/>
      <c r="T73" s="530"/>
    </row>
    <row r="74" spans="1:21" x14ac:dyDescent="0.2">
      <c r="C74" s="533"/>
      <c r="F74" s="487"/>
      <c r="H74" s="533"/>
      <c r="N74" s="530"/>
      <c r="P74" s="533"/>
      <c r="T74" s="530"/>
    </row>
    <row r="75" spans="1:21" x14ac:dyDescent="0.2">
      <c r="A75" s="346" t="s">
        <v>311</v>
      </c>
      <c r="B75" s="346" t="str">
        <f>+B17</f>
        <v>Felhalmozási bevételek</v>
      </c>
      <c r="C75" s="529"/>
      <c r="D75" s="76"/>
      <c r="E75" s="76"/>
      <c r="F75" s="555"/>
      <c r="G75" s="76"/>
      <c r="H75" s="529"/>
      <c r="K75" s="76"/>
      <c r="L75" s="93"/>
      <c r="M75" s="93"/>
      <c r="N75" s="530"/>
      <c r="O75" s="76"/>
      <c r="P75" s="529"/>
      <c r="Q75" s="75"/>
      <c r="R75" s="75"/>
      <c r="S75" s="75"/>
      <c r="T75" s="530"/>
      <c r="U75" s="76"/>
    </row>
    <row r="76" spans="1:21" x14ac:dyDescent="0.2">
      <c r="B76" s="58" t="str">
        <f t="shared" ref="B76:B82" si="61">+B64</f>
        <v>Sülysáp Város Önkormányzat</v>
      </c>
      <c r="C76" s="529">
        <f>+' 2. Önk. Bevételek'!C67</f>
        <v>72638000</v>
      </c>
      <c r="D76" s="75">
        <f>+' 2. Önk. Bevételek'!D67</f>
        <v>72638000</v>
      </c>
      <c r="E76" s="75">
        <f>+' 2. Önk. Bevételek'!E67</f>
        <v>72638000</v>
      </c>
      <c r="F76" s="489">
        <f>+' 2. Önk. Bevételek'!F67</f>
        <v>52199487</v>
      </c>
      <c r="G76" s="76"/>
      <c r="H76" s="529">
        <f>+' 2. Önk. Bevételek'!H67</f>
        <v>16435054</v>
      </c>
      <c r="I76" s="75">
        <f>+' 2. Önk. Bevételek'!I67</f>
        <v>29416266</v>
      </c>
      <c r="J76" s="75">
        <f>+' 2. Önk. Bevételek'!J67</f>
        <v>35127563</v>
      </c>
      <c r="K76" s="76"/>
      <c r="L76" s="93"/>
      <c r="M76" s="93"/>
      <c r="N76" s="530"/>
      <c r="O76" s="76"/>
      <c r="P76" s="529">
        <f>+' 2. Önk. Bevételek'!P67</f>
        <v>0</v>
      </c>
      <c r="Q76" s="75">
        <f>+' 2. Önk. Bevételek'!Q67</f>
        <v>0</v>
      </c>
      <c r="R76" s="75">
        <f>+' 2. Önk. Bevételek'!R67</f>
        <v>-20438513</v>
      </c>
      <c r="S76" s="75">
        <f>+' 2. Önk. Bevételek'!S67</f>
        <v>-20438513</v>
      </c>
      <c r="T76" s="530"/>
      <c r="U76" s="76"/>
    </row>
    <row r="77" spans="1:21" x14ac:dyDescent="0.2">
      <c r="A77" s="58"/>
      <c r="B77" s="58" t="str">
        <f t="shared" si="61"/>
        <v>Dr. Gáspár István HSZK</v>
      </c>
      <c r="C77" s="529"/>
      <c r="D77" s="75"/>
      <c r="E77" s="75"/>
      <c r="F77" s="489"/>
      <c r="G77" s="75"/>
      <c r="H77" s="529"/>
      <c r="I77" s="75"/>
      <c r="J77" s="75"/>
      <c r="K77" s="75"/>
      <c r="L77" s="75"/>
      <c r="M77" s="75"/>
      <c r="N77" s="489"/>
      <c r="O77" s="75"/>
      <c r="P77" s="529"/>
      <c r="Q77" s="75"/>
      <c r="R77" s="75"/>
      <c r="S77" s="75"/>
      <c r="T77" s="530"/>
      <c r="U77" s="76"/>
    </row>
    <row r="78" spans="1:21" x14ac:dyDescent="0.2">
      <c r="B78" s="58" t="str">
        <f t="shared" si="61"/>
        <v>SÜLYSÁPI CSICSERGŐ ÓVODA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">
      <c r="B79" s="58" t="str">
        <f t="shared" si="61"/>
        <v>GÓLYAHÍR BÖLCSŐDE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">
      <c r="B80" s="58" t="str">
        <f t="shared" si="61"/>
        <v>POLGÁRMESTERI HIVATAL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">
      <c r="B81" s="58" t="str">
        <f t="shared" si="61"/>
        <v>Wass Albert Művelődési Központ és Könyvtár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">
      <c r="B82" s="58" t="str">
        <f t="shared" si="61"/>
        <v>Központi Konyha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ht="8.1" customHeight="1" x14ac:dyDescent="0.2">
      <c r="B83" s="413" t="s">
        <v>455</v>
      </c>
      <c r="C83" s="531"/>
      <c r="D83" s="412"/>
      <c r="E83" s="412"/>
      <c r="F83" s="542"/>
      <c r="G83" s="412"/>
      <c r="H83" s="531"/>
      <c r="I83" s="412"/>
      <c r="J83" s="412"/>
      <c r="K83" s="412"/>
      <c r="L83" s="412"/>
      <c r="M83" s="412"/>
      <c r="N83" s="542"/>
      <c r="O83" s="412"/>
      <c r="P83" s="531"/>
      <c r="Q83" s="412"/>
      <c r="R83" s="412"/>
      <c r="S83" s="412"/>
      <c r="T83" s="530"/>
      <c r="U83" s="76"/>
    </row>
    <row r="84" spans="1:21" x14ac:dyDescent="0.2">
      <c r="A84" s="414" t="str">
        <f>+A75</f>
        <v>B5</v>
      </c>
      <c r="B84" s="394" t="s">
        <v>448</v>
      </c>
      <c r="C84" s="532">
        <f>SUM(C76:C83)</f>
        <v>72638000</v>
      </c>
      <c r="D84" s="395">
        <f t="shared" ref="D84" si="62">SUM(D76:D83)</f>
        <v>72638000</v>
      </c>
      <c r="E84" s="395">
        <f t="shared" ref="E84" si="63">SUM(E76:E83)</f>
        <v>72638000</v>
      </c>
      <c r="F84" s="543">
        <f t="shared" ref="F84" si="64">SUM(F76:F83)</f>
        <v>52199487</v>
      </c>
      <c r="G84" s="395"/>
      <c r="H84" s="532">
        <f>SUM(H76:H83)</f>
        <v>16435054</v>
      </c>
      <c r="I84" s="395">
        <f t="shared" ref="I84" si="65">SUM(I76:I83)</f>
        <v>29416266</v>
      </c>
      <c r="J84" s="395">
        <f t="shared" ref="J84" si="66">SUM(J76:J83)</f>
        <v>35127563</v>
      </c>
      <c r="K84" s="395"/>
      <c r="L84" s="395"/>
      <c r="M84" s="395"/>
      <c r="N84" s="543"/>
      <c r="O84" s="395"/>
      <c r="P84" s="532">
        <f>SUM(P76:P83)</f>
        <v>0</v>
      </c>
      <c r="Q84" s="395">
        <f t="shared" ref="Q84" si="67">SUM(Q76:Q83)</f>
        <v>0</v>
      </c>
      <c r="R84" s="395">
        <f t="shared" ref="R84" si="68">SUM(R76:R83)</f>
        <v>-20438513</v>
      </c>
      <c r="S84" s="395">
        <f t="shared" ref="S84" si="69">SUM(S76:S83)</f>
        <v>-20438513</v>
      </c>
      <c r="T84" s="530"/>
      <c r="U84" s="76"/>
    </row>
    <row r="85" spans="1:21" x14ac:dyDescent="0.2">
      <c r="C85" s="533"/>
      <c r="F85" s="487"/>
      <c r="H85" s="533"/>
      <c r="N85" s="530"/>
      <c r="P85" s="533"/>
      <c r="T85" s="530"/>
    </row>
    <row r="86" spans="1:21" x14ac:dyDescent="0.2">
      <c r="C86" s="533"/>
      <c r="F86" s="487"/>
      <c r="H86" s="533"/>
      <c r="N86" s="530"/>
      <c r="P86" s="533"/>
      <c r="T86" s="530"/>
    </row>
    <row r="87" spans="1:21" x14ac:dyDescent="0.2">
      <c r="A87" s="346" t="s">
        <v>321</v>
      </c>
      <c r="B87" s="411" t="str">
        <f>+B18</f>
        <v>Működési célú átvett pénzeszközök</v>
      </c>
      <c r="C87" s="529"/>
      <c r="D87" s="76"/>
      <c r="E87" s="76"/>
      <c r="F87" s="555"/>
      <c r="G87" s="76"/>
      <c r="H87" s="529"/>
      <c r="K87" s="76"/>
      <c r="L87" s="93"/>
      <c r="M87" s="93"/>
      <c r="N87" s="530"/>
      <c r="O87" s="76"/>
      <c r="P87" s="529"/>
      <c r="Q87" s="75"/>
      <c r="R87" s="75"/>
      <c r="S87" s="75"/>
      <c r="T87" s="530"/>
      <c r="U87" s="76"/>
    </row>
    <row r="88" spans="1:21" x14ac:dyDescent="0.2">
      <c r="B88" s="58" t="str">
        <f t="shared" ref="B88:B94" si="70">+B76</f>
        <v>Sülysáp Város Önkormányzat</v>
      </c>
      <c r="C88" s="529">
        <f>+' 2. Önk. Bevételek'!C72</f>
        <v>0</v>
      </c>
      <c r="D88" s="75">
        <f>+' 2. Önk. Bevételek'!D72</f>
        <v>0</v>
      </c>
      <c r="E88" s="75">
        <f>+' 2. Önk. Bevételek'!E72</f>
        <v>15000000</v>
      </c>
      <c r="F88" s="489">
        <f>+' 2. Önk. Bevételek'!F72</f>
        <v>15000000</v>
      </c>
      <c r="G88" s="76"/>
      <c r="H88" s="529">
        <f>+' 2. Önk. Bevételek'!H72</f>
        <v>100000</v>
      </c>
      <c r="I88" s="75">
        <f>+' 2. Önk. Bevételek'!I72</f>
        <v>100000</v>
      </c>
      <c r="J88" s="75">
        <f>+' 2. Önk. Bevételek'!J72</f>
        <v>15140000</v>
      </c>
      <c r="K88" s="76"/>
      <c r="L88" s="93"/>
      <c r="M88" s="93"/>
      <c r="N88" s="530"/>
      <c r="O88" s="76"/>
      <c r="P88" s="529">
        <f>+' 2. Önk. Bevételek'!P72</f>
        <v>0</v>
      </c>
      <c r="Q88" s="75">
        <f>+' 2. Önk. Bevételek'!Q72</f>
        <v>15000000</v>
      </c>
      <c r="R88" s="75">
        <f>+' 2. Önk. Bevételek'!R72</f>
        <v>0</v>
      </c>
      <c r="S88" s="75">
        <f>+' 2. Önk. Bevételek'!S72</f>
        <v>15000000</v>
      </c>
      <c r="T88" s="530"/>
      <c r="U88" s="76"/>
    </row>
    <row r="89" spans="1:21" x14ac:dyDescent="0.2">
      <c r="A89" s="58"/>
      <c r="B89" s="58" t="str">
        <f t="shared" si="70"/>
        <v>Dr. Gáspár István HSZK</v>
      </c>
      <c r="C89" s="529"/>
      <c r="D89" s="75"/>
      <c r="E89" s="75"/>
      <c r="F89" s="489"/>
      <c r="G89" s="75"/>
      <c r="H89" s="529"/>
      <c r="I89" s="75"/>
      <c r="J89" s="75"/>
      <c r="K89" s="75"/>
      <c r="L89" s="75"/>
      <c r="M89" s="75"/>
      <c r="N89" s="489"/>
      <c r="O89" s="75"/>
      <c r="P89" s="529"/>
      <c r="Q89" s="75"/>
      <c r="R89" s="75"/>
      <c r="S89" s="75"/>
      <c r="T89" s="530"/>
      <c r="U89" s="76"/>
    </row>
    <row r="90" spans="1:21" x14ac:dyDescent="0.2">
      <c r="B90" s="58" t="str">
        <f t="shared" si="70"/>
        <v>SÜLYSÁPI CSICSERGŐ ÓVODA</v>
      </c>
      <c r="C90" s="529"/>
      <c r="D90" s="75"/>
      <c r="E90" s="75"/>
      <c r="F90" s="489"/>
      <c r="G90" s="75"/>
      <c r="H90" s="529"/>
      <c r="I90" s="75"/>
      <c r="J90" s="75"/>
      <c r="K90" s="75"/>
      <c r="L90" s="75"/>
      <c r="M90" s="75"/>
      <c r="N90" s="489"/>
      <c r="O90" s="75"/>
      <c r="P90" s="529"/>
      <c r="Q90" s="75"/>
      <c r="R90" s="75"/>
      <c r="S90" s="75"/>
      <c r="T90" s="530"/>
      <c r="U90" s="76"/>
    </row>
    <row r="91" spans="1:21" x14ac:dyDescent="0.2">
      <c r="B91" s="58" t="str">
        <f t="shared" si="70"/>
        <v>GÓLYAHÍR BÖLCSŐDE</v>
      </c>
      <c r="C91" s="529"/>
      <c r="D91" s="75"/>
      <c r="E91" s="75"/>
      <c r="F91" s="489"/>
      <c r="G91" s="75"/>
      <c r="H91" s="529"/>
      <c r="I91" s="75"/>
      <c r="J91" s="75"/>
      <c r="K91" s="75"/>
      <c r="L91" s="75"/>
      <c r="M91" s="75"/>
      <c r="N91" s="489"/>
      <c r="O91" s="75"/>
      <c r="P91" s="529"/>
      <c r="Q91" s="75"/>
      <c r="R91" s="75"/>
      <c r="S91" s="75"/>
      <c r="T91" s="530"/>
      <c r="U91" s="76"/>
    </row>
    <row r="92" spans="1:21" x14ac:dyDescent="0.2">
      <c r="B92" s="58" t="str">
        <f t="shared" si="70"/>
        <v>POLGÁRMESTERI HIVATAL</v>
      </c>
      <c r="C92" s="529"/>
      <c r="D92" s="75"/>
      <c r="E92" s="75"/>
      <c r="F92" s="489"/>
      <c r="G92" s="75"/>
      <c r="H92" s="529"/>
      <c r="I92" s="75"/>
      <c r="J92" s="75"/>
      <c r="K92" s="75"/>
      <c r="L92" s="75"/>
      <c r="M92" s="75"/>
      <c r="N92" s="489"/>
      <c r="O92" s="75"/>
      <c r="P92" s="529"/>
      <c r="Q92" s="75"/>
      <c r="R92" s="75"/>
      <c r="S92" s="75"/>
      <c r="T92" s="530"/>
      <c r="U92" s="76"/>
    </row>
    <row r="93" spans="1:21" x14ac:dyDescent="0.2">
      <c r="B93" s="58" t="str">
        <f t="shared" si="70"/>
        <v>Wass Albert Művelődési Központ és Könyvtár</v>
      </c>
      <c r="C93" s="529"/>
      <c r="D93" s="75"/>
      <c r="E93" s="75"/>
      <c r="F93" s="489">
        <f>+'8. WAMKK'!F94</f>
        <v>1000000</v>
      </c>
      <c r="G93" s="75"/>
      <c r="H93" s="529"/>
      <c r="I93" s="75"/>
      <c r="J93" s="75">
        <f>+'8. WAMKK'!J94</f>
        <v>1000000</v>
      </c>
      <c r="K93" s="75"/>
      <c r="L93" s="75"/>
      <c r="M93" s="75"/>
      <c r="N93" s="489"/>
      <c r="O93" s="75"/>
      <c r="P93" s="529"/>
      <c r="Q93" s="75"/>
      <c r="R93" s="75"/>
      <c r="S93" s="75"/>
      <c r="T93" s="530"/>
      <c r="U93" s="76"/>
    </row>
    <row r="94" spans="1:21" x14ac:dyDescent="0.2">
      <c r="B94" s="58" t="str">
        <f t="shared" si="70"/>
        <v>Központi Konyha</v>
      </c>
      <c r="C94" s="529"/>
      <c r="D94" s="75"/>
      <c r="E94" s="75"/>
      <c r="F94" s="489"/>
      <c r="G94" s="75"/>
      <c r="H94" s="529"/>
      <c r="I94" s="75"/>
      <c r="J94" s="75"/>
      <c r="K94" s="75"/>
      <c r="L94" s="75"/>
      <c r="M94" s="75"/>
      <c r="N94" s="489"/>
      <c r="O94" s="75"/>
      <c r="P94" s="529"/>
      <c r="Q94" s="75"/>
      <c r="R94" s="75"/>
      <c r="S94" s="75"/>
      <c r="T94" s="530"/>
      <c r="U94" s="76"/>
    </row>
    <row r="95" spans="1:21" ht="8.1" customHeight="1" x14ac:dyDescent="0.2">
      <c r="B95" s="413" t="s">
        <v>455</v>
      </c>
      <c r="C95" s="531"/>
      <c r="D95" s="412"/>
      <c r="E95" s="412"/>
      <c r="F95" s="542"/>
      <c r="G95" s="412"/>
      <c r="H95" s="531"/>
      <c r="I95" s="412"/>
      <c r="J95" s="412"/>
      <c r="K95" s="412"/>
      <c r="L95" s="412"/>
      <c r="M95" s="412"/>
      <c r="N95" s="542"/>
      <c r="O95" s="412"/>
      <c r="P95" s="531"/>
      <c r="Q95" s="412"/>
      <c r="R95" s="412"/>
      <c r="S95" s="412"/>
      <c r="T95" s="530"/>
      <c r="U95" s="76"/>
    </row>
    <row r="96" spans="1:21" x14ac:dyDescent="0.2">
      <c r="A96" s="414" t="str">
        <f>+A87</f>
        <v>B6</v>
      </c>
      <c r="B96" s="394" t="s">
        <v>448</v>
      </c>
      <c r="C96" s="532">
        <f>SUM(C88:C95)</f>
        <v>0</v>
      </c>
      <c r="D96" s="395">
        <f t="shared" ref="D96" si="71">SUM(D88:D95)</f>
        <v>0</v>
      </c>
      <c r="E96" s="395">
        <f t="shared" ref="E96" si="72">SUM(E88:E95)</f>
        <v>15000000</v>
      </c>
      <c r="F96" s="543">
        <f t="shared" ref="F96" si="73">SUM(F88:F95)</f>
        <v>16000000</v>
      </c>
      <c r="G96" s="395"/>
      <c r="H96" s="532">
        <f>SUM(H88:H95)</f>
        <v>100000</v>
      </c>
      <c r="I96" s="395">
        <f t="shared" ref="I96" si="74">SUM(I88:I95)</f>
        <v>100000</v>
      </c>
      <c r="J96" s="395">
        <f t="shared" ref="J96" si="75">SUM(J88:J95)</f>
        <v>16140000</v>
      </c>
      <c r="K96" s="395"/>
      <c r="L96" s="395"/>
      <c r="M96" s="395"/>
      <c r="N96" s="543"/>
      <c r="O96" s="395"/>
      <c r="P96" s="532">
        <f>SUM(P88:P95)</f>
        <v>0</v>
      </c>
      <c r="Q96" s="395">
        <f t="shared" ref="Q96" si="76">SUM(Q88:Q95)</f>
        <v>15000000</v>
      </c>
      <c r="R96" s="395">
        <f t="shared" ref="R96" si="77">SUM(R88:R95)</f>
        <v>0</v>
      </c>
      <c r="S96" s="395">
        <f t="shared" ref="S96" si="78">SUM(S88:S95)</f>
        <v>15000000</v>
      </c>
      <c r="T96" s="530"/>
      <c r="U96" s="76"/>
    </row>
    <row r="97" spans="1:21" x14ac:dyDescent="0.2">
      <c r="C97" s="533"/>
      <c r="F97" s="487"/>
      <c r="H97" s="533"/>
      <c r="N97" s="530"/>
      <c r="P97" s="533"/>
      <c r="T97" s="530"/>
    </row>
    <row r="98" spans="1:21" x14ac:dyDescent="0.2">
      <c r="C98" s="533"/>
      <c r="F98" s="487"/>
      <c r="H98" s="533"/>
      <c r="N98" s="530"/>
      <c r="P98" s="533"/>
      <c r="T98" s="530"/>
    </row>
    <row r="99" spans="1:21" x14ac:dyDescent="0.2">
      <c r="A99" s="346" t="s">
        <v>326</v>
      </c>
      <c r="B99" s="411" t="str">
        <f>+B19</f>
        <v>Felhalmozási célú átvett pénzeszközök</v>
      </c>
      <c r="C99" s="529"/>
      <c r="D99" s="76"/>
      <c r="E99" s="76"/>
      <c r="F99" s="555"/>
      <c r="G99" s="76"/>
      <c r="H99" s="529"/>
      <c r="K99" s="76"/>
      <c r="L99" s="93"/>
      <c r="M99" s="93"/>
      <c r="N99" s="530"/>
      <c r="O99" s="76"/>
      <c r="P99" s="529"/>
      <c r="Q99" s="75"/>
      <c r="R99" s="75"/>
      <c r="S99" s="75"/>
      <c r="T99" s="530"/>
      <c r="U99" s="76"/>
    </row>
    <row r="100" spans="1:21" x14ac:dyDescent="0.2">
      <c r="B100" s="58" t="str">
        <f t="shared" ref="B100:B106" si="79">+B88</f>
        <v>Sülysáp Város Önkormányzat</v>
      </c>
      <c r="C100" s="529">
        <f>+' 2. Önk. Bevételek'!C76</f>
        <v>0</v>
      </c>
      <c r="D100" s="75">
        <f>+' 2. Önk. Bevételek'!D76</f>
        <v>0</v>
      </c>
      <c r="E100" s="75">
        <f>+' 2. Önk. Bevételek'!E76</f>
        <v>0</v>
      </c>
      <c r="F100" s="489">
        <f>+' 2. Önk. Bevételek'!F76</f>
        <v>377000</v>
      </c>
      <c r="G100" s="76"/>
      <c r="H100" s="529">
        <f>+' 2. Önk. Bevételek'!H76</f>
        <v>102000</v>
      </c>
      <c r="I100" s="75">
        <f>+' 2. Önk. Bevételek'!I76</f>
        <v>277000</v>
      </c>
      <c r="J100" s="75">
        <f>+' 2. Önk. Bevételek'!J76</f>
        <v>397000</v>
      </c>
      <c r="K100" s="76"/>
      <c r="L100" s="93"/>
      <c r="M100" s="93"/>
      <c r="N100" s="530"/>
      <c r="O100" s="76"/>
      <c r="P100" s="529">
        <f>+' 2. Önk. Bevételek'!P76</f>
        <v>0</v>
      </c>
      <c r="Q100" s="75">
        <f>+' 2. Önk. Bevételek'!Q76</f>
        <v>0</v>
      </c>
      <c r="R100" s="75">
        <f>+' 2. Önk. Bevételek'!R76</f>
        <v>377000</v>
      </c>
      <c r="S100" s="75">
        <f>+' 2. Önk. Bevételek'!S76</f>
        <v>377000</v>
      </c>
      <c r="T100" s="530"/>
      <c r="U100" s="76"/>
    </row>
    <row r="101" spans="1:21" x14ac:dyDescent="0.2">
      <c r="A101" s="58"/>
      <c r="B101" s="58" t="str">
        <f t="shared" si="79"/>
        <v>Dr. Gáspár István HSZK</v>
      </c>
      <c r="C101" s="529"/>
      <c r="D101" s="75"/>
      <c r="E101" s="75"/>
      <c r="F101" s="489"/>
      <c r="G101" s="75"/>
      <c r="H101" s="529"/>
      <c r="I101" s="75"/>
      <c r="J101" s="75"/>
      <c r="K101" s="75"/>
      <c r="L101" s="75"/>
      <c r="M101" s="75"/>
      <c r="N101" s="489"/>
      <c r="O101" s="75"/>
      <c r="P101" s="529"/>
      <c r="Q101" s="75"/>
      <c r="R101" s="75"/>
      <c r="S101" s="75"/>
      <c r="T101" s="530"/>
      <c r="U101" s="76"/>
    </row>
    <row r="102" spans="1:21" x14ac:dyDescent="0.2">
      <c r="B102" s="58" t="str">
        <f t="shared" si="79"/>
        <v>SÜLYSÁPI CSICSERGŐ ÓVODA</v>
      </c>
      <c r="C102" s="529"/>
      <c r="D102" s="75"/>
      <c r="E102" s="75"/>
      <c r="F102" s="489"/>
      <c r="G102" s="75"/>
      <c r="H102" s="529"/>
      <c r="I102" s="75"/>
      <c r="J102" s="75"/>
      <c r="K102" s="75"/>
      <c r="L102" s="75"/>
      <c r="M102" s="75"/>
      <c r="N102" s="489"/>
      <c r="O102" s="75"/>
      <c r="P102" s="529"/>
      <c r="Q102" s="75"/>
      <c r="R102" s="75"/>
      <c r="S102" s="75"/>
      <c r="T102" s="530"/>
      <c r="U102" s="76"/>
    </row>
    <row r="103" spans="1:21" x14ac:dyDescent="0.2">
      <c r="B103" s="58" t="str">
        <f t="shared" si="79"/>
        <v>GÓLYAHÍR BÖLCSŐDE</v>
      </c>
      <c r="C103" s="529"/>
      <c r="D103" s="75"/>
      <c r="E103" s="75"/>
      <c r="F103" s="489"/>
      <c r="G103" s="75"/>
      <c r="H103" s="529"/>
      <c r="I103" s="75"/>
      <c r="J103" s="75"/>
      <c r="K103" s="75"/>
      <c r="L103" s="75"/>
      <c r="M103" s="75"/>
      <c r="N103" s="489"/>
      <c r="O103" s="75"/>
      <c r="P103" s="529"/>
      <c r="Q103" s="75"/>
      <c r="R103" s="75"/>
      <c r="S103" s="75"/>
      <c r="T103" s="530"/>
      <c r="U103" s="76"/>
    </row>
    <row r="104" spans="1:21" x14ac:dyDescent="0.2">
      <c r="B104" s="58" t="str">
        <f t="shared" si="79"/>
        <v>POLGÁRMESTERI HIVATAL</v>
      </c>
      <c r="C104" s="529"/>
      <c r="D104" s="75"/>
      <c r="E104" s="75"/>
      <c r="F104" s="489"/>
      <c r="G104" s="75"/>
      <c r="H104" s="529"/>
      <c r="I104" s="75"/>
      <c r="J104" s="75"/>
      <c r="K104" s="75"/>
      <c r="L104" s="75"/>
      <c r="M104" s="75"/>
      <c r="N104" s="489"/>
      <c r="O104" s="75"/>
      <c r="P104" s="529"/>
      <c r="Q104" s="75"/>
      <c r="R104" s="75"/>
      <c r="S104" s="75"/>
      <c r="T104" s="530"/>
      <c r="U104" s="76"/>
    </row>
    <row r="105" spans="1:21" x14ac:dyDescent="0.2">
      <c r="B105" s="58" t="str">
        <f t="shared" si="79"/>
        <v>Wass Albert Művelődési Központ és Könyvtár</v>
      </c>
      <c r="C105" s="529"/>
      <c r="D105" s="75"/>
      <c r="E105" s="75"/>
      <c r="F105" s="489"/>
      <c r="G105" s="75"/>
      <c r="H105" s="529"/>
      <c r="I105" s="75"/>
      <c r="J105" s="75"/>
      <c r="K105" s="75"/>
      <c r="L105" s="75"/>
      <c r="M105" s="75"/>
      <c r="N105" s="489"/>
      <c r="O105" s="75"/>
      <c r="P105" s="529"/>
      <c r="Q105" s="75"/>
      <c r="R105" s="75"/>
      <c r="S105" s="75"/>
      <c r="T105" s="530"/>
      <c r="U105" s="76"/>
    </row>
    <row r="106" spans="1:21" x14ac:dyDescent="0.2">
      <c r="B106" s="58" t="str">
        <f t="shared" si="79"/>
        <v>Központi Konyha</v>
      </c>
      <c r="C106" s="529"/>
      <c r="D106" s="75"/>
      <c r="E106" s="75"/>
      <c r="F106" s="489"/>
      <c r="G106" s="75"/>
      <c r="H106" s="529"/>
      <c r="I106" s="75"/>
      <c r="J106" s="75"/>
      <c r="K106" s="75"/>
      <c r="L106" s="75"/>
      <c r="M106" s="75"/>
      <c r="N106" s="489"/>
      <c r="O106" s="75"/>
      <c r="P106" s="529"/>
      <c r="Q106" s="75"/>
      <c r="R106" s="75"/>
      <c r="S106" s="75"/>
      <c r="T106" s="530"/>
      <c r="U106" s="76"/>
    </row>
    <row r="107" spans="1:21" ht="8.1" customHeight="1" x14ac:dyDescent="0.2">
      <c r="B107" s="413" t="s">
        <v>455</v>
      </c>
      <c r="C107" s="531"/>
      <c r="D107" s="412"/>
      <c r="E107" s="412"/>
      <c r="F107" s="542"/>
      <c r="G107" s="412"/>
      <c r="H107" s="531"/>
      <c r="I107" s="412"/>
      <c r="J107" s="412"/>
      <c r="K107" s="412"/>
      <c r="L107" s="412"/>
      <c r="M107" s="412"/>
      <c r="N107" s="542"/>
      <c r="O107" s="412"/>
      <c r="P107" s="531"/>
      <c r="Q107" s="412"/>
      <c r="R107" s="412"/>
      <c r="S107" s="412"/>
      <c r="T107" s="530"/>
      <c r="U107" s="76"/>
    </row>
    <row r="108" spans="1:21" x14ac:dyDescent="0.2">
      <c r="A108" s="414" t="str">
        <f>+A99</f>
        <v>B7</v>
      </c>
      <c r="B108" s="394" t="s">
        <v>448</v>
      </c>
      <c r="C108" s="532">
        <f>SUM(C100:C107)</f>
        <v>0</v>
      </c>
      <c r="D108" s="395">
        <f t="shared" ref="D108" si="80">SUM(D100:D107)</f>
        <v>0</v>
      </c>
      <c r="E108" s="395">
        <f t="shared" ref="E108" si="81">SUM(E100:E107)</f>
        <v>0</v>
      </c>
      <c r="F108" s="543">
        <f t="shared" ref="F108" si="82">SUM(F100:F107)</f>
        <v>377000</v>
      </c>
      <c r="G108" s="395"/>
      <c r="H108" s="532">
        <f>SUM(H100:H107)</f>
        <v>102000</v>
      </c>
      <c r="I108" s="395">
        <f t="shared" ref="I108" si="83">SUM(I100:I107)</f>
        <v>277000</v>
      </c>
      <c r="J108" s="395">
        <f t="shared" ref="J108" si="84">SUM(J100:J107)</f>
        <v>397000</v>
      </c>
      <c r="K108" s="395"/>
      <c r="L108" s="395"/>
      <c r="M108" s="395"/>
      <c r="N108" s="543"/>
      <c r="O108" s="395"/>
      <c r="P108" s="532">
        <f>SUM(P100:P107)</f>
        <v>0</v>
      </c>
      <c r="Q108" s="395">
        <f t="shared" ref="Q108" si="85">SUM(Q100:Q107)</f>
        <v>0</v>
      </c>
      <c r="R108" s="395">
        <f t="shared" ref="R108" si="86">SUM(R100:R107)</f>
        <v>377000</v>
      </c>
      <c r="S108" s="395">
        <f t="shared" ref="S108" si="87">SUM(S100:S107)</f>
        <v>377000</v>
      </c>
      <c r="T108" s="530"/>
      <c r="U108" s="76"/>
    </row>
    <row r="109" spans="1:21" x14ac:dyDescent="0.2">
      <c r="C109" s="533"/>
      <c r="F109" s="487"/>
      <c r="H109" s="533"/>
      <c r="N109" s="530"/>
      <c r="P109" s="533"/>
      <c r="T109" s="530"/>
    </row>
    <row r="110" spans="1:21" x14ac:dyDescent="0.2">
      <c r="C110" s="533"/>
      <c r="F110" s="487"/>
      <c r="H110" s="533"/>
      <c r="N110" s="530"/>
      <c r="P110" s="533"/>
      <c r="T110" s="530"/>
    </row>
    <row r="111" spans="1:21" x14ac:dyDescent="0.2">
      <c r="A111" s="346" t="s">
        <v>333</v>
      </c>
      <c r="B111" s="346"/>
      <c r="C111" s="529"/>
      <c r="D111" s="402" t="s">
        <v>451</v>
      </c>
      <c r="E111" s="76"/>
      <c r="F111" s="555"/>
      <c r="G111" s="76"/>
      <c r="H111" s="529"/>
      <c r="K111" s="76"/>
      <c r="L111" s="93"/>
      <c r="M111" s="93"/>
      <c r="N111" s="530"/>
      <c r="O111" s="76"/>
      <c r="P111" s="529"/>
      <c r="Q111" s="75"/>
      <c r="R111" s="75"/>
      <c r="S111" s="75"/>
      <c r="T111" s="530"/>
      <c r="U111" s="76"/>
    </row>
    <row r="112" spans="1:21" x14ac:dyDescent="0.2">
      <c r="B112" s="58" t="str">
        <f t="shared" ref="B112:B118" si="88">+B100</f>
        <v>Sülysáp Város Önkormányzat</v>
      </c>
      <c r="C112" s="529">
        <f>+' 2. Önk. Bevételek'!C80</f>
        <v>109560182</v>
      </c>
      <c r="D112" s="75">
        <f>+' 2. Önk. Bevételek'!D80</f>
        <v>126560182</v>
      </c>
      <c r="E112" s="75">
        <f>+' 2. Önk. Bevételek'!E80</f>
        <v>126560182</v>
      </c>
      <c r="F112" s="489">
        <f>+' 2. Önk. Bevételek'!F80</f>
        <v>126560182</v>
      </c>
      <c r="G112" s="76"/>
      <c r="H112" s="529">
        <f>+' 2. Önk. Bevételek'!H80</f>
        <v>109560182</v>
      </c>
      <c r="I112" s="75">
        <f>+' 2. Önk. Bevételek'!I80</f>
        <v>109560182</v>
      </c>
      <c r="J112" s="75">
        <f>+' 2. Önk. Bevételek'!J80</f>
        <v>128222810</v>
      </c>
      <c r="K112" s="76"/>
      <c r="L112" s="93"/>
      <c r="M112" s="93"/>
      <c r="N112" s="530"/>
      <c r="O112" s="76"/>
      <c r="P112" s="529">
        <f>+' 2. Önk. Bevételek'!P80-P124</f>
        <v>17000000</v>
      </c>
      <c r="Q112" s="75">
        <f>+' 2. Önk. Bevételek'!Q80-Q124</f>
        <v>0</v>
      </c>
      <c r="R112" s="75">
        <f>+' 2. Önk. Bevételek'!R80-R124</f>
        <v>0</v>
      </c>
      <c r="S112" s="75">
        <f>+' 2. Önk. Bevételek'!S80-S124</f>
        <v>17000000</v>
      </c>
      <c r="T112" s="530"/>
      <c r="U112" s="76"/>
    </row>
    <row r="113" spans="1:21" x14ac:dyDescent="0.2">
      <c r="A113" s="58"/>
      <c r="B113" s="58" t="str">
        <f t="shared" si="88"/>
        <v>Dr. Gáspár István HSZK</v>
      </c>
      <c r="C113" s="529">
        <f>+'4. Dr Gáspár HSZK'!C99</f>
        <v>28615000</v>
      </c>
      <c r="D113" s="75">
        <f>+'4. Dr Gáspár HSZK'!D99</f>
        <v>29024000</v>
      </c>
      <c r="E113" s="75">
        <f>+'4. Dr Gáspár HSZK'!E99</f>
        <v>29024000</v>
      </c>
      <c r="F113" s="489">
        <f>+'4. Dr Gáspár HSZK'!F99</f>
        <v>29024000</v>
      </c>
      <c r="G113" s="75"/>
      <c r="H113" s="529">
        <f>+'4. Dr Gáspár HSZK'!H99-H125</f>
        <v>15590607</v>
      </c>
      <c r="I113" s="75">
        <f>+'4. Dr Gáspár HSZK'!I99-I125</f>
        <v>21838054</v>
      </c>
      <c r="J113" s="75">
        <f>+'4. Dr Gáspár HSZK'!J99</f>
        <v>28560423</v>
      </c>
      <c r="K113" s="75"/>
      <c r="L113" s="75"/>
      <c r="M113" s="75"/>
      <c r="N113" s="489"/>
      <c r="O113" s="75"/>
      <c r="P113" s="529">
        <f>+'4. Dr Gáspár HSZK'!P99-P125</f>
        <v>409000</v>
      </c>
      <c r="Q113" s="75">
        <f>+'4. Dr Gáspár HSZK'!Q99-Q125</f>
        <v>0</v>
      </c>
      <c r="R113" s="75">
        <f>+'4. Dr Gáspár HSZK'!R99-R125</f>
        <v>0</v>
      </c>
      <c r="S113" s="75">
        <f>+'4. Dr Gáspár HSZK'!S99-S125</f>
        <v>409000</v>
      </c>
      <c r="T113" s="530"/>
      <c r="U113" s="76"/>
    </row>
    <row r="114" spans="1:21" x14ac:dyDescent="0.2">
      <c r="B114" s="58" t="str">
        <f t="shared" si="88"/>
        <v>SÜLYSÁPI CSICSERGŐ ÓVODA</v>
      </c>
      <c r="C114" s="529">
        <f>+'5. Csicsergő'!C99</f>
        <v>171876100</v>
      </c>
      <c r="D114" s="75">
        <f>+'5. Csicsergő'!D99</f>
        <v>173320100</v>
      </c>
      <c r="E114" s="75">
        <f>+'5. Csicsergő'!E99</f>
        <v>174980100</v>
      </c>
      <c r="F114" s="489">
        <f>+'5. Csicsergő'!F99</f>
        <v>183497687</v>
      </c>
      <c r="G114" s="75"/>
      <c r="H114" s="529">
        <f>+'5. Csicsergő'!H99-H126</f>
        <v>91148272</v>
      </c>
      <c r="I114" s="75">
        <f>+'5. Csicsergő'!I99-I126</f>
        <v>137633934</v>
      </c>
      <c r="J114" s="75">
        <f>+'5. Csicsergő'!J99</f>
        <v>183497687</v>
      </c>
      <c r="K114" s="75"/>
      <c r="L114" s="75"/>
      <c r="M114" s="75"/>
      <c r="N114" s="489"/>
      <c r="O114" s="75"/>
      <c r="P114" s="529">
        <f>+'5. Csicsergő'!P99-P126</f>
        <v>1444000</v>
      </c>
      <c r="Q114" s="75">
        <f>+'5. Csicsergő'!Q99-Q126</f>
        <v>1660000</v>
      </c>
      <c r="R114" s="75">
        <f>+'5. Csicsergő'!R99-R126</f>
        <v>8517587</v>
      </c>
      <c r="S114" s="75">
        <f>+'5. Csicsergő'!S99-S126</f>
        <v>11621587</v>
      </c>
      <c r="T114" s="530"/>
      <c r="U114" s="76"/>
    </row>
    <row r="115" spans="1:21" x14ac:dyDescent="0.2">
      <c r="B115" s="58" t="str">
        <f t="shared" si="88"/>
        <v>GÓLYAHÍR BÖLCSŐDE</v>
      </c>
      <c r="C115" s="529">
        <f>+'6. Gólyahír'!C99</f>
        <v>51230000</v>
      </c>
      <c r="D115" s="75">
        <f>+'6. Gólyahír'!D99</f>
        <v>51230000</v>
      </c>
      <c r="E115" s="75">
        <f>+'6. Gólyahír'!E99</f>
        <v>51230000</v>
      </c>
      <c r="F115" s="489">
        <f>+'6. Gólyahír'!F99</f>
        <v>51964000</v>
      </c>
      <c r="G115" s="75"/>
      <c r="H115" s="529">
        <f>+'6. Gólyahír'!H99-H127</f>
        <v>25458650</v>
      </c>
      <c r="I115" s="75">
        <f>+'6. Gólyahír'!I99-I127</f>
        <v>35948949</v>
      </c>
      <c r="J115" s="75">
        <f>+'6. Gólyahír'!J99</f>
        <v>50959205</v>
      </c>
      <c r="K115" s="75"/>
      <c r="L115" s="75"/>
      <c r="M115" s="75"/>
      <c r="N115" s="489"/>
      <c r="O115" s="75"/>
      <c r="P115" s="529">
        <f>+'6. Gólyahír'!P99-P127</f>
        <v>0</v>
      </c>
      <c r="Q115" s="75">
        <f>+'6. Gólyahír'!Q99-Q127</f>
        <v>0</v>
      </c>
      <c r="R115" s="75">
        <f>+'6. Gólyahír'!R99-R127</f>
        <v>734000</v>
      </c>
      <c r="S115" s="75">
        <f>+'6. Gólyahír'!S99-S127</f>
        <v>734000</v>
      </c>
      <c r="T115" s="530"/>
      <c r="U115" s="76"/>
    </row>
    <row r="116" spans="1:21" x14ac:dyDescent="0.2">
      <c r="B116" s="58" t="str">
        <f t="shared" si="88"/>
        <v>POLGÁRMESTERI HIVATAL</v>
      </c>
      <c r="C116" s="529">
        <f>+'7. Polg.Hiv.'!C99</f>
        <v>113342899</v>
      </c>
      <c r="D116" s="75">
        <f>+'7. Polg.Hiv.'!D99</f>
        <v>113342899</v>
      </c>
      <c r="E116" s="75">
        <f>+'7. Polg.Hiv.'!E99</f>
        <v>113342899</v>
      </c>
      <c r="F116" s="489">
        <f>+'7. Polg.Hiv.'!F99</f>
        <v>113342899</v>
      </c>
      <c r="G116" s="75"/>
      <c r="H116" s="529">
        <f>+'7. Polg.Hiv.'!H99-H128</f>
        <v>55828164</v>
      </c>
      <c r="I116" s="75">
        <f>+'7. Polg.Hiv.'!I99-I128</f>
        <v>81343960</v>
      </c>
      <c r="J116" s="75">
        <f>+'7. Polg.Hiv.'!J99</f>
        <v>107213217</v>
      </c>
      <c r="K116" s="75"/>
      <c r="L116" s="75"/>
      <c r="M116" s="75"/>
      <c r="N116" s="489"/>
      <c r="O116" s="75"/>
      <c r="P116" s="529">
        <f>+'7. Polg.Hiv.'!P99-P128</f>
        <v>0</v>
      </c>
      <c r="Q116" s="75">
        <f>+'7. Polg.Hiv.'!Q99-Q128</f>
        <v>0</v>
      </c>
      <c r="R116" s="75">
        <f>+'7. Polg.Hiv.'!R99-R128</f>
        <v>0</v>
      </c>
      <c r="S116" s="75">
        <f>+'7. Polg.Hiv.'!S99-S128</f>
        <v>0</v>
      </c>
      <c r="T116" s="530"/>
      <c r="U116" s="76"/>
    </row>
    <row r="117" spans="1:21" x14ac:dyDescent="0.2">
      <c r="B117" s="58" t="str">
        <f t="shared" si="88"/>
        <v>Wass Albert Művelődési Központ és Könyvtár</v>
      </c>
      <c r="C117" s="529">
        <f>+'8. WAMKK'!C99</f>
        <v>29624000</v>
      </c>
      <c r="D117" s="75">
        <f>+'8. WAMKK'!D99</f>
        <v>31224000</v>
      </c>
      <c r="E117" s="75">
        <f>+'8. WAMKK'!E99</f>
        <v>31224000</v>
      </c>
      <c r="F117" s="489">
        <f>+'8. WAMKK'!F99</f>
        <v>30766250</v>
      </c>
      <c r="G117" s="75"/>
      <c r="H117" s="529">
        <f>+'8. WAMKK'!H99-H129</f>
        <v>16263376</v>
      </c>
      <c r="I117" s="75">
        <f>+'8. WAMKK'!I99-I129</f>
        <v>26227032</v>
      </c>
      <c r="J117" s="75">
        <f>+'8. WAMKK'!J99</f>
        <v>30766250</v>
      </c>
      <c r="K117" s="75"/>
      <c r="L117" s="75"/>
      <c r="M117" s="75"/>
      <c r="N117" s="489"/>
      <c r="O117" s="75"/>
      <c r="P117" s="529">
        <f>+'8. WAMKK'!P99-P129</f>
        <v>1600000</v>
      </c>
      <c r="Q117" s="75">
        <f>+'8. WAMKK'!Q99-Q129</f>
        <v>0</v>
      </c>
      <c r="R117" s="75">
        <f>+'8. WAMKK'!R99-R129</f>
        <v>-457750</v>
      </c>
      <c r="S117" s="75">
        <f>+'8. WAMKK'!S99-S129</f>
        <v>1142250</v>
      </c>
      <c r="T117" s="530"/>
      <c r="U117" s="76"/>
    </row>
    <row r="118" spans="1:21" x14ac:dyDescent="0.2">
      <c r="B118" s="58" t="str">
        <f t="shared" si="88"/>
        <v>Központi Konyha</v>
      </c>
      <c r="C118" s="529">
        <f>+'9. Közp. Konyha'!C99</f>
        <v>70811000</v>
      </c>
      <c r="D118" s="75">
        <f>+'9. Közp. Konyha'!D99</f>
        <v>70811000</v>
      </c>
      <c r="E118" s="75">
        <f>+'9. Közp. Konyha'!E99</f>
        <v>70811000</v>
      </c>
      <c r="F118" s="489">
        <f>+'9. Közp. Konyha'!F99</f>
        <v>70811000</v>
      </c>
      <c r="G118" s="75"/>
      <c r="H118" s="529">
        <f>+'9. Közp. Konyha'!H99-H130</f>
        <v>33423906</v>
      </c>
      <c r="I118" s="75">
        <f>+'9. Közp. Konyha'!I99-I130</f>
        <v>43926518</v>
      </c>
      <c r="J118" s="75">
        <f>+'9. Közp. Konyha'!J99</f>
        <v>67806187</v>
      </c>
      <c r="K118" s="75"/>
      <c r="L118" s="75"/>
      <c r="M118" s="75"/>
      <c r="N118" s="489"/>
      <c r="O118" s="75"/>
      <c r="P118" s="529">
        <f>+'9. Közp. Konyha'!P99-P130</f>
        <v>0</v>
      </c>
      <c r="Q118" s="75">
        <f>+'9. Közp. Konyha'!Q99-Q130</f>
        <v>0</v>
      </c>
      <c r="R118" s="75">
        <f>+'9. Közp. Konyha'!R99-R130</f>
        <v>0</v>
      </c>
      <c r="S118" s="75">
        <f>+'9. Közp. Konyha'!S99-S130</f>
        <v>0</v>
      </c>
      <c r="T118" s="530"/>
      <c r="U118" s="76"/>
    </row>
    <row r="119" spans="1:21" ht="8.1" customHeight="1" x14ac:dyDescent="0.2">
      <c r="B119" s="413" t="s">
        <v>455</v>
      </c>
      <c r="C119" s="531"/>
      <c r="D119" s="412"/>
      <c r="E119" s="412"/>
      <c r="F119" s="542"/>
      <c r="G119" s="412"/>
      <c r="H119" s="531"/>
      <c r="I119" s="412"/>
      <c r="J119" s="412"/>
      <c r="K119" s="412"/>
      <c r="L119" s="412"/>
      <c r="M119" s="412"/>
      <c r="N119" s="542"/>
      <c r="O119" s="412"/>
      <c r="P119" s="531"/>
      <c r="Q119" s="412"/>
      <c r="R119" s="412"/>
      <c r="S119" s="412"/>
      <c r="T119" s="530"/>
      <c r="U119" s="76"/>
    </row>
    <row r="120" spans="1:21" x14ac:dyDescent="0.2">
      <c r="A120" s="414" t="str">
        <f>+A111</f>
        <v>B8</v>
      </c>
      <c r="B120" s="394" t="s">
        <v>448</v>
      </c>
      <c r="C120" s="532">
        <f>SUM(C112:C119)</f>
        <v>575059181</v>
      </c>
      <c r="D120" s="395">
        <f t="shared" ref="D120" si="89">SUM(D112:D119)</f>
        <v>595512181</v>
      </c>
      <c r="E120" s="395">
        <f t="shared" ref="E120" si="90">SUM(E112:E119)</f>
        <v>597172181</v>
      </c>
      <c r="F120" s="543">
        <f t="shared" ref="F120" si="91">SUM(F112:F119)</f>
        <v>605966018</v>
      </c>
      <c r="G120" s="395"/>
      <c r="H120" s="532">
        <f>SUM(H112:H119)</f>
        <v>347273157</v>
      </c>
      <c r="I120" s="395">
        <f t="shared" ref="I120" si="92">SUM(I112:I119)</f>
        <v>456478629</v>
      </c>
      <c r="J120" s="395">
        <f t="shared" ref="J120" si="93">SUM(J112:J119)</f>
        <v>597025779</v>
      </c>
      <c r="K120" s="395"/>
      <c r="L120" s="395"/>
      <c r="M120" s="395"/>
      <c r="N120" s="543"/>
      <c r="O120" s="395"/>
      <c r="P120" s="532">
        <f>SUM(P112:P119)</f>
        <v>20453000</v>
      </c>
      <c r="Q120" s="395">
        <f t="shared" ref="Q120" si="94">SUM(Q112:Q119)</f>
        <v>1660000</v>
      </c>
      <c r="R120" s="395">
        <f t="shared" ref="R120" si="95">SUM(R112:R119)</f>
        <v>8793837</v>
      </c>
      <c r="S120" s="395">
        <f t="shared" ref="S120" si="96">SUM(S112:S119)</f>
        <v>30906837</v>
      </c>
      <c r="T120" s="530"/>
      <c r="U120" s="76"/>
    </row>
    <row r="121" spans="1:21" x14ac:dyDescent="0.2">
      <c r="C121" s="533"/>
      <c r="F121" s="487"/>
      <c r="H121" s="533"/>
      <c r="N121" s="530"/>
      <c r="P121" s="533"/>
      <c r="T121" s="530"/>
    </row>
    <row r="122" spans="1:21" x14ac:dyDescent="0.2">
      <c r="C122" s="533"/>
      <c r="F122" s="487"/>
      <c r="H122" s="533"/>
      <c r="J122" s="23">
        <f>+J120-597025779</f>
        <v>0</v>
      </c>
      <c r="N122" s="530"/>
      <c r="P122" s="533"/>
      <c r="T122" s="530"/>
    </row>
    <row r="123" spans="1:21" x14ac:dyDescent="0.2">
      <c r="A123" s="346" t="s">
        <v>456</v>
      </c>
      <c r="B123" s="346"/>
      <c r="C123" s="529"/>
      <c r="D123" s="76"/>
      <c r="E123" s="76"/>
      <c r="F123" s="555"/>
      <c r="G123" s="76"/>
      <c r="H123" s="529"/>
      <c r="K123" s="76"/>
      <c r="L123" s="93"/>
      <c r="M123" s="93"/>
      <c r="N123" s="530"/>
      <c r="O123" s="76"/>
      <c r="P123" s="529"/>
      <c r="Q123" s="75"/>
      <c r="R123" s="75"/>
      <c r="S123" s="75"/>
      <c r="T123" s="530"/>
      <c r="U123" s="76"/>
    </row>
    <row r="124" spans="1:21" x14ac:dyDescent="0.2">
      <c r="B124" s="58" t="str">
        <f t="shared" ref="B124:B130" si="97">+B112</f>
        <v>Sülysáp Város Önkormányzat</v>
      </c>
      <c r="C124" s="529">
        <f>+' 2. Önk. Bevételek'!C88</f>
        <v>109560182</v>
      </c>
      <c r="D124" s="75">
        <f>+' 2. Önk. Bevételek'!D88</f>
        <v>109560182</v>
      </c>
      <c r="E124" s="75">
        <f>+' 2. Önk. Bevételek'!E88</f>
        <v>109560182</v>
      </c>
      <c r="F124" s="489">
        <f>+' 2. Önk. Bevételek'!F88</f>
        <v>109560182</v>
      </c>
      <c r="G124" s="76"/>
      <c r="H124" s="529">
        <f>+' 2. Önk. Bevételek'!H88</f>
        <v>109560182</v>
      </c>
      <c r="I124" s="75">
        <f>+' 2. Önk. Bevételek'!I88</f>
        <v>109560182</v>
      </c>
      <c r="J124" s="75">
        <f>+' 2. Önk. Bevételek'!J88</f>
        <v>109560182</v>
      </c>
      <c r="K124" s="76"/>
      <c r="L124" s="604"/>
      <c r="M124" s="93"/>
      <c r="N124" s="530"/>
      <c r="O124" s="76"/>
      <c r="P124" s="529">
        <f>+' 2. Önk. Bevételek'!P87</f>
        <v>0</v>
      </c>
      <c r="Q124" s="75">
        <f>+' 2. Önk. Bevételek'!Q87</f>
        <v>0</v>
      </c>
      <c r="R124" s="75">
        <f>+' 2. Önk. Bevételek'!R87</f>
        <v>0</v>
      </c>
      <c r="S124" s="75">
        <f>+' 2. Önk. Bevételek'!S87</f>
        <v>0</v>
      </c>
      <c r="T124" s="530"/>
      <c r="U124" s="76"/>
    </row>
    <row r="125" spans="1:21" x14ac:dyDescent="0.2">
      <c r="A125" s="58"/>
      <c r="B125" s="58" t="str">
        <f t="shared" si="97"/>
        <v>Dr. Gáspár István HSZK</v>
      </c>
      <c r="C125" s="529">
        <f>+'4. Dr Gáspár HSZK'!C101</f>
        <v>886239</v>
      </c>
      <c r="D125" s="75">
        <f>+'4. Dr Gáspár HSZK'!D101</f>
        <v>886239</v>
      </c>
      <c r="E125" s="75">
        <f>+'4. Dr Gáspár HSZK'!E101</f>
        <v>886239</v>
      </c>
      <c r="F125" s="489">
        <f>+'4. Dr Gáspár HSZK'!F101</f>
        <v>886239</v>
      </c>
      <c r="G125" s="75"/>
      <c r="H125" s="529">
        <f>+'4. Dr Gáspár HSZK'!H101</f>
        <v>886239</v>
      </c>
      <c r="I125" s="75">
        <f>+'4. Dr Gáspár HSZK'!I101</f>
        <v>886239</v>
      </c>
      <c r="J125" s="75">
        <f>+'4. Dr Gáspár HSZK'!J101</f>
        <v>886239</v>
      </c>
      <c r="K125" s="75"/>
      <c r="L125" s="604"/>
      <c r="M125" s="75"/>
      <c r="N125" s="489"/>
      <c r="O125" s="75"/>
      <c r="P125" s="529">
        <f>+'4. Dr Gáspár HSZK'!P101</f>
        <v>0</v>
      </c>
      <c r="Q125" s="75">
        <f>+'4. Dr Gáspár HSZK'!Q101</f>
        <v>0</v>
      </c>
      <c r="R125" s="75">
        <f>+'4. Dr Gáspár HSZK'!R101</f>
        <v>0</v>
      </c>
      <c r="S125" s="75">
        <f>+'4. Dr Gáspár HSZK'!S101</f>
        <v>0</v>
      </c>
      <c r="T125" s="530"/>
      <c r="U125" s="76"/>
    </row>
    <row r="126" spans="1:21" x14ac:dyDescent="0.2">
      <c r="B126" s="58" t="str">
        <f t="shared" si="97"/>
        <v>SÜLYSÁPI CSICSERGŐ ÓVODA</v>
      </c>
      <c r="C126" s="529">
        <f>+'5. Csicsergő'!C101</f>
        <v>581008</v>
      </c>
      <c r="D126" s="75">
        <f>+'5. Csicsergő'!D101</f>
        <v>581008</v>
      </c>
      <c r="E126" s="75">
        <f>+'5. Csicsergő'!E101</f>
        <v>581008</v>
      </c>
      <c r="F126" s="489">
        <f>+'5. Csicsergő'!F101</f>
        <v>581008</v>
      </c>
      <c r="G126" s="75"/>
      <c r="H126" s="529">
        <f>+'5. Csicsergő'!H101</f>
        <v>581008</v>
      </c>
      <c r="I126" s="75">
        <f>+'5. Csicsergő'!I101</f>
        <v>581008</v>
      </c>
      <c r="J126" s="75">
        <f>+'5. Csicsergő'!J101</f>
        <v>581008</v>
      </c>
      <c r="K126" s="75"/>
      <c r="L126" s="604"/>
      <c r="M126" s="75"/>
      <c r="N126" s="489"/>
      <c r="O126" s="75"/>
      <c r="P126" s="529">
        <f>+'5. Csicsergő'!P101</f>
        <v>0</v>
      </c>
      <c r="Q126" s="75">
        <f>+'5. Csicsergő'!Q101</f>
        <v>0</v>
      </c>
      <c r="R126" s="75">
        <f>+'5. Csicsergő'!R101</f>
        <v>0</v>
      </c>
      <c r="S126" s="75">
        <f>+'5. Csicsergő'!S101</f>
        <v>0</v>
      </c>
      <c r="T126" s="530"/>
      <c r="U126" s="76"/>
    </row>
    <row r="127" spans="1:21" x14ac:dyDescent="0.2">
      <c r="B127" s="58" t="str">
        <f t="shared" si="97"/>
        <v>GÓLYAHÍR BÖLCSŐDE</v>
      </c>
      <c r="C127" s="529">
        <f>+'6. Gólyahír'!C101</f>
        <v>2348234</v>
      </c>
      <c r="D127" s="75">
        <f>+'6. Gólyahír'!D101</f>
        <v>2348234</v>
      </c>
      <c r="E127" s="75">
        <f>+'6. Gólyahír'!E101</f>
        <v>2348234</v>
      </c>
      <c r="F127" s="489">
        <f>+'6. Gólyahír'!F101</f>
        <v>2348234</v>
      </c>
      <c r="G127" s="75"/>
      <c r="H127" s="529">
        <f>+'6. Gólyahír'!H101</f>
        <v>2348234</v>
      </c>
      <c r="I127" s="75">
        <f>+'6. Gólyahír'!I101</f>
        <v>2348234</v>
      </c>
      <c r="J127" s="75">
        <f>+'6. Gólyahír'!J101</f>
        <v>2348234</v>
      </c>
      <c r="K127" s="75"/>
      <c r="L127" s="604"/>
      <c r="M127" s="75"/>
      <c r="N127" s="489"/>
      <c r="O127" s="75"/>
      <c r="P127" s="529">
        <f>+'6. Gólyahír'!P101</f>
        <v>0</v>
      </c>
      <c r="Q127" s="75">
        <f>+'6. Gólyahír'!Q101</f>
        <v>0</v>
      </c>
      <c r="R127" s="75">
        <f>+'6. Gólyahír'!R101</f>
        <v>0</v>
      </c>
      <c r="S127" s="75">
        <f>+'6. Gólyahír'!S101</f>
        <v>0</v>
      </c>
      <c r="T127" s="530"/>
      <c r="U127" s="76"/>
    </row>
    <row r="128" spans="1:21" x14ac:dyDescent="0.2">
      <c r="B128" s="58" t="str">
        <f t="shared" si="97"/>
        <v>POLGÁRMESTERI HIVATAL</v>
      </c>
      <c r="C128" s="529">
        <f>+'7. Polg.Hiv.'!C101</f>
        <v>2218308</v>
      </c>
      <c r="D128" s="75">
        <f>+'7. Polg.Hiv.'!D101</f>
        <v>2218308</v>
      </c>
      <c r="E128" s="75">
        <f>+'7. Polg.Hiv.'!E101</f>
        <v>2218308</v>
      </c>
      <c r="F128" s="489">
        <f>+'7. Polg.Hiv.'!F101</f>
        <v>2218308</v>
      </c>
      <c r="G128" s="75"/>
      <c r="H128" s="529">
        <f>+'7. Polg.Hiv.'!H101</f>
        <v>2218308</v>
      </c>
      <c r="I128" s="75">
        <f>+'7. Polg.Hiv.'!I101</f>
        <v>2218308</v>
      </c>
      <c r="J128" s="75">
        <f>+'7. Polg.Hiv.'!J101</f>
        <v>2218308</v>
      </c>
      <c r="K128" s="75"/>
      <c r="L128" s="604"/>
      <c r="M128" s="75"/>
      <c r="N128" s="489"/>
      <c r="O128" s="75"/>
      <c r="P128" s="529">
        <f>+'7. Polg.Hiv.'!P101</f>
        <v>0</v>
      </c>
      <c r="Q128" s="75">
        <f>+'7. Polg.Hiv.'!Q101</f>
        <v>0</v>
      </c>
      <c r="R128" s="75">
        <f>+'7. Polg.Hiv.'!R101</f>
        <v>0</v>
      </c>
      <c r="S128" s="75">
        <f>+'7. Polg.Hiv.'!S101</f>
        <v>0</v>
      </c>
      <c r="T128" s="530"/>
      <c r="U128" s="76"/>
    </row>
    <row r="129" spans="1:21" x14ac:dyDescent="0.2">
      <c r="B129" s="58" t="str">
        <f t="shared" si="97"/>
        <v>Wass Albert Művelődési Központ és Könyvtár</v>
      </c>
      <c r="C129" s="529">
        <f>+'8. WAMKK'!C101</f>
        <v>257821</v>
      </c>
      <c r="D129" s="75">
        <f>+'8. WAMKK'!D101</f>
        <v>257821</v>
      </c>
      <c r="E129" s="75">
        <f>+'8. WAMKK'!E101</f>
        <v>257821</v>
      </c>
      <c r="F129" s="489">
        <f>+'8. WAMKK'!F101</f>
        <v>257821</v>
      </c>
      <c r="G129" s="75"/>
      <c r="H129" s="529">
        <f>+'8. WAMKK'!H101</f>
        <v>257821</v>
      </c>
      <c r="I129" s="75">
        <f>+'8. WAMKK'!I101</f>
        <v>257821</v>
      </c>
      <c r="J129" s="75">
        <f>+'8. WAMKK'!J101</f>
        <v>257821</v>
      </c>
      <c r="K129" s="75"/>
      <c r="L129" s="604"/>
      <c r="M129" s="75"/>
      <c r="N129" s="489"/>
      <c r="O129" s="75"/>
      <c r="P129" s="529">
        <f>+'8. WAMKK'!P101</f>
        <v>0</v>
      </c>
      <c r="Q129" s="75">
        <f>+'8. WAMKK'!Q101</f>
        <v>0</v>
      </c>
      <c r="R129" s="75">
        <f>+'8. WAMKK'!R101</f>
        <v>0</v>
      </c>
      <c r="S129" s="75">
        <f>+'8. WAMKK'!S101</f>
        <v>0</v>
      </c>
      <c r="T129" s="530"/>
      <c r="U129" s="76"/>
    </row>
    <row r="130" spans="1:21" x14ac:dyDescent="0.2">
      <c r="B130" s="58" t="str">
        <f t="shared" si="97"/>
        <v>Központi Konyha</v>
      </c>
      <c r="C130" s="529">
        <f>+'9. Közp. Konyha'!C101</f>
        <v>5041227</v>
      </c>
      <c r="D130" s="75">
        <f>+'9. Közp. Konyha'!D101</f>
        <v>5041227</v>
      </c>
      <c r="E130" s="75">
        <f>+'9. Közp. Konyha'!E101</f>
        <v>5041227</v>
      </c>
      <c r="F130" s="489">
        <f>+'9. Közp. Konyha'!F101</f>
        <v>5041227</v>
      </c>
      <c r="G130" s="75"/>
      <c r="H130" s="529">
        <f>+'9. Közp. Konyha'!H101</f>
        <v>5041227</v>
      </c>
      <c r="I130" s="75">
        <f>+'9. Közp. Konyha'!I101</f>
        <v>5041227</v>
      </c>
      <c r="J130" s="75">
        <f>+'9. Közp. Konyha'!J101</f>
        <v>5041227</v>
      </c>
      <c r="K130" s="75"/>
      <c r="L130" s="604"/>
      <c r="M130" s="75"/>
      <c r="N130" s="489"/>
      <c r="O130" s="75"/>
      <c r="P130" s="529">
        <f>+'9. Közp. Konyha'!P101</f>
        <v>0</v>
      </c>
      <c r="Q130" s="75">
        <f>+'9. Közp. Konyha'!Q101</f>
        <v>0</v>
      </c>
      <c r="R130" s="75">
        <f>+'9. Közp. Konyha'!R101</f>
        <v>0</v>
      </c>
      <c r="S130" s="75">
        <f>+'9. Közp. Konyha'!S101</f>
        <v>0</v>
      </c>
      <c r="T130" s="530"/>
      <c r="U130" s="76"/>
    </row>
    <row r="131" spans="1:21" ht="8.1" customHeight="1" x14ac:dyDescent="0.2">
      <c r="B131" s="413" t="s">
        <v>455</v>
      </c>
      <c r="C131" s="531"/>
      <c r="D131" s="412"/>
      <c r="E131" s="412"/>
      <c r="F131" s="542"/>
      <c r="G131" s="412"/>
      <c r="H131" s="531"/>
      <c r="I131" s="412"/>
      <c r="J131" s="412"/>
      <c r="K131" s="412"/>
      <c r="L131" s="412"/>
      <c r="M131" s="412"/>
      <c r="N131" s="542"/>
      <c r="O131" s="412"/>
      <c r="P131" s="531"/>
      <c r="Q131" s="412"/>
      <c r="R131" s="412"/>
      <c r="S131" s="412"/>
      <c r="T131" s="530"/>
      <c r="U131" s="76"/>
    </row>
    <row r="132" spans="1:21" x14ac:dyDescent="0.2">
      <c r="A132" s="414" t="str">
        <f>+A123</f>
        <v>B8-ból előző évi mardvány igénybevétele</v>
      </c>
      <c r="B132" s="394" t="s">
        <v>448</v>
      </c>
      <c r="C132" s="532">
        <f>SUM(C124:C131)</f>
        <v>120893019</v>
      </c>
      <c r="D132" s="395">
        <f t="shared" ref="D132" si="98">SUM(D124:D131)</f>
        <v>120893019</v>
      </c>
      <c r="E132" s="395">
        <f t="shared" ref="E132" si="99">SUM(E124:E131)</f>
        <v>120893019</v>
      </c>
      <c r="F132" s="543">
        <f t="shared" ref="F132" si="100">SUM(F124:F131)</f>
        <v>120893019</v>
      </c>
      <c r="G132" s="395"/>
      <c r="H132" s="532">
        <f>SUM(H124:H131)</f>
        <v>120893019</v>
      </c>
      <c r="I132" s="395">
        <f t="shared" ref="I132" si="101">SUM(I124:I131)</f>
        <v>120893019</v>
      </c>
      <c r="J132" s="395">
        <f t="shared" ref="J132" si="102">SUM(J124:J131)</f>
        <v>120893019</v>
      </c>
      <c r="K132" s="395"/>
      <c r="L132" s="395"/>
      <c r="M132" s="395"/>
      <c r="N132" s="543"/>
      <c r="O132" s="395"/>
      <c r="P132" s="532">
        <f>SUM(P124:P131)</f>
        <v>0</v>
      </c>
      <c r="Q132" s="395">
        <f t="shared" ref="Q132" si="103">SUM(Q124:Q131)</f>
        <v>0</v>
      </c>
      <c r="R132" s="395">
        <f t="shared" ref="R132" si="104">SUM(R124:R131)</f>
        <v>0</v>
      </c>
      <c r="S132" s="395">
        <f t="shared" ref="S132" si="105">SUM(S124:S131)</f>
        <v>0</v>
      </c>
      <c r="T132" s="530"/>
      <c r="U132" s="76"/>
    </row>
    <row r="133" spans="1:21" x14ac:dyDescent="0.2">
      <c r="C133" s="529"/>
      <c r="F133" s="487"/>
      <c r="H133" s="533"/>
      <c r="N133" s="530"/>
      <c r="P133" s="533"/>
      <c r="T133" s="530"/>
    </row>
    <row r="134" spans="1:21" x14ac:dyDescent="0.2">
      <c r="C134" s="533"/>
      <c r="F134" s="487"/>
      <c r="H134" s="533"/>
      <c r="N134" s="530"/>
      <c r="P134" s="533"/>
      <c r="T134" s="530"/>
    </row>
    <row r="135" spans="1:21" x14ac:dyDescent="0.2">
      <c r="A135" s="346" t="s">
        <v>359</v>
      </c>
      <c r="B135" s="346" t="str">
        <f>+'4. Dr Gáspár HSZK'!B100</f>
        <v>Központi, irányító szervi támogatás</v>
      </c>
      <c r="C135" s="556" t="s">
        <v>451</v>
      </c>
      <c r="D135" s="76"/>
      <c r="E135" s="76"/>
      <c r="F135" s="555"/>
      <c r="G135" s="76"/>
      <c r="H135" s="529"/>
      <c r="K135" s="76"/>
      <c r="L135" s="93"/>
      <c r="M135" s="93"/>
      <c r="N135" s="530"/>
      <c r="O135" s="76"/>
      <c r="P135" s="529"/>
      <c r="Q135" s="75"/>
      <c r="R135" s="75"/>
      <c r="S135" s="75"/>
      <c r="T135" s="530"/>
      <c r="U135" s="76"/>
    </row>
    <row r="136" spans="1:21" x14ac:dyDescent="0.2">
      <c r="B136" s="58" t="str">
        <f t="shared" ref="B136:B142" si="106">+B124</f>
        <v>Sülysáp Város Önkormányzat</v>
      </c>
      <c r="C136" s="529"/>
      <c r="D136" s="75"/>
      <c r="E136" s="75"/>
      <c r="F136" s="489"/>
      <c r="G136" s="76"/>
      <c r="H136" s="529"/>
      <c r="I136" s="75"/>
      <c r="J136" s="75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">
      <c r="A137" s="58"/>
      <c r="B137" s="58" t="str">
        <f t="shared" si="106"/>
        <v>Dr. Gáspár István HSZK</v>
      </c>
      <c r="C137" s="529">
        <f>+'4. Dr Gáspár HSZK'!C100</f>
        <v>27728761</v>
      </c>
      <c r="D137" s="75">
        <f>+'4. Dr Gáspár HSZK'!D100</f>
        <v>28137761</v>
      </c>
      <c r="E137" s="75">
        <f>+'4. Dr Gáspár HSZK'!E100</f>
        <v>28137761</v>
      </c>
      <c r="F137" s="489">
        <f>+'4. Dr Gáspár HSZK'!F100</f>
        <v>28137761</v>
      </c>
      <c r="G137" s="75"/>
      <c r="H137" s="529">
        <f>+'4. Dr Gáspár HSZK'!H100</f>
        <v>15590607</v>
      </c>
      <c r="I137" s="75">
        <f>+'4. Dr Gáspár HSZK'!I100</f>
        <v>21838054</v>
      </c>
      <c r="J137" s="75">
        <f>+'4. Dr Gáspár HSZK'!J100</f>
        <v>27674184</v>
      </c>
      <c r="K137" s="75"/>
      <c r="L137" s="75"/>
      <c r="M137" s="75"/>
      <c r="N137" s="489"/>
      <c r="O137" s="75"/>
      <c r="P137" s="529">
        <f>+'4. Dr Gáspár HSZK'!P100</f>
        <v>409000</v>
      </c>
      <c r="Q137" s="75">
        <f>+'4. Dr Gáspár HSZK'!Q100</f>
        <v>0</v>
      </c>
      <c r="R137" s="75">
        <f>+'4. Dr Gáspár HSZK'!R100</f>
        <v>0</v>
      </c>
      <c r="S137" s="75">
        <f>+'4. Dr Gáspár HSZK'!S100</f>
        <v>409000</v>
      </c>
      <c r="T137" s="530"/>
      <c r="U137" s="76"/>
    </row>
    <row r="138" spans="1:21" x14ac:dyDescent="0.2">
      <c r="B138" s="58" t="str">
        <f t="shared" si="106"/>
        <v>SÜLYSÁPI CSICSERGŐ ÓVODA</v>
      </c>
      <c r="C138" s="529">
        <f>+'5. Csicsergő'!C100</f>
        <v>171295092</v>
      </c>
      <c r="D138" s="75">
        <f>+'5. Csicsergő'!D100</f>
        <v>172739092</v>
      </c>
      <c r="E138" s="75">
        <f>+'5. Csicsergő'!E100</f>
        <v>174399092</v>
      </c>
      <c r="F138" s="489">
        <f>+'5. Csicsergő'!F100</f>
        <v>182916679</v>
      </c>
      <c r="G138" s="75"/>
      <c r="H138" s="529">
        <f>+'5. Csicsergő'!H100</f>
        <v>91148272</v>
      </c>
      <c r="I138" s="75">
        <f>+'5. Csicsergő'!I100</f>
        <v>137633934</v>
      </c>
      <c r="J138" s="75">
        <f>+'5. Csicsergő'!J100</f>
        <v>182916679</v>
      </c>
      <c r="K138" s="75"/>
      <c r="L138" s="75"/>
      <c r="M138" s="75"/>
      <c r="N138" s="489"/>
      <c r="O138" s="75"/>
      <c r="P138" s="529">
        <f>+'5. Csicsergő'!P100</f>
        <v>1444000</v>
      </c>
      <c r="Q138" s="75">
        <f>+'5. Csicsergő'!Q100</f>
        <v>1660000</v>
      </c>
      <c r="R138" s="75">
        <f>+'5. Csicsergő'!R100</f>
        <v>8517587</v>
      </c>
      <c r="S138" s="75">
        <f>+'5. Csicsergő'!S100</f>
        <v>11621587</v>
      </c>
      <c r="T138" s="530"/>
      <c r="U138" s="76"/>
    </row>
    <row r="139" spans="1:21" x14ac:dyDescent="0.2">
      <c r="B139" s="58" t="str">
        <f t="shared" si="106"/>
        <v>GÓLYAHÍR BÖLCSŐDE</v>
      </c>
      <c r="C139" s="529">
        <f>+'6. Gólyahír'!C100</f>
        <v>48881766</v>
      </c>
      <c r="D139" s="75">
        <f>+'6. Gólyahír'!D100</f>
        <v>48881766</v>
      </c>
      <c r="E139" s="75">
        <f>+'6. Gólyahír'!E100</f>
        <v>48881766</v>
      </c>
      <c r="F139" s="489">
        <f>+'6. Gólyahír'!F100</f>
        <v>49615766</v>
      </c>
      <c r="G139" s="75"/>
      <c r="H139" s="529">
        <f>+'6. Gólyahír'!H100</f>
        <v>25458650</v>
      </c>
      <c r="I139" s="75">
        <f>+'6. Gólyahír'!I100</f>
        <v>35948949</v>
      </c>
      <c r="J139" s="75">
        <f>+'6. Gólyahír'!J100</f>
        <v>48610971</v>
      </c>
      <c r="K139" s="75"/>
      <c r="L139" s="75"/>
      <c r="M139" s="75"/>
      <c r="N139" s="489"/>
      <c r="O139" s="75"/>
      <c r="P139" s="529">
        <f>+'6. Gólyahír'!P100</f>
        <v>0</v>
      </c>
      <c r="Q139" s="75">
        <f>+'6. Gólyahír'!Q100</f>
        <v>0</v>
      </c>
      <c r="R139" s="75">
        <f>+'6. Gólyahír'!R100</f>
        <v>734000</v>
      </c>
      <c r="S139" s="75">
        <f>+'6. Gólyahír'!S100</f>
        <v>734000</v>
      </c>
      <c r="T139" s="530"/>
      <c r="U139" s="76"/>
    </row>
    <row r="140" spans="1:21" x14ac:dyDescent="0.2">
      <c r="B140" s="58" t="str">
        <f t="shared" si="106"/>
        <v>POLGÁRMESTERI HIVATAL</v>
      </c>
      <c r="C140" s="529">
        <f>+'7. Polg.Hiv.'!C100</f>
        <v>111124591</v>
      </c>
      <c r="D140" s="75">
        <f>+'7. Polg.Hiv.'!D100</f>
        <v>111124591</v>
      </c>
      <c r="E140" s="75">
        <f>+'7. Polg.Hiv.'!E100</f>
        <v>111124591</v>
      </c>
      <c r="F140" s="489">
        <f>+'7. Polg.Hiv.'!F100</f>
        <v>111124591</v>
      </c>
      <c r="G140" s="75"/>
      <c r="H140" s="529">
        <f>+'7. Polg.Hiv.'!H100</f>
        <v>55828164</v>
      </c>
      <c r="I140" s="75">
        <f>+'7. Polg.Hiv.'!I100</f>
        <v>81343960</v>
      </c>
      <c r="J140" s="75">
        <f>+'7. Polg.Hiv.'!J100</f>
        <v>104994909</v>
      </c>
      <c r="K140" s="75"/>
      <c r="L140" s="75"/>
      <c r="M140" s="75"/>
      <c r="N140" s="489"/>
      <c r="O140" s="75"/>
      <c r="P140" s="529">
        <f>+'7. Polg.Hiv.'!P100</f>
        <v>0</v>
      </c>
      <c r="Q140" s="75">
        <f>+'7. Polg.Hiv.'!Q100</f>
        <v>0</v>
      </c>
      <c r="R140" s="75">
        <f>+'7. Polg.Hiv.'!R100</f>
        <v>0</v>
      </c>
      <c r="S140" s="75">
        <f>+'7. Polg.Hiv.'!S100</f>
        <v>0</v>
      </c>
      <c r="T140" s="530"/>
      <c r="U140" s="76"/>
    </row>
    <row r="141" spans="1:21" x14ac:dyDescent="0.2">
      <c r="B141" s="58" t="str">
        <f t="shared" si="106"/>
        <v>Wass Albert Művelődési Központ és Könyvtár</v>
      </c>
      <c r="C141" s="529">
        <f>+'8. WAMKK'!C100</f>
        <v>29366179</v>
      </c>
      <c r="D141" s="75">
        <f>+'8. WAMKK'!D100</f>
        <v>30966179</v>
      </c>
      <c r="E141" s="75">
        <f>+'8. WAMKK'!E100</f>
        <v>30966179</v>
      </c>
      <c r="F141" s="489">
        <f>+'8. WAMKK'!F100</f>
        <v>30508429</v>
      </c>
      <c r="G141" s="75"/>
      <c r="H141" s="529">
        <f>+'8. WAMKK'!H100</f>
        <v>16263376</v>
      </c>
      <c r="I141" s="75">
        <f>+'8. WAMKK'!I100</f>
        <v>26227032</v>
      </c>
      <c r="J141" s="75">
        <f>+'8. WAMKK'!J100</f>
        <v>30508429</v>
      </c>
      <c r="K141" s="75"/>
      <c r="L141" s="75"/>
      <c r="M141" s="75"/>
      <c r="N141" s="489"/>
      <c r="O141" s="75"/>
      <c r="P141" s="529">
        <f>+'8. WAMKK'!P100</f>
        <v>1600000</v>
      </c>
      <c r="Q141" s="75">
        <f>+'8. WAMKK'!Q100</f>
        <v>0</v>
      </c>
      <c r="R141" s="75">
        <f>+'8. WAMKK'!R100</f>
        <v>-457750</v>
      </c>
      <c r="S141" s="75">
        <f>+'8. WAMKK'!S100</f>
        <v>1142250</v>
      </c>
      <c r="T141" s="530"/>
      <c r="U141" s="76"/>
    </row>
    <row r="142" spans="1:21" x14ac:dyDescent="0.2">
      <c r="B142" s="58" t="str">
        <f t="shared" si="106"/>
        <v>Központi Konyha</v>
      </c>
      <c r="C142" s="529">
        <f>+'9. Közp. Konyha'!C100</f>
        <v>65769773</v>
      </c>
      <c r="D142" s="75">
        <f>+'9. Közp. Konyha'!D100</f>
        <v>65769773</v>
      </c>
      <c r="E142" s="75">
        <f>+'9. Közp. Konyha'!E100</f>
        <v>65769773</v>
      </c>
      <c r="F142" s="489">
        <f>+'9. Közp. Konyha'!F100</f>
        <v>65769773</v>
      </c>
      <c r="G142" s="75"/>
      <c r="H142" s="529">
        <f>+'9. Közp. Konyha'!H100</f>
        <v>33423906</v>
      </c>
      <c r="I142" s="75">
        <f>+'9. Közp. Konyha'!I100</f>
        <v>43926518</v>
      </c>
      <c r="J142" s="75">
        <f>+'9. Közp. Konyha'!J100</f>
        <v>62764960</v>
      </c>
      <c r="K142" s="75"/>
      <c r="L142" s="75"/>
      <c r="M142" s="75"/>
      <c r="N142" s="489"/>
      <c r="O142" s="75"/>
      <c r="P142" s="529">
        <f>+'9. Közp. Konyha'!P100</f>
        <v>0</v>
      </c>
      <c r="Q142" s="75">
        <f>+'9. Közp. Konyha'!Q100</f>
        <v>0</v>
      </c>
      <c r="R142" s="75">
        <f>+'9. Közp. Konyha'!R100</f>
        <v>0</v>
      </c>
      <c r="S142" s="75">
        <f>+'9. Közp. Konyha'!S100</f>
        <v>0</v>
      </c>
      <c r="T142" s="530"/>
      <c r="U142" s="76"/>
    </row>
    <row r="143" spans="1:21" x14ac:dyDescent="0.2">
      <c r="B143" s="394" t="s">
        <v>448</v>
      </c>
      <c r="C143" s="532">
        <f>SUM(C136:C142)</f>
        <v>454166162</v>
      </c>
      <c r="D143" s="395">
        <f t="shared" ref="D143:F143" si="107">SUM(D136:D142)</f>
        <v>457619162</v>
      </c>
      <c r="E143" s="395">
        <f t="shared" si="107"/>
        <v>459279162</v>
      </c>
      <c r="F143" s="543">
        <f t="shared" si="107"/>
        <v>468072999</v>
      </c>
      <c r="G143" s="395"/>
      <c r="H143" s="532">
        <f t="shared" ref="H143:J143" si="108">SUM(H136:H142)</f>
        <v>237712975</v>
      </c>
      <c r="I143" s="395">
        <f t="shared" si="108"/>
        <v>346918447</v>
      </c>
      <c r="J143" s="395">
        <f t="shared" si="108"/>
        <v>457470132</v>
      </c>
      <c r="K143" s="395"/>
      <c r="L143" s="395"/>
      <c r="M143" s="395"/>
      <c r="N143" s="543"/>
      <c r="O143" s="395"/>
      <c r="P143" s="532">
        <f>SUM(P137:P142)</f>
        <v>3453000</v>
      </c>
      <c r="Q143" s="395">
        <f>SUM(Q136:Q142)</f>
        <v>1660000</v>
      </c>
      <c r="R143" s="395">
        <f>SUM(R136:R142)</f>
        <v>8793837</v>
      </c>
      <c r="S143" s="395">
        <f>SUM(S136:S142)</f>
        <v>13906837</v>
      </c>
      <c r="T143" s="530"/>
      <c r="U143" s="76"/>
    </row>
    <row r="144" spans="1:21" x14ac:dyDescent="0.2">
      <c r="C144" s="534"/>
      <c r="D144" s="544"/>
      <c r="E144" s="544"/>
      <c r="F144" s="557"/>
      <c r="H144" s="534"/>
      <c r="I144" s="544"/>
      <c r="J144" s="544"/>
      <c r="K144" s="544"/>
      <c r="L144" s="535"/>
      <c r="M144" s="535"/>
      <c r="N144" s="536"/>
      <c r="P144" s="534"/>
      <c r="Q144" s="535"/>
      <c r="R144" s="535"/>
      <c r="S144" s="535"/>
      <c r="T144" s="536"/>
    </row>
    <row r="145" spans="3:3" x14ac:dyDescent="0.2">
      <c r="C145" s="23"/>
    </row>
    <row r="146" spans="3:3" x14ac:dyDescent="0.2">
      <c r="C146" s="23"/>
    </row>
    <row r="147" spans="3:3" x14ac:dyDescent="0.2">
      <c r="C147" s="23"/>
    </row>
    <row r="148" spans="3:3" x14ac:dyDescent="0.2">
      <c r="C148" s="23"/>
    </row>
    <row r="149" spans="3:3" x14ac:dyDescent="0.2">
      <c r="C149" s="23"/>
    </row>
    <row r="150" spans="3:3" x14ac:dyDescent="0.2">
      <c r="C150" s="23"/>
    </row>
    <row r="151" spans="3:3" x14ac:dyDescent="0.2">
      <c r="C151" s="2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9" scale="53" fitToHeight="0" orientation="landscape" r:id="rId1"/>
  <headerFooter>
    <oddHeader>&amp;R&amp;"Arial,Félkövér dőlt"&amp;A  /&amp;"Arial,Normál"
&amp;"Arial,Dőlt"&amp;8&amp;F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view="pageBreakPreview" zoomScale="75" zoomScaleNormal="75" zoomScaleSheetLayoutView="75" workbookViewId="0">
      <selection activeCell="C10" sqref="C10"/>
    </sheetView>
  </sheetViews>
  <sheetFormatPr defaultRowHeight="12.75" x14ac:dyDescent="0.2"/>
  <cols>
    <col min="1" max="1" width="8.42578125" style="22" customWidth="1"/>
    <col min="2" max="2" width="40" style="22" customWidth="1"/>
    <col min="3" max="3" width="14.85546875" style="22" customWidth="1"/>
    <col min="4" max="6" width="14.85546875" style="23" customWidth="1"/>
    <col min="7" max="7" width="0.85546875" style="23" customWidth="1"/>
    <col min="8" max="8" width="14.85546875" style="22" customWidth="1"/>
    <col min="9" max="9" width="14.85546875" style="23" customWidth="1"/>
    <col min="10" max="10" width="17.140625" style="23" customWidth="1"/>
    <col min="11" max="11" width="0.85546875" style="23" customWidth="1"/>
    <col min="12" max="12" width="16.140625" style="22" customWidth="1"/>
    <col min="13" max="14" width="15.5703125" style="22" customWidth="1"/>
    <col min="15" max="15" width="0.85546875" style="23" customWidth="1"/>
    <col min="16" max="19" width="13.85546875" style="22" customWidth="1"/>
    <col min="20" max="20" width="13.42578125" style="22" customWidth="1"/>
  </cols>
  <sheetData>
    <row r="1" spans="1:25" ht="26.25" x14ac:dyDescent="0.4">
      <c r="A1" s="250" t="s">
        <v>464</v>
      </c>
      <c r="B1" s="249"/>
      <c r="C1" s="249"/>
      <c r="D1" s="249"/>
      <c r="E1" s="249"/>
      <c r="F1" s="603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5" hidden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5" hidden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5" ht="13.5" thickBot="1" x14ac:dyDescent="0.25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</row>
    <row r="5" spans="1:25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</row>
    <row r="6" spans="1:25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</row>
    <row r="7" spans="1:25" ht="15.75" x14ac:dyDescent="0.25">
      <c r="A7" s="48"/>
      <c r="B7" s="48"/>
      <c r="C7" s="614" t="s">
        <v>408</v>
      </c>
      <c r="D7" s="615"/>
      <c r="E7" s="615"/>
      <c r="F7" s="616"/>
      <c r="G7" s="375"/>
      <c r="H7" s="614" t="s">
        <v>407</v>
      </c>
      <c r="I7" s="617"/>
      <c r="J7" s="617"/>
      <c r="K7" s="617"/>
      <c r="L7" s="617"/>
      <c r="M7" s="617"/>
      <c r="N7" s="618"/>
      <c r="O7" s="375"/>
      <c r="P7" s="614" t="s">
        <v>404</v>
      </c>
      <c r="Q7" s="615"/>
      <c r="R7" s="615"/>
      <c r="S7" s="615"/>
      <c r="T7" s="616"/>
    </row>
    <row r="8" spans="1:25" ht="15" x14ac:dyDescent="0.25">
      <c r="A8" s="48"/>
      <c r="B8" s="48"/>
      <c r="C8" s="467"/>
      <c r="D8" s="408"/>
      <c r="E8" s="408"/>
      <c r="F8" s="451"/>
      <c r="G8" s="372"/>
      <c r="H8" s="619" t="s">
        <v>421</v>
      </c>
      <c r="I8" s="620"/>
      <c r="J8" s="621"/>
      <c r="K8" s="407"/>
      <c r="L8" s="612" t="s">
        <v>420</v>
      </c>
      <c r="M8" s="611"/>
      <c r="N8" s="622"/>
      <c r="O8" s="372"/>
      <c r="P8" s="450"/>
      <c r="Q8" s="408"/>
      <c r="R8" s="408"/>
      <c r="S8" s="408"/>
      <c r="T8" s="451"/>
    </row>
    <row r="9" spans="1:25" s="1" customFormat="1" ht="64.5" customHeight="1" x14ac:dyDescent="0.2">
      <c r="A9" s="387" t="s">
        <v>373</v>
      </c>
      <c r="B9" s="387" t="s">
        <v>371</v>
      </c>
      <c r="C9" s="551" t="s">
        <v>479</v>
      </c>
      <c r="D9" s="388" t="s">
        <v>480</v>
      </c>
      <c r="E9" s="388" t="s">
        <v>481</v>
      </c>
      <c r="F9" s="552" t="s">
        <v>482</v>
      </c>
      <c r="G9" s="388"/>
      <c r="H9" s="525" t="s">
        <v>483</v>
      </c>
      <c r="I9" s="389" t="s">
        <v>484</v>
      </c>
      <c r="J9" s="389" t="s">
        <v>485</v>
      </c>
      <c r="K9" s="388"/>
      <c r="L9" s="390" t="s">
        <v>486</v>
      </c>
      <c r="M9" s="390" t="s">
        <v>490</v>
      </c>
      <c r="N9" s="526" t="s">
        <v>491</v>
      </c>
      <c r="O9" s="388"/>
      <c r="P9" s="525" t="s">
        <v>487</v>
      </c>
      <c r="Q9" s="389" t="s">
        <v>489</v>
      </c>
      <c r="R9" s="389" t="s">
        <v>488</v>
      </c>
      <c r="S9" s="389" t="s">
        <v>405</v>
      </c>
      <c r="T9" s="526" t="s">
        <v>406</v>
      </c>
    </row>
    <row r="10" spans="1:25" ht="13.5" thickBot="1" x14ac:dyDescent="0.25">
      <c r="A10" s="391"/>
      <c r="B10" s="49"/>
      <c r="C10" s="468"/>
      <c r="D10" s="392"/>
      <c r="E10" s="392"/>
      <c r="F10" s="469"/>
      <c r="G10" s="392"/>
      <c r="H10" s="452"/>
      <c r="I10" s="601"/>
      <c r="J10" s="486"/>
      <c r="K10" s="392"/>
      <c r="L10" s="385"/>
      <c r="M10" s="393"/>
      <c r="N10" s="462"/>
      <c r="O10" s="392"/>
      <c r="P10" s="452"/>
      <c r="Q10" s="371"/>
      <c r="R10" s="371"/>
      <c r="S10" s="371"/>
      <c r="T10" s="453"/>
    </row>
    <row r="11" spans="1:25" ht="18.75" thickBot="1" x14ac:dyDescent="0.3">
      <c r="A11" s="441" t="str">
        <f>+'bevételi segédtábla'!B28</f>
        <v>Sülysáp Város Önkormányzat</v>
      </c>
      <c r="B11" s="442"/>
      <c r="C11" s="76"/>
      <c r="D11" s="76"/>
      <c r="E11" s="76"/>
      <c r="F11" s="471"/>
      <c r="G11" s="76"/>
      <c r="H11" s="463"/>
      <c r="I11" s="238"/>
      <c r="J11" s="487"/>
      <c r="K11" s="76"/>
      <c r="L11" s="93"/>
      <c r="M11" s="93"/>
      <c r="N11" s="435"/>
      <c r="O11" s="76"/>
      <c r="P11" s="454"/>
      <c r="Q11" s="75"/>
      <c r="R11" s="75"/>
      <c r="S11" s="75"/>
      <c r="T11" s="435"/>
    </row>
    <row r="12" spans="1:25" x14ac:dyDescent="0.2">
      <c r="A12" s="426"/>
      <c r="B12" s="427"/>
      <c r="C12" s="455"/>
      <c r="D12" s="447"/>
      <c r="E12" s="447"/>
      <c r="F12" s="472"/>
      <c r="G12" s="447"/>
      <c r="H12" s="464"/>
      <c r="I12" s="448"/>
      <c r="J12" s="488"/>
      <c r="K12" s="447"/>
      <c r="L12" s="449"/>
      <c r="M12" s="449"/>
      <c r="N12" s="429"/>
      <c r="O12" s="447"/>
      <c r="P12" s="455"/>
      <c r="Q12" s="446"/>
      <c r="R12" s="446"/>
      <c r="S12" s="446"/>
      <c r="T12" s="429"/>
    </row>
    <row r="13" spans="1:25" x14ac:dyDescent="0.2">
      <c r="A13" s="430" t="s">
        <v>0</v>
      </c>
      <c r="B13" s="22" t="s">
        <v>3</v>
      </c>
      <c r="C13" s="454">
        <f>+'3. Önk. Kiadások'!C13</f>
        <v>107902000</v>
      </c>
      <c r="D13" s="75">
        <f>+'3. Önk. Kiadások'!D13</f>
        <v>107902000</v>
      </c>
      <c r="E13" s="75">
        <f>+'3. Önk. Kiadások'!E13</f>
        <v>109359203</v>
      </c>
      <c r="F13" s="465">
        <f>+'3. Önk. Kiadások'!F13</f>
        <v>99545994</v>
      </c>
      <c r="G13" s="75">
        <f>+'3. Önk. Kiadások'!G13</f>
        <v>0</v>
      </c>
      <c r="H13" s="454">
        <f>+'3. Önk. Kiadások'!H13</f>
        <v>50677066</v>
      </c>
      <c r="I13" s="75">
        <f>+'3. Önk. Kiadások'!I13</f>
        <v>77677383</v>
      </c>
      <c r="J13" s="489">
        <f>+'3. Önk. Kiadások'!J13</f>
        <v>99542864</v>
      </c>
      <c r="K13" s="75"/>
      <c r="L13" s="562">
        <f t="shared" ref="L13:N22" si="0">H13/D13</f>
        <v>0.46965826398027838</v>
      </c>
      <c r="M13" s="562">
        <f t="shared" si="0"/>
        <v>0.71029580382000401</v>
      </c>
      <c r="N13" s="563">
        <f t="shared" si="0"/>
        <v>0.99996855724801947</v>
      </c>
      <c r="O13" s="75"/>
      <c r="P13" s="454">
        <f>+'3. Önk. Kiadások'!P13</f>
        <v>0</v>
      </c>
      <c r="Q13" s="75">
        <f>+'3. Önk. Kiadások'!Q13</f>
        <v>1457203</v>
      </c>
      <c r="R13" s="75">
        <f>+'3. Önk. Kiadások'!R13</f>
        <v>-9813209</v>
      </c>
      <c r="S13" s="75">
        <f>+'3. Önk. Kiadások'!S13</f>
        <v>-8356006</v>
      </c>
      <c r="T13" s="578">
        <f>IF(S13=0,0,S13/C13)</f>
        <v>-7.7440696187281055E-2</v>
      </c>
    </row>
    <row r="14" spans="1:25" x14ac:dyDescent="0.2">
      <c r="A14" s="430" t="s">
        <v>26</v>
      </c>
      <c r="B14" s="58" t="s">
        <v>27</v>
      </c>
      <c r="C14" s="454">
        <f>+'3. Önk. Kiadások'!C29</f>
        <v>15219000</v>
      </c>
      <c r="D14" s="75">
        <f>+'3. Önk. Kiadások'!D29</f>
        <v>15219000</v>
      </c>
      <c r="E14" s="75">
        <f>+'3. Önk. Kiadások'!E29</f>
        <v>15219000</v>
      </c>
      <c r="F14" s="465">
        <f>+'3. Önk. Kiadások'!F29</f>
        <v>18201000</v>
      </c>
      <c r="G14" s="76"/>
      <c r="H14" s="454">
        <f>+'3. Önk. Kiadások'!H29</f>
        <v>8759313</v>
      </c>
      <c r="I14" s="75">
        <f>+'3. Önk. Kiadások'!I29</f>
        <v>13290582</v>
      </c>
      <c r="J14" s="489">
        <f>+'3. Önk. Kiadások'!J29</f>
        <v>16674717</v>
      </c>
      <c r="K14" s="76"/>
      <c r="L14" s="562">
        <f t="shared" si="0"/>
        <v>0.57555115316380845</v>
      </c>
      <c r="M14" s="562">
        <f t="shared" si="0"/>
        <v>0.87328878375714569</v>
      </c>
      <c r="N14" s="563">
        <f t="shared" si="0"/>
        <v>0.91614290423603095</v>
      </c>
      <c r="O14" s="76"/>
      <c r="P14" s="454">
        <f>+'3. Önk. Kiadások'!P29</f>
        <v>0</v>
      </c>
      <c r="Q14" s="75">
        <f>+'3. Önk. Kiadások'!Q29</f>
        <v>0</v>
      </c>
      <c r="R14" s="75">
        <f>+'3. Önk. Kiadások'!R29</f>
        <v>2982000</v>
      </c>
      <c r="S14" s="75">
        <f>+'3. Önk. Kiadások'!S29</f>
        <v>2982000</v>
      </c>
      <c r="T14" s="578">
        <f t="shared" ref="T14:T33" si="1">IF(S14=0,0,S14/C14)</f>
        <v>0.19593928641829292</v>
      </c>
    </row>
    <row r="15" spans="1:25" x14ac:dyDescent="0.2">
      <c r="A15" s="430" t="s">
        <v>29</v>
      </c>
      <c r="B15" s="58" t="s">
        <v>30</v>
      </c>
      <c r="C15" s="454">
        <f>+'3. Önk. Kiadások'!C32</f>
        <v>112191000</v>
      </c>
      <c r="D15" s="75">
        <f>+'3. Önk. Kiadások'!D32</f>
        <v>153139000</v>
      </c>
      <c r="E15" s="75">
        <f>+'3. Önk. Kiadások'!E32</f>
        <v>209426269</v>
      </c>
      <c r="F15" s="465">
        <f>+'3. Önk. Kiadások'!F32</f>
        <v>196933223</v>
      </c>
      <c r="G15" s="76"/>
      <c r="H15" s="454">
        <f>+'3. Önk. Kiadások'!H32</f>
        <v>85708192</v>
      </c>
      <c r="I15" s="75">
        <f>+'3. Önk. Kiadások'!I32</f>
        <v>148388185</v>
      </c>
      <c r="J15" s="489">
        <f>+'3. Önk. Kiadások'!J32</f>
        <v>188483736</v>
      </c>
      <c r="K15" s="76"/>
      <c r="L15" s="562">
        <f t="shared" si="0"/>
        <v>0.55967579780460885</v>
      </c>
      <c r="M15" s="562">
        <f t="shared" si="0"/>
        <v>0.70854619006749342</v>
      </c>
      <c r="N15" s="563">
        <f t="shared" si="0"/>
        <v>0.95709465944199779</v>
      </c>
      <c r="O15" s="76"/>
      <c r="P15" s="454">
        <f>+'3. Önk. Kiadások'!P32</f>
        <v>40948000</v>
      </c>
      <c r="Q15" s="75">
        <f>+'3. Önk. Kiadások'!Q32</f>
        <v>56287269</v>
      </c>
      <c r="R15" s="75">
        <f>+'3. Önk. Kiadások'!R32</f>
        <v>-12493046</v>
      </c>
      <c r="S15" s="75">
        <f>+'3. Önk. Kiadások'!S32</f>
        <v>84742223</v>
      </c>
      <c r="T15" s="578">
        <f t="shared" si="1"/>
        <v>0.75533886853669185</v>
      </c>
    </row>
    <row r="16" spans="1:25" x14ac:dyDescent="0.2">
      <c r="A16" s="430" t="s">
        <v>111</v>
      </c>
      <c r="B16" s="58" t="s">
        <v>112</v>
      </c>
      <c r="C16" s="454">
        <f>+'3. Önk. Kiadások'!C81</f>
        <v>19500000</v>
      </c>
      <c r="D16" s="75">
        <f>+'3. Önk. Kiadások'!D81</f>
        <v>20000000</v>
      </c>
      <c r="E16" s="75">
        <f>+'3. Önk. Kiadások'!E81</f>
        <v>22040000</v>
      </c>
      <c r="F16" s="465">
        <f>+'3. Önk. Kiadások'!F81</f>
        <v>22398000</v>
      </c>
      <c r="G16" s="76"/>
      <c r="H16" s="454">
        <f>+'3. Önk. Kiadások'!H81</f>
        <v>8657425</v>
      </c>
      <c r="I16" s="75">
        <f>+'3. Önk. Kiadások'!I81</f>
        <v>14557125</v>
      </c>
      <c r="J16" s="489">
        <f>+'3. Önk. Kiadások'!J81</f>
        <v>21198245</v>
      </c>
      <c r="K16" s="76"/>
      <c r="L16" s="562">
        <f t="shared" si="0"/>
        <v>0.43287124999999999</v>
      </c>
      <c r="M16" s="562">
        <f t="shared" si="0"/>
        <v>0.66048661524500907</v>
      </c>
      <c r="N16" s="563">
        <f t="shared" si="0"/>
        <v>0.94643472631484959</v>
      </c>
      <c r="O16" s="76"/>
      <c r="P16" s="454">
        <f>+'3. Önk. Kiadások'!P81</f>
        <v>500000</v>
      </c>
      <c r="Q16" s="75">
        <f>+'3. Önk. Kiadások'!Q81</f>
        <v>2040000</v>
      </c>
      <c r="R16" s="75">
        <f>+'3. Önk. Kiadások'!R81</f>
        <v>358000</v>
      </c>
      <c r="S16" s="75">
        <f>+'3. Önk. Kiadások'!S81</f>
        <v>2898000</v>
      </c>
      <c r="T16" s="578">
        <f t="shared" si="1"/>
        <v>0.14861538461538462</v>
      </c>
    </row>
    <row r="17" spans="1:20" x14ac:dyDescent="0.2">
      <c r="A17" s="431" t="s">
        <v>376</v>
      </c>
      <c r="B17" s="58" t="s">
        <v>141</v>
      </c>
      <c r="C17" s="454">
        <f>+'3. Önk. Kiadások'!C106</f>
        <v>174456925</v>
      </c>
      <c r="D17" s="75">
        <f>+'3. Önk. Kiadások'!D106</f>
        <v>144494000</v>
      </c>
      <c r="E17" s="75">
        <f>+'3. Önk. Kiadások'!E106</f>
        <v>144625000</v>
      </c>
      <c r="F17" s="465">
        <f>+'3. Önk. Kiadások'!F106</f>
        <v>142311000</v>
      </c>
      <c r="G17" s="76"/>
      <c r="H17" s="454">
        <f>+'3. Önk. Kiadások'!H106</f>
        <v>97482764</v>
      </c>
      <c r="I17" s="75">
        <f>+'3. Önk. Kiadások'!I106</f>
        <v>117252118</v>
      </c>
      <c r="J17" s="489">
        <f>+'3. Önk. Kiadások'!J106</f>
        <v>138791262</v>
      </c>
      <c r="K17" s="76"/>
      <c r="L17" s="562">
        <f t="shared" si="0"/>
        <v>0.6746492172685371</v>
      </c>
      <c r="M17" s="562">
        <f t="shared" si="0"/>
        <v>0.81073201728608468</v>
      </c>
      <c r="N17" s="563">
        <f t="shared" si="0"/>
        <v>0.97526728081455405</v>
      </c>
      <c r="O17" s="76"/>
      <c r="P17" s="454">
        <f>+'3. Önk. Kiadások'!P106</f>
        <v>-29962925</v>
      </c>
      <c r="Q17" s="75">
        <f>+'3. Önk. Kiadások'!Q106</f>
        <v>131000</v>
      </c>
      <c r="R17" s="75">
        <f>+'3. Önk. Kiadások'!R106</f>
        <v>-2314000</v>
      </c>
      <c r="S17" s="75">
        <f>+'3. Önk. Kiadások'!S106</f>
        <v>-32145925</v>
      </c>
      <c r="T17" s="578">
        <f t="shared" si="1"/>
        <v>-0.18426282017753093</v>
      </c>
    </row>
    <row r="18" spans="1:20" x14ac:dyDescent="0.2">
      <c r="A18" s="430" t="s">
        <v>158</v>
      </c>
      <c r="B18" s="58" t="s">
        <v>159</v>
      </c>
      <c r="C18" s="454">
        <f>+'3. Önk. Kiadások'!C120</f>
        <v>211500000</v>
      </c>
      <c r="D18" s="75">
        <f>+'3. Önk. Kiadások'!D120</f>
        <v>425525752</v>
      </c>
      <c r="E18" s="75">
        <f>+'3. Önk. Kiadások'!E120</f>
        <v>232468080</v>
      </c>
      <c r="F18" s="465">
        <f>+'3. Önk. Kiadások'!F120</f>
        <v>211886399</v>
      </c>
      <c r="G18" s="76"/>
      <c r="H18" s="454">
        <f>+'3. Önk. Kiadások'!H120</f>
        <v>7083713</v>
      </c>
      <c r="I18" s="75">
        <f>+'3. Önk. Kiadások'!I120</f>
        <v>16863789</v>
      </c>
      <c r="J18" s="489">
        <f>+'3. Önk. Kiadások'!J120</f>
        <v>65115830</v>
      </c>
      <c r="K18" s="76"/>
      <c r="L18" s="562">
        <f t="shared" si="0"/>
        <v>1.664696664468852E-2</v>
      </c>
      <c r="M18" s="562">
        <f t="shared" si="0"/>
        <v>7.2542385173912913E-2</v>
      </c>
      <c r="N18" s="563">
        <f t="shared" si="0"/>
        <v>0.3073148173139702</v>
      </c>
      <c r="O18" s="76"/>
      <c r="P18" s="454">
        <f>+'3. Önk. Kiadások'!P120</f>
        <v>214025752</v>
      </c>
      <c r="Q18" s="75">
        <f>+'3. Önk. Kiadások'!Q120</f>
        <v>-193057672</v>
      </c>
      <c r="R18" s="75">
        <f>+'3. Önk. Kiadások'!R120</f>
        <v>-20581681</v>
      </c>
      <c r="S18" s="75">
        <f>+'3. Önk. Kiadások'!S120</f>
        <v>386399</v>
      </c>
      <c r="T18" s="578">
        <f t="shared" si="1"/>
        <v>1.8269456264775415E-3</v>
      </c>
    </row>
    <row r="19" spans="1:20" x14ac:dyDescent="0.2">
      <c r="A19" s="430" t="s">
        <v>173</v>
      </c>
      <c r="B19" s="58" t="s">
        <v>174</v>
      </c>
      <c r="C19" s="454">
        <f>+'3. Önk. Kiadások'!C129</f>
        <v>108480000</v>
      </c>
      <c r="D19" s="75">
        <f>+'3. Önk. Kiadások'!D129</f>
        <v>296686866</v>
      </c>
      <c r="E19" s="75">
        <f>+'3. Önk. Kiadások'!E129</f>
        <v>606662415</v>
      </c>
      <c r="F19" s="465">
        <f>+'3. Önk. Kiadások'!F129</f>
        <v>599031351</v>
      </c>
      <c r="G19" s="76"/>
      <c r="H19" s="454">
        <f>+'3. Önk. Kiadások'!H129</f>
        <v>3723918</v>
      </c>
      <c r="I19" s="75">
        <f>+'3. Önk. Kiadások'!I129</f>
        <v>167101844</v>
      </c>
      <c r="J19" s="489">
        <f>+'3. Önk. Kiadások'!J129</f>
        <v>376257702</v>
      </c>
      <c r="K19" s="76"/>
      <c r="L19" s="562">
        <f t="shared" si="0"/>
        <v>1.2551677970132995E-2</v>
      </c>
      <c r="M19" s="562">
        <f t="shared" si="0"/>
        <v>0.2754445303818599</v>
      </c>
      <c r="N19" s="563">
        <f t="shared" si="0"/>
        <v>0.6281102005293876</v>
      </c>
      <c r="O19" s="76"/>
      <c r="P19" s="454">
        <f>+'3. Önk. Kiadások'!P129</f>
        <v>188206866</v>
      </c>
      <c r="Q19" s="75">
        <f>+'3. Önk. Kiadások'!Q129</f>
        <v>309975549</v>
      </c>
      <c r="R19" s="75">
        <f>+'3. Önk. Kiadások'!R129</f>
        <v>-7631064</v>
      </c>
      <c r="S19" s="75">
        <f>+'3. Önk. Kiadások'!S129</f>
        <v>490551351</v>
      </c>
      <c r="T19" s="578">
        <f t="shared" si="1"/>
        <v>4.5220441648230087</v>
      </c>
    </row>
    <row r="20" spans="1:20" x14ac:dyDescent="0.2">
      <c r="A20" s="430" t="s">
        <v>183</v>
      </c>
      <c r="B20" s="58" t="s">
        <v>48</v>
      </c>
      <c r="C20" s="454">
        <f>+'3. Önk. Kiadások'!C135</f>
        <v>0</v>
      </c>
      <c r="D20" s="75">
        <f>+'3. Önk. Kiadások'!D135</f>
        <v>0</v>
      </c>
      <c r="E20" s="75">
        <f>+'3. Önk. Kiadások'!E135</f>
        <v>15000000</v>
      </c>
      <c r="F20" s="465">
        <f>+'3. Önk. Kiadások'!F135</f>
        <v>15000000</v>
      </c>
      <c r="G20" s="76"/>
      <c r="H20" s="454">
        <f>+'3. Önk. Kiadások'!H135</f>
        <v>0</v>
      </c>
      <c r="I20" s="75">
        <f>+'3. Önk. Kiadások'!I135</f>
        <v>15000000</v>
      </c>
      <c r="J20" s="489">
        <f>+'3. Önk. Kiadások'!J135</f>
        <v>15000000</v>
      </c>
      <c r="K20" s="76"/>
      <c r="L20" s="562" t="e">
        <f t="shared" si="0"/>
        <v>#DIV/0!</v>
      </c>
      <c r="M20" s="562">
        <f t="shared" si="0"/>
        <v>1</v>
      </c>
      <c r="N20" s="563">
        <f t="shared" si="0"/>
        <v>1</v>
      </c>
      <c r="O20" s="76"/>
      <c r="P20" s="454">
        <f>+'3. Önk. Kiadások'!P135</f>
        <v>0</v>
      </c>
      <c r="Q20" s="75">
        <f>+'3. Önk. Kiadások'!Q135</f>
        <v>15000000</v>
      </c>
      <c r="R20" s="75">
        <f>+'3. Önk. Kiadások'!R135</f>
        <v>0</v>
      </c>
      <c r="S20" s="75">
        <f>+'3. Önk. Kiadások'!S135</f>
        <v>15000000</v>
      </c>
      <c r="T20" s="578" t="e">
        <f t="shared" si="1"/>
        <v>#DIV/0!</v>
      </c>
    </row>
    <row r="21" spans="1:20" x14ac:dyDescent="0.2">
      <c r="A21" s="430" t="s">
        <v>201</v>
      </c>
      <c r="B21" s="58" t="s">
        <v>202</v>
      </c>
      <c r="C21" s="454">
        <f>+'3. Önk. Kiadások'!C145</f>
        <v>454166162</v>
      </c>
      <c r="D21" s="75">
        <f>+'3. Önk. Kiadások'!D145</f>
        <v>474740182</v>
      </c>
      <c r="E21" s="75">
        <f>+'3. Önk. Kiadások'!E145</f>
        <v>476400182</v>
      </c>
      <c r="F21" s="465">
        <f>+'3. Önk. Kiadások'!F145</f>
        <v>485194019</v>
      </c>
      <c r="G21" s="76"/>
      <c r="H21" s="454">
        <f>+'3. Önk. Kiadások'!H145</f>
        <v>254833995</v>
      </c>
      <c r="I21" s="75">
        <f>+'3. Önk. Kiadások'!I145</f>
        <v>364039467</v>
      </c>
      <c r="J21" s="489">
        <f>+'3. Önk. Kiadások'!J145</f>
        <v>474591152</v>
      </c>
      <c r="K21" s="76"/>
      <c r="L21" s="562">
        <f t="shared" si="0"/>
        <v>0.53678623521275892</v>
      </c>
      <c r="M21" s="562">
        <f t="shared" si="0"/>
        <v>0.76414636424299265</v>
      </c>
      <c r="N21" s="563">
        <f t="shared" si="0"/>
        <v>0.9781471605485722</v>
      </c>
      <c r="O21" s="76"/>
      <c r="P21" s="454">
        <f>+'3. Önk. Kiadások'!P145</f>
        <v>20574020</v>
      </c>
      <c r="Q21" s="75">
        <f>+'3. Önk. Kiadások'!Q145</f>
        <v>1660000</v>
      </c>
      <c r="R21" s="75">
        <f>+'3. Önk. Kiadások'!R145</f>
        <v>8793837</v>
      </c>
      <c r="S21" s="75">
        <f>+'3. Önk. Kiadások'!S145</f>
        <v>31027857</v>
      </c>
      <c r="T21" s="578">
        <f t="shared" si="1"/>
        <v>6.8318293162492369E-2</v>
      </c>
    </row>
    <row r="22" spans="1:20" x14ac:dyDescent="0.2">
      <c r="A22" s="432"/>
      <c r="B22" s="416" t="s">
        <v>378</v>
      </c>
      <c r="C22" s="456">
        <f>SUM(C13:C21)</f>
        <v>1203415087</v>
      </c>
      <c r="D22" s="417">
        <f t="shared" ref="D22:J22" si="2">SUM(D13:D21)</f>
        <v>1637706800</v>
      </c>
      <c r="E22" s="417">
        <f t="shared" si="2"/>
        <v>1831200149</v>
      </c>
      <c r="F22" s="473">
        <f t="shared" si="2"/>
        <v>1790500986</v>
      </c>
      <c r="G22" s="417"/>
      <c r="H22" s="456">
        <f t="shared" si="2"/>
        <v>516926386</v>
      </c>
      <c r="I22" s="417">
        <f t="shared" si="2"/>
        <v>934170493</v>
      </c>
      <c r="J22" s="418">
        <f t="shared" si="2"/>
        <v>1395655508</v>
      </c>
      <c r="K22" s="217"/>
      <c r="L22" s="564">
        <f t="shared" si="0"/>
        <v>0.31564037347832957</v>
      </c>
      <c r="M22" s="564">
        <f t="shared" si="0"/>
        <v>0.51014111893237946</v>
      </c>
      <c r="N22" s="565">
        <f t="shared" si="0"/>
        <v>0.77947765397097635</v>
      </c>
      <c r="O22" s="217"/>
      <c r="P22" s="456">
        <f t="shared" ref="P22" si="3">SUM(P13:P21)</f>
        <v>434291713</v>
      </c>
      <c r="Q22" s="417">
        <f t="shared" ref="Q22" si="4">SUM(Q13:Q21)</f>
        <v>193493349</v>
      </c>
      <c r="R22" s="417">
        <f t="shared" ref="R22" si="5">SUM(R13:R21)</f>
        <v>-40699163</v>
      </c>
      <c r="S22" s="418">
        <f t="shared" ref="S22" si="6">SUM(S13:S21)</f>
        <v>587085899</v>
      </c>
      <c r="T22" s="579">
        <f t="shared" si="1"/>
        <v>0.48784987436342486</v>
      </c>
    </row>
    <row r="23" spans="1:20" x14ac:dyDescent="0.2">
      <c r="A23" s="430"/>
      <c r="C23" s="454"/>
      <c r="D23" s="76"/>
      <c r="E23" s="76"/>
      <c r="F23" s="471"/>
      <c r="G23" s="76"/>
      <c r="H23" s="463"/>
      <c r="I23" s="239"/>
      <c r="J23" s="487"/>
      <c r="K23" s="76"/>
      <c r="L23" s="562"/>
      <c r="M23" s="562"/>
      <c r="N23" s="563"/>
      <c r="O23" s="76"/>
      <c r="P23" s="454"/>
      <c r="Q23" s="75"/>
      <c r="R23" s="75"/>
      <c r="S23" s="75"/>
      <c r="T23" s="578"/>
    </row>
    <row r="24" spans="1:20" x14ac:dyDescent="0.2">
      <c r="A24" s="430" t="s">
        <v>241</v>
      </c>
      <c r="B24" s="22" t="s">
        <v>454</v>
      </c>
      <c r="C24" s="454">
        <f>+' 2. Önk. Bevételek'!C13</f>
        <v>577146258</v>
      </c>
      <c r="D24" s="75">
        <f>+' 2. Önk. Bevételek'!D13</f>
        <v>588469848</v>
      </c>
      <c r="E24" s="75">
        <f>+' 2. Önk. Bevételek'!E13</f>
        <v>588469848</v>
      </c>
      <c r="F24" s="465">
        <f>+' 2. Önk. Bevételek'!F13</f>
        <v>647637164</v>
      </c>
      <c r="G24" s="75">
        <f>+'3. Önk. Kiadások'!G13</f>
        <v>0</v>
      </c>
      <c r="H24" s="454">
        <f>+' 2. Önk. Bevételek'!H13</f>
        <v>310092946</v>
      </c>
      <c r="I24" s="75">
        <f>+' 2. Önk. Bevételek'!I13</f>
        <v>487769287</v>
      </c>
      <c r="J24" s="489">
        <f>+' 2. Önk. Bevételek'!J13</f>
        <v>646582727</v>
      </c>
      <c r="K24" s="75"/>
      <c r="L24" s="562">
        <f t="shared" ref="L24:L87" si="7">H24/D24</f>
        <v>0.52694789215436577</v>
      </c>
      <c r="M24" s="562">
        <f t="shared" ref="M24:M87" si="8">I24/E24</f>
        <v>0.82887728004715033</v>
      </c>
      <c r="N24" s="563">
        <f t="shared" ref="N24:N87" si="9">J24/F24</f>
        <v>0.99837187076558809</v>
      </c>
      <c r="O24" s="75"/>
      <c r="P24" s="454">
        <f>+' 2. Önk. Bevételek'!P13</f>
        <v>11323590</v>
      </c>
      <c r="Q24" s="75">
        <f>+' 2. Önk. Bevételek'!Q13</f>
        <v>0</v>
      </c>
      <c r="R24" s="75">
        <f>+' 2. Önk. Bevételek'!R13</f>
        <v>59167316</v>
      </c>
      <c r="S24" s="75">
        <f>+' 2. Önk. Bevételek'!S13</f>
        <v>70490906</v>
      </c>
      <c r="T24" s="578">
        <f t="shared" si="1"/>
        <v>0.12213698871456601</v>
      </c>
    </row>
    <row r="25" spans="1:20" x14ac:dyDescent="0.2">
      <c r="A25" s="431" t="s">
        <v>262</v>
      </c>
      <c r="B25" s="22" t="s">
        <v>453</v>
      </c>
      <c r="C25" s="454">
        <f>+' 2. Önk. Bevételek'!C30</f>
        <v>175000000</v>
      </c>
      <c r="D25" s="75">
        <f>+' 2. Önk. Bevételek'!D30</f>
        <v>580968123</v>
      </c>
      <c r="E25" s="75">
        <f>+' 2. Önk. Bevételek'!E30</f>
        <v>759461472</v>
      </c>
      <c r="F25" s="465">
        <f>+' 2. Önk. Bevételek'!F30</f>
        <v>675428584</v>
      </c>
      <c r="G25" s="76"/>
      <c r="H25" s="454">
        <f>+' 2. Önk. Bevételek'!H30</f>
        <v>505968123</v>
      </c>
      <c r="I25" s="75">
        <f>+' 2. Önk. Bevételek'!I30</f>
        <v>607324056</v>
      </c>
      <c r="J25" s="489">
        <f>+' 2. Önk. Bevételek'!J30</f>
        <v>702475950</v>
      </c>
      <c r="K25" s="76"/>
      <c r="L25" s="562">
        <f t="shared" si="7"/>
        <v>0.87090513742352094</v>
      </c>
      <c r="M25" s="562">
        <f t="shared" si="8"/>
        <v>0.79967724287664721</v>
      </c>
      <c r="N25" s="563">
        <f t="shared" si="9"/>
        <v>1.0400447458705715</v>
      </c>
      <c r="O25" s="76"/>
      <c r="P25" s="454">
        <f>+' 2. Önk. Bevételek'!P30</f>
        <v>405968123</v>
      </c>
      <c r="Q25" s="75">
        <f>+' 2. Önk. Bevételek'!Q30</f>
        <v>178493349</v>
      </c>
      <c r="R25" s="75">
        <f>+' 2. Önk. Bevételek'!R30</f>
        <v>-84032888</v>
      </c>
      <c r="S25" s="75">
        <f>+' 2. Önk. Bevételek'!S30</f>
        <v>500428584</v>
      </c>
      <c r="T25" s="578">
        <f t="shared" si="1"/>
        <v>2.8595919085714288</v>
      </c>
    </row>
    <row r="26" spans="1:20" x14ac:dyDescent="0.2">
      <c r="A26" s="431" t="s">
        <v>270</v>
      </c>
      <c r="B26" s="22" t="s">
        <v>271</v>
      </c>
      <c r="C26" s="454">
        <f>+' 2. Önk. Bevételek'!C39</f>
        <v>198244647</v>
      </c>
      <c r="D26" s="75">
        <f>+' 2. Önk. Bevételek'!D39</f>
        <v>198244647</v>
      </c>
      <c r="E26" s="75">
        <f>+' 2. Önk. Bevételek'!E39</f>
        <v>198244647</v>
      </c>
      <c r="F26" s="465">
        <f>+' 2. Önk. Bevételek'!F39</f>
        <v>202101569</v>
      </c>
      <c r="G26" s="76"/>
      <c r="H26" s="454">
        <f>+' 2. Önk. Bevételek'!H39</f>
        <v>110800513</v>
      </c>
      <c r="I26" s="75">
        <f>+' 2. Önk. Bevételek'!I39</f>
        <v>168764227</v>
      </c>
      <c r="J26" s="489">
        <f>+' 2. Önk. Bevételek'!J39</f>
        <v>219393130</v>
      </c>
      <c r="K26" s="76"/>
      <c r="L26" s="562">
        <f t="shared" si="7"/>
        <v>0.55890796889965966</v>
      </c>
      <c r="M26" s="562">
        <f t="shared" si="8"/>
        <v>0.85129273124837512</v>
      </c>
      <c r="N26" s="563">
        <f t="shared" si="9"/>
        <v>1.0855587667406976</v>
      </c>
      <c r="O26" s="76"/>
      <c r="P26" s="454">
        <f>+' 2. Önk. Bevételek'!P39</f>
        <v>0</v>
      </c>
      <c r="Q26" s="75">
        <f>+' 2. Önk. Bevételek'!Q39</f>
        <v>0</v>
      </c>
      <c r="R26" s="75">
        <f>+' 2. Önk. Bevételek'!R39</f>
        <v>3856922</v>
      </c>
      <c r="S26" s="75">
        <f>+' 2. Önk. Bevételek'!S39</f>
        <v>3856922</v>
      </c>
      <c r="T26" s="578">
        <f t="shared" si="1"/>
        <v>1.9455365168069332E-2</v>
      </c>
    </row>
    <row r="27" spans="1:20" x14ac:dyDescent="0.2">
      <c r="A27" s="431" t="s">
        <v>284</v>
      </c>
      <c r="B27" s="22" t="s">
        <v>285</v>
      </c>
      <c r="C27" s="454">
        <f>+' 2. Önk. Bevételek'!C50</f>
        <v>70826000</v>
      </c>
      <c r="D27" s="75">
        <f>+' 2. Önk. Bevételek'!D50</f>
        <v>70826000</v>
      </c>
      <c r="E27" s="75">
        <f>+' 2. Önk. Bevételek'!E50</f>
        <v>70826000</v>
      </c>
      <c r="F27" s="465">
        <f>+' 2. Önk. Bevételek'!F50</f>
        <v>71197000</v>
      </c>
      <c r="G27" s="76"/>
      <c r="H27" s="454">
        <f>+' 2. Önk. Bevételek'!H50</f>
        <v>53883694</v>
      </c>
      <c r="I27" s="75">
        <f>+' 2. Önk. Bevételek'!I50</f>
        <v>75275766</v>
      </c>
      <c r="J27" s="489">
        <f>+' 2. Önk. Bevételek'!J50</f>
        <v>92590922</v>
      </c>
      <c r="K27" s="76"/>
      <c r="L27" s="562">
        <f t="shared" si="7"/>
        <v>0.7607897382317228</v>
      </c>
      <c r="M27" s="562">
        <f t="shared" si="8"/>
        <v>1.0628267302967838</v>
      </c>
      <c r="N27" s="563">
        <f t="shared" si="9"/>
        <v>1.300489093641586</v>
      </c>
      <c r="O27" s="76"/>
      <c r="P27" s="454">
        <f>+' 2. Önk. Bevételek'!P50</f>
        <v>0</v>
      </c>
      <c r="Q27" s="75">
        <f>+' 2. Önk. Bevételek'!Q50</f>
        <v>0</v>
      </c>
      <c r="R27" s="75">
        <f>+' 2. Önk. Bevételek'!R50</f>
        <v>371000</v>
      </c>
      <c r="S27" s="75">
        <f>+' 2. Önk. Bevételek'!S50</f>
        <v>371000</v>
      </c>
      <c r="T27" s="578">
        <f t="shared" si="1"/>
        <v>5.2381893654872506E-3</v>
      </c>
    </row>
    <row r="28" spans="1:20" x14ac:dyDescent="0.2">
      <c r="A28" s="431" t="s">
        <v>311</v>
      </c>
      <c r="B28" s="22" t="s">
        <v>312</v>
      </c>
      <c r="C28" s="454">
        <f>+' 2. Önk. Bevételek'!C67</f>
        <v>72638000</v>
      </c>
      <c r="D28" s="75">
        <f>+' 2. Önk. Bevételek'!D67</f>
        <v>72638000</v>
      </c>
      <c r="E28" s="75">
        <f>+' 2. Önk. Bevételek'!E67</f>
        <v>72638000</v>
      </c>
      <c r="F28" s="465">
        <f>+' 2. Önk. Bevételek'!F67</f>
        <v>52199487</v>
      </c>
      <c r="G28" s="76"/>
      <c r="H28" s="454">
        <f>+' 2. Önk. Bevételek'!H67</f>
        <v>16435054</v>
      </c>
      <c r="I28" s="75">
        <f>+' 2. Önk. Bevételek'!I67</f>
        <v>29416266</v>
      </c>
      <c r="J28" s="489">
        <f>+' 2. Önk. Bevételek'!J67</f>
        <v>35127563</v>
      </c>
      <c r="K28" s="76"/>
      <c r="L28" s="562">
        <f t="shared" si="7"/>
        <v>0.2262597263140505</v>
      </c>
      <c r="M28" s="562">
        <f t="shared" si="8"/>
        <v>0.40497075910680358</v>
      </c>
      <c r="N28" s="563">
        <f t="shared" si="9"/>
        <v>0.67294843338211352</v>
      </c>
      <c r="O28" s="76"/>
      <c r="P28" s="454">
        <f>+' 2. Önk. Bevételek'!P67</f>
        <v>0</v>
      </c>
      <c r="Q28" s="75">
        <f>+' 2. Önk. Bevételek'!Q67</f>
        <v>0</v>
      </c>
      <c r="R28" s="75">
        <f>+' 2. Önk. Bevételek'!R67</f>
        <v>-20438513</v>
      </c>
      <c r="S28" s="75">
        <f>+' 2. Önk. Bevételek'!S67</f>
        <v>-20438513</v>
      </c>
      <c r="T28" s="578">
        <f t="shared" si="1"/>
        <v>-0.28137494149067982</v>
      </c>
    </row>
    <row r="29" spans="1:20" x14ac:dyDescent="0.2">
      <c r="A29" s="431" t="s">
        <v>321</v>
      </c>
      <c r="B29" s="22" t="s">
        <v>322</v>
      </c>
      <c r="C29" s="454">
        <f>+' 2. Önk. Bevételek'!C72</f>
        <v>0</v>
      </c>
      <c r="D29" s="75">
        <f>+' 2. Önk. Bevételek'!D72</f>
        <v>0</v>
      </c>
      <c r="E29" s="75">
        <f>+' 2. Önk. Bevételek'!E72</f>
        <v>15000000</v>
      </c>
      <c r="F29" s="465">
        <f>+' 2. Önk. Bevételek'!F72</f>
        <v>15000000</v>
      </c>
      <c r="G29" s="76"/>
      <c r="H29" s="454">
        <f>+' 2. Önk. Bevételek'!H72</f>
        <v>100000</v>
      </c>
      <c r="I29" s="75">
        <f>+' 2. Önk. Bevételek'!I72</f>
        <v>100000</v>
      </c>
      <c r="J29" s="489">
        <f>+' 2. Önk. Bevételek'!J72</f>
        <v>15140000</v>
      </c>
      <c r="K29" s="76"/>
      <c r="L29" s="562" t="e">
        <f t="shared" si="7"/>
        <v>#DIV/0!</v>
      </c>
      <c r="M29" s="562">
        <f t="shared" si="8"/>
        <v>6.6666666666666671E-3</v>
      </c>
      <c r="N29" s="563">
        <f t="shared" si="9"/>
        <v>1.0093333333333334</v>
      </c>
      <c r="O29" s="76"/>
      <c r="P29" s="454">
        <f>+' 2. Önk. Bevételek'!P72</f>
        <v>0</v>
      </c>
      <c r="Q29" s="75">
        <f>+' 2. Önk. Bevételek'!Q72</f>
        <v>15000000</v>
      </c>
      <c r="R29" s="75">
        <f>+' 2. Önk. Bevételek'!R72</f>
        <v>0</v>
      </c>
      <c r="S29" s="75">
        <f>+' 2. Önk. Bevételek'!S72</f>
        <v>15000000</v>
      </c>
      <c r="T29" s="578" t="e">
        <f t="shared" si="1"/>
        <v>#DIV/0!</v>
      </c>
    </row>
    <row r="30" spans="1:20" x14ac:dyDescent="0.2">
      <c r="A30" s="431" t="s">
        <v>326</v>
      </c>
      <c r="B30" s="22" t="s">
        <v>327</v>
      </c>
      <c r="C30" s="454">
        <f>+' 2. Önk. Bevételek'!C76</f>
        <v>0</v>
      </c>
      <c r="D30" s="75">
        <f>+' 2. Önk. Bevételek'!D76</f>
        <v>0</v>
      </c>
      <c r="E30" s="75">
        <f>+' 2. Önk. Bevételek'!E76</f>
        <v>0</v>
      </c>
      <c r="F30" s="465">
        <f>+' 2. Önk. Bevételek'!F76</f>
        <v>377000</v>
      </c>
      <c r="G30" s="76"/>
      <c r="H30" s="454">
        <f>+' 2. Önk. Bevételek'!H76</f>
        <v>102000</v>
      </c>
      <c r="I30" s="75">
        <f>+' 2. Önk. Bevételek'!I76</f>
        <v>277000</v>
      </c>
      <c r="J30" s="489">
        <f>+' 2. Önk. Bevételek'!J76</f>
        <v>397000</v>
      </c>
      <c r="K30" s="76"/>
      <c r="L30" s="562" t="e">
        <f t="shared" si="7"/>
        <v>#DIV/0!</v>
      </c>
      <c r="M30" s="562" t="e">
        <f t="shared" si="8"/>
        <v>#DIV/0!</v>
      </c>
      <c r="N30" s="563">
        <f t="shared" si="9"/>
        <v>1.0530503978779842</v>
      </c>
      <c r="O30" s="76"/>
      <c r="P30" s="454">
        <f>+' 2. Önk. Bevételek'!P76</f>
        <v>0</v>
      </c>
      <c r="Q30" s="75">
        <f>+' 2. Önk. Bevételek'!Q76</f>
        <v>0</v>
      </c>
      <c r="R30" s="75">
        <f>+' 2. Önk. Bevételek'!R76</f>
        <v>377000</v>
      </c>
      <c r="S30" s="75">
        <f>+' 2. Önk. Bevételek'!S76</f>
        <v>377000</v>
      </c>
      <c r="T30" s="578" t="e">
        <f t="shared" si="1"/>
        <v>#DIV/0!</v>
      </c>
    </row>
    <row r="31" spans="1:20" x14ac:dyDescent="0.2">
      <c r="A31" s="431" t="s">
        <v>462</v>
      </c>
      <c r="B31" s="58"/>
      <c r="C31" s="457">
        <f>+' 2. Önk. Bevételek'!C80-C32</f>
        <v>109560182</v>
      </c>
      <c r="D31" s="344">
        <f>+' 2. Önk. Bevételek'!D80-D32</f>
        <v>126560182</v>
      </c>
      <c r="E31" s="344">
        <f>+' 2. Önk. Bevételek'!E80-E32</f>
        <v>126560182</v>
      </c>
      <c r="F31" s="474">
        <f>+' 2. Önk. Bevételek'!F80-F32</f>
        <v>126560182</v>
      </c>
      <c r="G31" s="425"/>
      <c r="H31" s="457">
        <f>+' 2. Önk. Bevételek'!H80-H32</f>
        <v>109560182</v>
      </c>
      <c r="I31" s="344">
        <f>+' 2. Önk. Bevételek'!I80-I32</f>
        <v>109560182</v>
      </c>
      <c r="J31" s="490">
        <f>+' 2. Önk. Bevételek'!J80-J32</f>
        <v>128222810</v>
      </c>
      <c r="K31" s="76"/>
      <c r="L31" s="562">
        <f t="shared" si="7"/>
        <v>0.86567655220344109</v>
      </c>
      <c r="M31" s="562">
        <f t="shared" si="8"/>
        <v>0.86567655220344109</v>
      </c>
      <c r="N31" s="563">
        <f t="shared" si="9"/>
        <v>1.0131370544331233</v>
      </c>
      <c r="O31" s="425"/>
      <c r="P31" s="457">
        <f>+' 2. Önk. Bevételek'!P80-P32</f>
        <v>17000000</v>
      </c>
      <c r="Q31" s="344">
        <f>+' 2. Önk. Bevételek'!Q80-Q32</f>
        <v>0</v>
      </c>
      <c r="R31" s="344">
        <f>+' 2. Önk. Bevételek'!R80-R32</f>
        <v>0</v>
      </c>
      <c r="S31" s="344">
        <f>+' 2. Önk. Bevételek'!S80-S32</f>
        <v>17000000</v>
      </c>
      <c r="T31" s="578">
        <f t="shared" si="1"/>
        <v>0.1551658612615302</v>
      </c>
    </row>
    <row r="32" spans="1:20" x14ac:dyDescent="0.2">
      <c r="A32" s="430" t="s">
        <v>456</v>
      </c>
      <c r="B32" s="58"/>
      <c r="C32" s="457">
        <f>+' 2. Önk. Bevételek'!C87</f>
        <v>0</v>
      </c>
      <c r="D32" s="344">
        <f>+' 2. Önk. Bevételek'!D87</f>
        <v>0</v>
      </c>
      <c r="E32" s="344">
        <f>+' 2. Önk. Bevételek'!E87</f>
        <v>0</v>
      </c>
      <c r="F32" s="474">
        <f>+' 2. Önk. Bevételek'!F87</f>
        <v>0</v>
      </c>
      <c r="G32" s="425"/>
      <c r="H32" s="457">
        <f>+' 2. Önk. Bevételek'!H87</f>
        <v>0</v>
      </c>
      <c r="I32" s="344">
        <f>+' 2. Önk. Bevételek'!I87</f>
        <v>0</v>
      </c>
      <c r="J32" s="490">
        <f>+' 2. Önk. Bevételek'!J87</f>
        <v>0</v>
      </c>
      <c r="K32" s="76"/>
      <c r="L32" s="562" t="e">
        <f t="shared" si="7"/>
        <v>#DIV/0!</v>
      </c>
      <c r="M32" s="562" t="e">
        <f t="shared" si="8"/>
        <v>#DIV/0!</v>
      </c>
      <c r="N32" s="563" t="e">
        <f t="shared" si="9"/>
        <v>#DIV/0!</v>
      </c>
      <c r="O32" s="425"/>
      <c r="P32" s="457">
        <f>+' 2. Önk. Bevételek'!P87</f>
        <v>0</v>
      </c>
      <c r="Q32" s="344">
        <f>+' 2. Önk. Bevételek'!Q87</f>
        <v>0</v>
      </c>
      <c r="R32" s="344">
        <f>+' 2. Önk. Bevételek'!R87</f>
        <v>0</v>
      </c>
      <c r="S32" s="344">
        <f>+' 2. Önk. Bevételek'!S87</f>
        <v>0</v>
      </c>
      <c r="T32" s="578">
        <f t="shared" si="1"/>
        <v>0</v>
      </c>
    </row>
    <row r="33" spans="1:20" x14ac:dyDescent="0.2">
      <c r="A33" s="434"/>
      <c r="B33" s="416" t="s">
        <v>377</v>
      </c>
      <c r="C33" s="456">
        <f>SUM(C24:C32)</f>
        <v>1203415087</v>
      </c>
      <c r="D33" s="417">
        <f t="shared" ref="D33:J33" si="10">SUM(D24:D32)</f>
        <v>1637706800</v>
      </c>
      <c r="E33" s="417">
        <f t="shared" si="10"/>
        <v>1831200149</v>
      </c>
      <c r="F33" s="473">
        <f t="shared" si="10"/>
        <v>1790500986</v>
      </c>
      <c r="G33" s="417"/>
      <c r="H33" s="456">
        <f t="shared" si="10"/>
        <v>1106942512</v>
      </c>
      <c r="I33" s="417">
        <f t="shared" si="10"/>
        <v>1478486784</v>
      </c>
      <c r="J33" s="418">
        <f t="shared" si="10"/>
        <v>1839930102</v>
      </c>
      <c r="K33" s="419"/>
      <c r="L33" s="566">
        <f t="shared" si="7"/>
        <v>0.67591006644168539</v>
      </c>
      <c r="M33" s="566">
        <f t="shared" si="8"/>
        <v>0.807386775720495</v>
      </c>
      <c r="N33" s="567">
        <f t="shared" si="9"/>
        <v>1.0276063048199853</v>
      </c>
      <c r="O33" s="419"/>
      <c r="P33" s="456">
        <f t="shared" ref="P33" si="11">SUM(P24:P32)</f>
        <v>434291713</v>
      </c>
      <c r="Q33" s="417">
        <f t="shared" ref="Q33" si="12">SUM(Q24:Q32)</f>
        <v>193493349</v>
      </c>
      <c r="R33" s="417">
        <f t="shared" ref="R33" si="13">SUM(R24:R32)</f>
        <v>-40699163</v>
      </c>
      <c r="S33" s="418">
        <f t="shared" ref="S33" si="14">SUM(S24:S32)</f>
        <v>587085899</v>
      </c>
      <c r="T33" s="579">
        <f t="shared" si="1"/>
        <v>0.48784987436342486</v>
      </c>
    </row>
    <row r="34" spans="1:20" x14ac:dyDescent="0.2">
      <c r="A34" s="433"/>
      <c r="B34" s="75"/>
      <c r="C34" s="454"/>
      <c r="D34" s="75"/>
      <c r="E34" s="75"/>
      <c r="F34" s="465"/>
      <c r="G34" s="75"/>
      <c r="H34" s="454"/>
      <c r="I34" s="75"/>
      <c r="J34" s="489"/>
      <c r="K34" s="75"/>
      <c r="L34" s="562"/>
      <c r="M34" s="562"/>
      <c r="N34" s="563"/>
      <c r="O34" s="75"/>
      <c r="P34" s="454"/>
      <c r="Q34" s="75"/>
      <c r="R34" s="75"/>
      <c r="S34" s="75"/>
      <c r="T34" s="580"/>
    </row>
    <row r="35" spans="1:20" ht="13.5" thickBot="1" x14ac:dyDescent="0.25">
      <c r="A35" s="436"/>
      <c r="B35" s="437" t="s">
        <v>463</v>
      </c>
      <c r="C35" s="458">
        <f>+C33-C22</f>
        <v>0</v>
      </c>
      <c r="D35" s="438">
        <f>+D33-D22</f>
        <v>0</v>
      </c>
      <c r="E35" s="438">
        <f>+E33-E22</f>
        <v>0</v>
      </c>
      <c r="F35" s="475">
        <f>+F33-F22</f>
        <v>0</v>
      </c>
      <c r="G35" s="438"/>
      <c r="H35" s="458">
        <f>+H33-H22</f>
        <v>590016126</v>
      </c>
      <c r="I35" s="438">
        <f>+I33-I22</f>
        <v>544316291</v>
      </c>
      <c r="J35" s="440">
        <f>+J33-J22</f>
        <v>444274594</v>
      </c>
      <c r="K35" s="439"/>
      <c r="L35" s="568" t="e">
        <f t="shared" si="7"/>
        <v>#DIV/0!</v>
      </c>
      <c r="M35" s="568" t="e">
        <f t="shared" si="8"/>
        <v>#DIV/0!</v>
      </c>
      <c r="N35" s="569" t="e">
        <f t="shared" si="9"/>
        <v>#DIV/0!</v>
      </c>
      <c r="O35" s="439"/>
      <c r="P35" s="458">
        <f>+P33-P22</f>
        <v>0</v>
      </c>
      <c r="Q35" s="438">
        <f>+Q33-Q22</f>
        <v>0</v>
      </c>
      <c r="R35" s="438">
        <f>+R33-R22</f>
        <v>0</v>
      </c>
      <c r="S35" s="440">
        <f>+S33-S22</f>
        <v>0</v>
      </c>
      <c r="T35" s="581"/>
    </row>
    <row r="36" spans="1:20" x14ac:dyDescent="0.2">
      <c r="C36" s="454"/>
      <c r="D36" s="76"/>
      <c r="E36" s="76"/>
      <c r="F36" s="471"/>
      <c r="G36" s="76"/>
      <c r="H36" s="463"/>
      <c r="I36" s="239"/>
      <c r="J36" s="487"/>
      <c r="K36" s="76"/>
      <c r="L36" s="562"/>
      <c r="M36" s="562"/>
      <c r="N36" s="563"/>
      <c r="O36" s="76"/>
      <c r="P36" s="454"/>
      <c r="Q36" s="75"/>
      <c r="R36" s="75"/>
      <c r="S36" s="75"/>
      <c r="T36" s="580"/>
    </row>
    <row r="37" spans="1:20" ht="13.5" thickBot="1" x14ac:dyDescent="0.25">
      <c r="C37" s="454"/>
      <c r="D37" s="76"/>
      <c r="E37" s="76"/>
      <c r="F37" s="471"/>
      <c r="G37" s="76"/>
      <c r="H37" s="463"/>
      <c r="I37" s="239"/>
      <c r="J37" s="487"/>
      <c r="K37" s="76"/>
      <c r="L37" s="562"/>
      <c r="M37" s="562"/>
      <c r="N37" s="563"/>
      <c r="O37" s="76"/>
      <c r="P37" s="454"/>
      <c r="Q37" s="75"/>
      <c r="R37" s="75"/>
      <c r="S37" s="75"/>
      <c r="T37" s="580"/>
    </row>
    <row r="38" spans="1:20" ht="18.75" thickBot="1" x14ac:dyDescent="0.3">
      <c r="A38" s="443" t="s">
        <v>500</v>
      </c>
      <c r="B38" s="470"/>
      <c r="D38" s="76"/>
      <c r="E38" s="76"/>
      <c r="F38" s="471"/>
      <c r="G38" s="76"/>
      <c r="H38" s="463"/>
      <c r="I38" s="239"/>
      <c r="J38" s="487"/>
      <c r="K38" s="76"/>
      <c r="L38" s="562"/>
      <c r="M38" s="562"/>
      <c r="N38" s="563"/>
      <c r="O38" s="76"/>
      <c r="P38" s="454"/>
      <c r="Q38" s="75"/>
      <c r="R38" s="75"/>
      <c r="S38" s="75"/>
      <c r="T38" s="580"/>
    </row>
    <row r="39" spans="1:20" x14ac:dyDescent="0.2">
      <c r="A39" s="426"/>
      <c r="B39" s="427"/>
      <c r="C39" s="455"/>
      <c r="D39" s="447"/>
      <c r="E39" s="447"/>
      <c r="F39" s="472"/>
      <c r="G39" s="447"/>
      <c r="H39" s="464"/>
      <c r="I39" s="448"/>
      <c r="J39" s="488"/>
      <c r="K39" s="447"/>
      <c r="L39" s="570"/>
      <c r="M39" s="570"/>
      <c r="N39" s="571"/>
      <c r="O39" s="447"/>
      <c r="P39" s="455"/>
      <c r="Q39" s="446"/>
      <c r="R39" s="446"/>
      <c r="S39" s="446"/>
      <c r="T39" s="582"/>
    </row>
    <row r="40" spans="1:20" x14ac:dyDescent="0.2">
      <c r="A40" s="430" t="s">
        <v>0</v>
      </c>
      <c r="B40" s="58" t="str">
        <f t="shared" ref="B40:B48" si="15">+B13</f>
        <v>Személyi juttatások</v>
      </c>
      <c r="C40" s="454">
        <f>+'4. Dr Gáspár HSZK'!C13</f>
        <v>21347000</v>
      </c>
      <c r="D40" s="75">
        <f>+'4. Dr Gáspár HSZK'!D13</f>
        <v>21347000</v>
      </c>
      <c r="E40" s="75">
        <f>+'4. Dr Gáspár HSZK'!E13</f>
        <v>21347000</v>
      </c>
      <c r="F40" s="465">
        <f>+'4. Dr Gáspár HSZK'!F13</f>
        <v>21244000</v>
      </c>
      <c r="G40" s="75"/>
      <c r="H40" s="454">
        <f>+'4. Dr Gáspár HSZK'!H13</f>
        <v>9693006</v>
      </c>
      <c r="I40" s="75">
        <f>+'4. Dr Gáspár HSZK'!I13</f>
        <v>14973453</v>
      </c>
      <c r="J40" s="489">
        <f>+'4. Dr Gáspár HSZK'!J13</f>
        <v>20196955</v>
      </c>
      <c r="K40" s="75"/>
      <c r="L40" s="562">
        <f t="shared" si="7"/>
        <v>0.45406876844521477</v>
      </c>
      <c r="M40" s="562">
        <f t="shared" si="8"/>
        <v>0.70143125497728021</v>
      </c>
      <c r="N40" s="563">
        <f t="shared" si="9"/>
        <v>0.95071337789493504</v>
      </c>
      <c r="O40" s="75"/>
      <c r="P40" s="454">
        <f>+'4. Dr Gáspár HSZK'!P13</f>
        <v>0</v>
      </c>
      <c r="Q40" s="75">
        <f>+'4. Dr Gáspár HSZK'!Q13</f>
        <v>0</v>
      </c>
      <c r="R40" s="75">
        <f>+'4. Dr Gáspár HSZK'!R13</f>
        <v>-103000</v>
      </c>
      <c r="S40" s="75">
        <f>+'4. Dr Gáspár HSZK'!S13</f>
        <v>-103000</v>
      </c>
      <c r="T40" s="578">
        <f>IF(S40=0,0,S40/C40)</f>
        <v>-4.8250339626176976E-3</v>
      </c>
    </row>
    <row r="41" spans="1:20" x14ac:dyDescent="0.2">
      <c r="A41" s="430" t="s">
        <v>26</v>
      </c>
      <c r="B41" s="58" t="str">
        <f t="shared" si="15"/>
        <v>Munkaadót terhelő járulékok és szociális hozzájárulás</v>
      </c>
      <c r="C41" s="454">
        <f>+'4. Dr Gáspár HSZK'!C29</f>
        <v>4780000</v>
      </c>
      <c r="D41" s="75">
        <f>+'4. Dr Gáspár HSZK'!D29</f>
        <v>4780000</v>
      </c>
      <c r="E41" s="75">
        <f>+'4. Dr Gáspár HSZK'!E29</f>
        <v>4780000</v>
      </c>
      <c r="F41" s="465">
        <f>+'4. Dr Gáspár HSZK'!F29</f>
        <v>4883000</v>
      </c>
      <c r="G41" s="75"/>
      <c r="H41" s="454">
        <f>+'4. Dr Gáspár HSZK'!H29</f>
        <v>2484606</v>
      </c>
      <c r="I41" s="75">
        <f>+'4. Dr Gáspár HSZK'!I29</f>
        <v>3809209</v>
      </c>
      <c r="J41" s="489">
        <f>+'4. Dr Gáspár HSZK'!J29</f>
        <v>4882493</v>
      </c>
      <c r="K41" s="75"/>
      <c r="L41" s="562">
        <f t="shared" si="7"/>
        <v>0.51979205020920505</v>
      </c>
      <c r="M41" s="562">
        <f t="shared" si="8"/>
        <v>0.79690564853556489</v>
      </c>
      <c r="N41" s="563">
        <f t="shared" si="9"/>
        <v>0.99989617038705714</v>
      </c>
      <c r="O41" s="75"/>
      <c r="P41" s="454">
        <f>+'4. Dr Gáspár HSZK'!P29</f>
        <v>0</v>
      </c>
      <c r="Q41" s="75">
        <f>+'4. Dr Gáspár HSZK'!Q29</f>
        <v>0</v>
      </c>
      <c r="R41" s="75">
        <f>+'4. Dr Gáspár HSZK'!R29</f>
        <v>103000</v>
      </c>
      <c r="S41" s="75">
        <f>+'4. Dr Gáspár HSZK'!S29</f>
        <v>103000</v>
      </c>
      <c r="T41" s="578">
        <f t="shared" ref="T41:T60" si="16">IF(S41=0,0,S41/C41)</f>
        <v>2.1548117154811714E-2</v>
      </c>
    </row>
    <row r="42" spans="1:20" x14ac:dyDescent="0.2">
      <c r="A42" s="430" t="s">
        <v>29</v>
      </c>
      <c r="B42" s="58" t="str">
        <f t="shared" si="15"/>
        <v>Dologi kiadások</v>
      </c>
      <c r="C42" s="454">
        <f>+'4. Dr Gáspár HSZK'!C32</f>
        <v>10571000</v>
      </c>
      <c r="D42" s="75">
        <f>+'4. Dr Gáspár HSZK'!D32</f>
        <v>10980000</v>
      </c>
      <c r="E42" s="75">
        <f>+'4. Dr Gáspár HSZK'!E32</f>
        <v>10980000</v>
      </c>
      <c r="F42" s="465">
        <f>+'4. Dr Gáspár HSZK'!F32</f>
        <v>11046000</v>
      </c>
      <c r="G42" s="75"/>
      <c r="H42" s="457">
        <f>+'4. Dr Gáspár HSZK'!H32</f>
        <v>5462412</v>
      </c>
      <c r="I42" s="344">
        <f>+'4. Dr Gáspár HSZK'!I32</f>
        <v>7467727</v>
      </c>
      <c r="J42" s="489">
        <f>+'4. Dr Gáspár HSZK'!J32</f>
        <v>10065251</v>
      </c>
      <c r="K42" s="75"/>
      <c r="L42" s="562">
        <f t="shared" si="7"/>
        <v>0.49748743169398907</v>
      </c>
      <c r="M42" s="562">
        <f t="shared" si="8"/>
        <v>0.68012085610200368</v>
      </c>
      <c r="N42" s="563">
        <f t="shared" si="9"/>
        <v>0.91121229404309256</v>
      </c>
      <c r="O42" s="75"/>
      <c r="P42" s="454">
        <f>+'4. Dr Gáspár HSZK'!P32</f>
        <v>409000</v>
      </c>
      <c r="Q42" s="75">
        <f>+'4. Dr Gáspár HSZK'!Q32</f>
        <v>0</v>
      </c>
      <c r="R42" s="75">
        <f>+'4. Dr Gáspár HSZK'!R32</f>
        <v>66000</v>
      </c>
      <c r="S42" s="75">
        <f>+'4. Dr Gáspár HSZK'!S32</f>
        <v>475000</v>
      </c>
      <c r="T42" s="578">
        <f t="shared" si="16"/>
        <v>4.4934254091382082E-2</v>
      </c>
    </row>
    <row r="43" spans="1:20" x14ac:dyDescent="0.2">
      <c r="A43" s="430" t="s">
        <v>111</v>
      </c>
      <c r="B43" s="58" t="str">
        <f t="shared" si="15"/>
        <v>Elláttotak pénzpeli juttatásai</v>
      </c>
      <c r="C43" s="454"/>
      <c r="D43" s="75"/>
      <c r="E43" s="75"/>
      <c r="F43" s="465"/>
      <c r="G43" s="75"/>
      <c r="H43" s="454"/>
      <c r="I43" s="75"/>
      <c r="J43" s="489"/>
      <c r="K43" s="75"/>
      <c r="L43" s="562" t="e">
        <f t="shared" si="7"/>
        <v>#DIV/0!</v>
      </c>
      <c r="M43" s="562" t="e">
        <f t="shared" si="8"/>
        <v>#DIV/0!</v>
      </c>
      <c r="N43" s="563" t="e">
        <f t="shared" si="9"/>
        <v>#DIV/0!</v>
      </c>
      <c r="O43" s="75"/>
      <c r="P43" s="454"/>
      <c r="Q43" s="75"/>
      <c r="R43" s="75"/>
      <c r="S43" s="75"/>
      <c r="T43" s="578">
        <f t="shared" si="16"/>
        <v>0</v>
      </c>
    </row>
    <row r="44" spans="1:20" x14ac:dyDescent="0.2">
      <c r="A44" s="431" t="s">
        <v>376</v>
      </c>
      <c r="B44" s="58" t="str">
        <f t="shared" si="15"/>
        <v>Egyéb működési célú kiadások</v>
      </c>
      <c r="C44" s="454"/>
      <c r="D44" s="75"/>
      <c r="E44" s="75"/>
      <c r="F44" s="465"/>
      <c r="G44" s="75"/>
      <c r="H44" s="454"/>
      <c r="I44" s="75"/>
      <c r="J44" s="489"/>
      <c r="K44" s="75"/>
      <c r="L44" s="562" t="e">
        <f t="shared" si="7"/>
        <v>#DIV/0!</v>
      </c>
      <c r="M44" s="562" t="e">
        <f t="shared" si="8"/>
        <v>#DIV/0!</v>
      </c>
      <c r="N44" s="563" t="e">
        <f t="shared" si="9"/>
        <v>#DIV/0!</v>
      </c>
      <c r="O44" s="75"/>
      <c r="P44" s="454"/>
      <c r="Q44" s="75"/>
      <c r="R44" s="75"/>
      <c r="S44" s="75"/>
      <c r="T44" s="578">
        <f t="shared" si="16"/>
        <v>0</v>
      </c>
    </row>
    <row r="45" spans="1:20" x14ac:dyDescent="0.2">
      <c r="A45" s="430" t="s">
        <v>158</v>
      </c>
      <c r="B45" s="58" t="str">
        <f t="shared" si="15"/>
        <v>Beruházások</v>
      </c>
      <c r="C45" s="454">
        <f>+'4. Dr Gáspár HSZK'!C83</f>
        <v>52000</v>
      </c>
      <c r="D45" s="75">
        <f>+'4. Dr Gáspár HSZK'!D83</f>
        <v>52000</v>
      </c>
      <c r="E45" s="75">
        <f>+'4. Dr Gáspár HSZK'!E83</f>
        <v>52000</v>
      </c>
      <c r="F45" s="465">
        <f>+'4. Dr Gáspár HSZK'!F83</f>
        <v>52000</v>
      </c>
      <c r="G45" s="75"/>
      <c r="H45" s="454">
        <f>+'4. Dr Gáspár HSZK'!H83</f>
        <v>0</v>
      </c>
      <c r="I45" s="75">
        <f>+'4. Dr Gáspár HSZK'!I83</f>
        <v>0</v>
      </c>
      <c r="J45" s="489">
        <f>+'4. Dr Gáspár HSZK'!J83</f>
        <v>23000</v>
      </c>
      <c r="K45" s="75">
        <f>+'4. Dr Gáspár HSZK'!K83</f>
        <v>0</v>
      </c>
      <c r="L45" s="562">
        <f t="shared" si="7"/>
        <v>0</v>
      </c>
      <c r="M45" s="562">
        <f t="shared" si="8"/>
        <v>0</v>
      </c>
      <c r="N45" s="563">
        <f t="shared" si="9"/>
        <v>0.44230769230769229</v>
      </c>
      <c r="O45" s="75"/>
      <c r="P45" s="454">
        <f>+'4. Dr Gáspár HSZK'!P83</f>
        <v>0</v>
      </c>
      <c r="Q45" s="75">
        <f>+'4. Dr Gáspár HSZK'!Q83</f>
        <v>0</v>
      </c>
      <c r="R45" s="75">
        <f>+'4. Dr Gáspár HSZK'!R83</f>
        <v>0</v>
      </c>
      <c r="S45" s="75">
        <f>+'4. Dr Gáspár HSZK'!S83</f>
        <v>0</v>
      </c>
      <c r="T45" s="578">
        <f t="shared" si="16"/>
        <v>0</v>
      </c>
    </row>
    <row r="46" spans="1:20" x14ac:dyDescent="0.2">
      <c r="A46" s="430" t="s">
        <v>173</v>
      </c>
      <c r="B46" s="58" t="str">
        <f t="shared" si="15"/>
        <v>Felújítások</v>
      </c>
      <c r="C46" s="454">
        <f>+'4. Dr Gáspár HSZK'!C86</f>
        <v>0</v>
      </c>
      <c r="D46" s="75">
        <f>+'4. Dr Gáspár HSZK'!D86</f>
        <v>0</v>
      </c>
      <c r="E46" s="75">
        <f>+'4. Dr Gáspár HSZK'!E86</f>
        <v>0</v>
      </c>
      <c r="F46" s="465">
        <f>+'4. Dr Gáspár HSZK'!F86</f>
        <v>0</v>
      </c>
      <c r="G46" s="75"/>
      <c r="H46" s="454">
        <f>+'4. Dr Gáspár HSZK'!H86</f>
        <v>0</v>
      </c>
      <c r="I46" s="75">
        <f>+'4. Dr Gáspár HSZK'!I86</f>
        <v>0</v>
      </c>
      <c r="J46" s="489">
        <f>+'4. Dr Gáspár HSZK'!J86</f>
        <v>0</v>
      </c>
      <c r="K46" s="75">
        <f>+'4. Dr Gáspár HSZK'!K86</f>
        <v>0</v>
      </c>
      <c r="L46" s="562" t="e">
        <f t="shared" si="7"/>
        <v>#DIV/0!</v>
      </c>
      <c r="M46" s="562" t="e">
        <f t="shared" si="8"/>
        <v>#DIV/0!</v>
      </c>
      <c r="N46" s="563" t="e">
        <f t="shared" si="9"/>
        <v>#DIV/0!</v>
      </c>
      <c r="O46" s="75"/>
      <c r="P46" s="454">
        <f>+'4. Dr Gáspár HSZK'!P86</f>
        <v>0</v>
      </c>
      <c r="Q46" s="75">
        <f>+'4. Dr Gáspár HSZK'!Q86</f>
        <v>0</v>
      </c>
      <c r="R46" s="75">
        <f>+'4. Dr Gáspár HSZK'!R86</f>
        <v>0</v>
      </c>
      <c r="S46" s="75">
        <f>+'4. Dr Gáspár HSZK'!S86</f>
        <v>0</v>
      </c>
      <c r="T46" s="578">
        <f t="shared" si="16"/>
        <v>0</v>
      </c>
    </row>
    <row r="47" spans="1:20" x14ac:dyDescent="0.2">
      <c r="A47" s="430" t="s">
        <v>183</v>
      </c>
      <c r="B47" s="58" t="str">
        <f t="shared" si="15"/>
        <v>Szolgáltatások kiadásai</v>
      </c>
      <c r="C47" s="454"/>
      <c r="D47" s="75"/>
      <c r="E47" s="75"/>
      <c r="F47" s="465"/>
      <c r="G47" s="75"/>
      <c r="H47" s="454"/>
      <c r="I47" s="75"/>
      <c r="J47" s="489"/>
      <c r="K47" s="75"/>
      <c r="L47" s="562" t="e">
        <f t="shared" si="7"/>
        <v>#DIV/0!</v>
      </c>
      <c r="M47" s="562" t="e">
        <f t="shared" si="8"/>
        <v>#DIV/0!</v>
      </c>
      <c r="N47" s="563" t="e">
        <f t="shared" si="9"/>
        <v>#DIV/0!</v>
      </c>
      <c r="O47" s="75"/>
      <c r="P47" s="454"/>
      <c r="Q47" s="75"/>
      <c r="R47" s="75"/>
      <c r="S47" s="75"/>
      <c r="T47" s="578">
        <f t="shared" si="16"/>
        <v>0</v>
      </c>
    </row>
    <row r="48" spans="1:20" x14ac:dyDescent="0.2">
      <c r="A48" s="430" t="s">
        <v>201</v>
      </c>
      <c r="B48" s="58" t="str">
        <f t="shared" si="15"/>
        <v>Finanszírozási kiadások</v>
      </c>
      <c r="C48" s="433"/>
      <c r="F48" s="476"/>
      <c r="H48" s="433"/>
      <c r="J48" s="487"/>
      <c r="L48" s="562" t="e">
        <f t="shared" si="7"/>
        <v>#DIV/0!</v>
      </c>
      <c r="M48" s="562" t="e">
        <f t="shared" si="8"/>
        <v>#DIV/0!</v>
      </c>
      <c r="N48" s="563" t="e">
        <f t="shared" si="9"/>
        <v>#DIV/0!</v>
      </c>
      <c r="P48" s="433"/>
      <c r="T48" s="578">
        <f t="shared" si="16"/>
        <v>0</v>
      </c>
    </row>
    <row r="49" spans="1:20" x14ac:dyDescent="0.2">
      <c r="A49" s="432"/>
      <c r="B49" s="416" t="s">
        <v>378</v>
      </c>
      <c r="C49" s="456">
        <f>SUM(C40:C48)</f>
        <v>36750000</v>
      </c>
      <c r="D49" s="417">
        <f t="shared" ref="D49" si="17">SUM(D40:D48)</f>
        <v>37159000</v>
      </c>
      <c r="E49" s="417">
        <f t="shared" ref="E49" si="18">SUM(E40:E48)</f>
        <v>37159000</v>
      </c>
      <c r="F49" s="473">
        <f t="shared" ref="F49" si="19">SUM(F40:F48)</f>
        <v>37225000</v>
      </c>
      <c r="G49" s="417"/>
      <c r="H49" s="456">
        <f t="shared" ref="H49" si="20">SUM(H40:H48)</f>
        <v>17640024</v>
      </c>
      <c r="I49" s="417">
        <f t="shared" ref="I49" si="21">SUM(I40:I48)</f>
        <v>26250389</v>
      </c>
      <c r="J49" s="418">
        <f t="shared" ref="J49" si="22">SUM(J40:J48)</f>
        <v>35167699</v>
      </c>
      <c r="K49" s="217"/>
      <c r="L49" s="564">
        <f t="shared" si="7"/>
        <v>0.47471740358997822</v>
      </c>
      <c r="M49" s="564">
        <f t="shared" si="8"/>
        <v>0.70643421512957827</v>
      </c>
      <c r="N49" s="565">
        <f t="shared" si="9"/>
        <v>0.94473335124244462</v>
      </c>
      <c r="O49" s="217"/>
      <c r="P49" s="456">
        <f t="shared" ref="P49" si="23">SUM(P40:P48)</f>
        <v>409000</v>
      </c>
      <c r="Q49" s="417">
        <f t="shared" ref="Q49" si="24">SUM(Q40:Q48)</f>
        <v>0</v>
      </c>
      <c r="R49" s="417">
        <f t="shared" ref="R49" si="25">SUM(R40:R48)</f>
        <v>66000</v>
      </c>
      <c r="S49" s="418">
        <f t="shared" ref="S49" si="26">SUM(S40:S48)</f>
        <v>475000</v>
      </c>
      <c r="T49" s="579">
        <f t="shared" si="16"/>
        <v>1.292517006802721E-2</v>
      </c>
    </row>
    <row r="50" spans="1:20" x14ac:dyDescent="0.2">
      <c r="A50" s="433"/>
      <c r="C50" s="454"/>
      <c r="D50" s="76"/>
      <c r="E50" s="76"/>
      <c r="F50" s="471"/>
      <c r="G50" s="76"/>
      <c r="H50" s="463"/>
      <c r="I50" s="239"/>
      <c r="J50" s="487"/>
      <c r="K50" s="76"/>
      <c r="L50" s="562"/>
      <c r="M50" s="562"/>
      <c r="N50" s="563"/>
      <c r="O50" s="76"/>
      <c r="P50" s="454"/>
      <c r="Q50" s="75"/>
      <c r="R50" s="75"/>
      <c r="S50" s="75"/>
      <c r="T50" s="578"/>
    </row>
    <row r="51" spans="1:20" x14ac:dyDescent="0.2">
      <c r="A51" s="430" t="str">
        <f>+A24</f>
        <v>B1</v>
      </c>
      <c r="B51" s="58" t="s">
        <v>454</v>
      </c>
      <c r="C51" s="454">
        <f>+'4. Dr Gáspár HSZK'!C93</f>
        <v>0</v>
      </c>
      <c r="D51" s="75">
        <f>+'4. Dr Gáspár HSZK'!D93</f>
        <v>0</v>
      </c>
      <c r="E51" s="75">
        <f>+'4. Dr Gáspár HSZK'!E93</f>
        <v>0</v>
      </c>
      <c r="F51" s="465">
        <f>+'4. Dr Gáspár HSZK'!F93</f>
        <v>0</v>
      </c>
      <c r="G51" s="75">
        <f>+'4. Dr Gáspár HSZK'!G93</f>
        <v>0</v>
      </c>
      <c r="H51" s="454">
        <f>+'4. Dr Gáspár HSZK'!H93</f>
        <v>0</v>
      </c>
      <c r="I51" s="75">
        <f>+'4. Dr Gáspár HSZK'!I93</f>
        <v>0</v>
      </c>
      <c r="J51" s="489">
        <f>+'4. Dr Gáspár HSZK'!J93</f>
        <v>0</v>
      </c>
      <c r="K51" s="75"/>
      <c r="L51" s="562" t="e">
        <f t="shared" si="7"/>
        <v>#DIV/0!</v>
      </c>
      <c r="M51" s="562" t="e">
        <f t="shared" si="8"/>
        <v>#DIV/0!</v>
      </c>
      <c r="N51" s="563" t="e">
        <f t="shared" si="9"/>
        <v>#DIV/0!</v>
      </c>
      <c r="O51" s="75"/>
      <c r="P51" s="454">
        <f>+'4. Dr Gáspár HSZK'!P93</f>
        <v>0</v>
      </c>
      <c r="Q51" s="75">
        <f>+'4. Dr Gáspár HSZK'!Q93</f>
        <v>0</v>
      </c>
      <c r="R51" s="75">
        <f>+'4. Dr Gáspár HSZK'!R93</f>
        <v>0</v>
      </c>
      <c r="S51" s="75">
        <f>+'4. Dr Gáspár HSZK'!S93</f>
        <v>0</v>
      </c>
      <c r="T51" s="578">
        <f t="shared" si="16"/>
        <v>0</v>
      </c>
    </row>
    <row r="52" spans="1:20" x14ac:dyDescent="0.2">
      <c r="A52" s="430" t="str">
        <f t="shared" ref="A52" si="27">+A25</f>
        <v>B2</v>
      </c>
      <c r="B52" s="58" t="s">
        <v>453</v>
      </c>
      <c r="C52" s="454"/>
      <c r="D52" s="75"/>
      <c r="E52" s="75"/>
      <c r="F52" s="465"/>
      <c r="G52" s="75"/>
      <c r="H52" s="454"/>
      <c r="I52" s="75"/>
      <c r="J52" s="489"/>
      <c r="K52" s="75"/>
      <c r="L52" s="562" t="e">
        <f t="shared" si="7"/>
        <v>#DIV/0!</v>
      </c>
      <c r="M52" s="562" t="e">
        <f t="shared" si="8"/>
        <v>#DIV/0!</v>
      </c>
      <c r="N52" s="563" t="e">
        <f t="shared" si="9"/>
        <v>#DIV/0!</v>
      </c>
      <c r="O52" s="75"/>
      <c r="P52" s="454"/>
      <c r="Q52" s="75"/>
      <c r="R52" s="75"/>
      <c r="S52" s="75"/>
      <c r="T52" s="578">
        <f t="shared" si="16"/>
        <v>0</v>
      </c>
    </row>
    <row r="53" spans="1:20" x14ac:dyDescent="0.2">
      <c r="A53" s="430" t="str">
        <f t="shared" ref="A53" si="28">+A26</f>
        <v>B3</v>
      </c>
      <c r="B53" s="58" t="s">
        <v>271</v>
      </c>
      <c r="C53" s="454"/>
      <c r="D53" s="75"/>
      <c r="E53" s="75"/>
      <c r="F53" s="465"/>
      <c r="G53" s="75"/>
      <c r="H53" s="454"/>
      <c r="I53" s="75"/>
      <c r="J53" s="489"/>
      <c r="K53" s="75"/>
      <c r="L53" s="562" t="e">
        <f t="shared" si="7"/>
        <v>#DIV/0!</v>
      </c>
      <c r="M53" s="562" t="e">
        <f t="shared" si="8"/>
        <v>#DIV/0!</v>
      </c>
      <c r="N53" s="563" t="e">
        <f t="shared" si="9"/>
        <v>#DIV/0!</v>
      </c>
      <c r="O53" s="75"/>
      <c r="P53" s="454"/>
      <c r="Q53" s="75"/>
      <c r="R53" s="75"/>
      <c r="S53" s="75"/>
      <c r="T53" s="578">
        <f t="shared" si="16"/>
        <v>0</v>
      </c>
    </row>
    <row r="54" spans="1:20" x14ac:dyDescent="0.2">
      <c r="A54" s="430" t="str">
        <f t="shared" ref="A54" si="29">+A27</f>
        <v>B4</v>
      </c>
      <c r="B54" s="58" t="s">
        <v>285</v>
      </c>
      <c r="C54" s="454">
        <f>+'4. Dr Gáspár HSZK'!C95</f>
        <v>8135000</v>
      </c>
      <c r="D54" s="75">
        <f>+'4. Dr Gáspár HSZK'!D95</f>
        <v>8135000</v>
      </c>
      <c r="E54" s="75">
        <f>+'4. Dr Gáspár HSZK'!E95</f>
        <v>8135000</v>
      </c>
      <c r="F54" s="465">
        <f>+'4. Dr Gáspár HSZK'!F95</f>
        <v>8201000</v>
      </c>
      <c r="G54" s="75"/>
      <c r="H54" s="454">
        <f>+'4. Dr Gáspár HSZK'!H95</f>
        <v>3968495</v>
      </c>
      <c r="I54" s="75">
        <f>+'4. Dr Gáspár HSZK'!I95</f>
        <v>5851709</v>
      </c>
      <c r="J54" s="489">
        <f>+'4. Dr Gáspár HSZK'!J95</f>
        <v>8169050</v>
      </c>
      <c r="K54" s="75"/>
      <c r="L54" s="562">
        <f t="shared" si="7"/>
        <v>0.48782974800245849</v>
      </c>
      <c r="M54" s="562">
        <f t="shared" si="8"/>
        <v>0.7193250153657037</v>
      </c>
      <c r="N54" s="563">
        <f t="shared" si="9"/>
        <v>0.99610413364223871</v>
      </c>
      <c r="O54" s="75"/>
      <c r="P54" s="454">
        <f>+'4. Dr Gáspár HSZK'!P95</f>
        <v>0</v>
      </c>
      <c r="Q54" s="75">
        <f>+'4. Dr Gáspár HSZK'!Q95</f>
        <v>0</v>
      </c>
      <c r="R54" s="75">
        <f>+'4. Dr Gáspár HSZK'!R95</f>
        <v>66000</v>
      </c>
      <c r="S54" s="75">
        <f>+'4. Dr Gáspár HSZK'!S95</f>
        <v>66000</v>
      </c>
      <c r="T54" s="578">
        <f t="shared" si="16"/>
        <v>8.1130915795943458E-3</v>
      </c>
    </row>
    <row r="55" spans="1:20" x14ac:dyDescent="0.2">
      <c r="A55" s="430" t="str">
        <f t="shared" ref="A55" si="30">+A28</f>
        <v>B5</v>
      </c>
      <c r="B55" s="58" t="s">
        <v>312</v>
      </c>
      <c r="C55" s="454"/>
      <c r="D55" s="75"/>
      <c r="E55" s="75"/>
      <c r="F55" s="465"/>
      <c r="G55" s="75"/>
      <c r="H55" s="454"/>
      <c r="I55" s="75"/>
      <c r="J55" s="489"/>
      <c r="K55" s="75"/>
      <c r="L55" s="562" t="e">
        <f t="shared" si="7"/>
        <v>#DIV/0!</v>
      </c>
      <c r="M55" s="562" t="e">
        <f t="shared" si="8"/>
        <v>#DIV/0!</v>
      </c>
      <c r="N55" s="563" t="e">
        <f t="shared" si="9"/>
        <v>#DIV/0!</v>
      </c>
      <c r="O55" s="75"/>
      <c r="P55" s="454"/>
      <c r="Q55" s="75"/>
      <c r="R55" s="75"/>
      <c r="S55" s="75"/>
      <c r="T55" s="578">
        <f t="shared" si="16"/>
        <v>0</v>
      </c>
    </row>
    <row r="56" spans="1:20" x14ac:dyDescent="0.2">
      <c r="A56" s="430" t="str">
        <f t="shared" ref="A56" si="31">+A29</f>
        <v>B6</v>
      </c>
      <c r="B56" s="58" t="s">
        <v>322</v>
      </c>
      <c r="C56" s="454"/>
      <c r="D56" s="75"/>
      <c r="E56" s="75"/>
      <c r="F56" s="465"/>
      <c r="G56" s="75"/>
      <c r="H56" s="454"/>
      <c r="I56" s="75"/>
      <c r="J56" s="489"/>
      <c r="K56" s="75"/>
      <c r="L56" s="562" t="e">
        <f t="shared" si="7"/>
        <v>#DIV/0!</v>
      </c>
      <c r="M56" s="562" t="e">
        <f t="shared" si="8"/>
        <v>#DIV/0!</v>
      </c>
      <c r="N56" s="563" t="e">
        <f t="shared" si="9"/>
        <v>#DIV/0!</v>
      </c>
      <c r="O56" s="75"/>
      <c r="P56" s="454"/>
      <c r="Q56" s="75"/>
      <c r="R56" s="75"/>
      <c r="S56" s="75"/>
      <c r="T56" s="578">
        <f t="shared" si="16"/>
        <v>0</v>
      </c>
    </row>
    <row r="57" spans="1:20" x14ac:dyDescent="0.2">
      <c r="A57" s="430" t="str">
        <f t="shared" ref="A57" si="32">+A30</f>
        <v>B7</v>
      </c>
      <c r="B57" s="58" t="s">
        <v>327</v>
      </c>
      <c r="C57" s="454"/>
      <c r="D57" s="75"/>
      <c r="E57" s="75"/>
      <c r="F57" s="465"/>
      <c r="G57" s="75"/>
      <c r="H57" s="454"/>
      <c r="I57" s="75"/>
      <c r="J57" s="489"/>
      <c r="K57" s="75"/>
      <c r="L57" s="562" t="e">
        <f t="shared" si="7"/>
        <v>#DIV/0!</v>
      </c>
      <c r="M57" s="562" t="e">
        <f t="shared" si="8"/>
        <v>#DIV/0!</v>
      </c>
      <c r="N57" s="563" t="e">
        <f t="shared" si="9"/>
        <v>#DIV/0!</v>
      </c>
      <c r="O57" s="75"/>
      <c r="P57" s="454"/>
      <c r="Q57" s="75"/>
      <c r="R57" s="75"/>
      <c r="S57" s="344" t="s">
        <v>477</v>
      </c>
      <c r="T57" s="578" t="e">
        <f t="shared" si="16"/>
        <v>#VALUE!</v>
      </c>
    </row>
    <row r="58" spans="1:20" x14ac:dyDescent="0.2">
      <c r="A58" s="430" t="str">
        <f>+A31</f>
        <v>B8-ból maradványértéken túli finanszírozási bevételek</v>
      </c>
      <c r="B58" s="58"/>
      <c r="C58" s="454">
        <f>+'4. Dr Gáspár HSZK'!C99-C59</f>
        <v>27728761</v>
      </c>
      <c r="D58" s="75">
        <f>+'4. Dr Gáspár HSZK'!D99-D59</f>
        <v>28137761</v>
      </c>
      <c r="E58" s="75">
        <f>+'4. Dr Gáspár HSZK'!E99-E59</f>
        <v>28137761</v>
      </c>
      <c r="F58" s="465">
        <f>+'4. Dr Gáspár HSZK'!F99-F59</f>
        <v>28137761</v>
      </c>
      <c r="G58" s="75"/>
      <c r="H58" s="454">
        <f>+'4. Dr Gáspár HSZK'!H99-H59</f>
        <v>15590607</v>
      </c>
      <c r="I58" s="75">
        <f>+'4. Dr Gáspár HSZK'!I99-I59</f>
        <v>21838054</v>
      </c>
      <c r="J58" s="489">
        <f>+'4. Dr Gáspár HSZK'!J99-J59</f>
        <v>27674184</v>
      </c>
      <c r="K58" s="75"/>
      <c r="L58" s="562">
        <f t="shared" si="7"/>
        <v>0.55408129310644161</v>
      </c>
      <c r="M58" s="562">
        <f t="shared" si="8"/>
        <v>0.77611200123563495</v>
      </c>
      <c r="N58" s="563">
        <f t="shared" si="9"/>
        <v>0.9835247374515691</v>
      </c>
      <c r="O58" s="75"/>
      <c r="P58" s="454">
        <f>+'4. Dr Gáspár HSZK'!P99-P59</f>
        <v>409000</v>
      </c>
      <c r="Q58" s="75">
        <f>+'4. Dr Gáspár HSZK'!Q99-Q59</f>
        <v>0</v>
      </c>
      <c r="R58" s="75">
        <f>+'4. Dr Gáspár HSZK'!R99-R59</f>
        <v>0</v>
      </c>
      <c r="S58" s="75">
        <f>+'4. Dr Gáspár HSZK'!S99-S59</f>
        <v>409000</v>
      </c>
      <c r="T58" s="578">
        <f t="shared" si="16"/>
        <v>1.4750027958335391E-2</v>
      </c>
    </row>
    <row r="59" spans="1:20" x14ac:dyDescent="0.2">
      <c r="A59" s="430" t="str">
        <f>+A32</f>
        <v>B8-ból előző évi mardvány igénybevétele</v>
      </c>
      <c r="B59" s="58"/>
      <c r="C59" s="454">
        <f>+'4. Dr Gáspár HSZK'!C101</f>
        <v>886239</v>
      </c>
      <c r="D59" s="75">
        <f>+'4. Dr Gáspár HSZK'!D101</f>
        <v>886239</v>
      </c>
      <c r="E59" s="75">
        <f>+'4. Dr Gáspár HSZK'!E101</f>
        <v>886239</v>
      </c>
      <c r="F59" s="465">
        <f>+'4. Dr Gáspár HSZK'!F101</f>
        <v>886239</v>
      </c>
      <c r="G59" s="75"/>
      <c r="H59" s="454">
        <f>+'4. Dr Gáspár HSZK'!H101</f>
        <v>886239</v>
      </c>
      <c r="I59" s="75">
        <f>+'4. Dr Gáspár HSZK'!I101</f>
        <v>886239</v>
      </c>
      <c r="J59" s="489">
        <f>+'4. Dr Gáspár HSZK'!J101</f>
        <v>886239</v>
      </c>
      <c r="K59" s="75"/>
      <c r="L59" s="562">
        <f t="shared" si="7"/>
        <v>1</v>
      </c>
      <c r="M59" s="562">
        <f t="shared" si="8"/>
        <v>1</v>
      </c>
      <c r="N59" s="563">
        <f t="shared" si="9"/>
        <v>1</v>
      </c>
      <c r="O59" s="75"/>
      <c r="P59" s="454">
        <f>+'4. Dr Gáspár HSZK'!P101</f>
        <v>0</v>
      </c>
      <c r="Q59" s="75">
        <f>+'4. Dr Gáspár HSZK'!Q101</f>
        <v>0</v>
      </c>
      <c r="R59" s="75">
        <f>+'4. Dr Gáspár HSZK'!R101</f>
        <v>0</v>
      </c>
      <c r="S59" s="75">
        <f>+'4. Dr Gáspár HSZK'!S101</f>
        <v>0</v>
      </c>
      <c r="T59" s="578">
        <f t="shared" si="16"/>
        <v>0</v>
      </c>
    </row>
    <row r="60" spans="1:20" x14ac:dyDescent="0.2">
      <c r="A60" s="434"/>
      <c r="B60" s="416" t="s">
        <v>377</v>
      </c>
      <c r="C60" s="456">
        <f>SUM(C51:C59)</f>
        <v>36750000</v>
      </c>
      <c r="D60" s="417">
        <f t="shared" ref="D60" si="33">SUM(D51:D59)</f>
        <v>37159000</v>
      </c>
      <c r="E60" s="417">
        <f t="shared" ref="E60" si="34">SUM(E51:E59)</f>
        <v>37159000</v>
      </c>
      <c r="F60" s="473">
        <f t="shared" ref="F60" si="35">SUM(F51:F59)</f>
        <v>37225000</v>
      </c>
      <c r="G60" s="417"/>
      <c r="H60" s="456">
        <f t="shared" ref="H60" si="36">SUM(H51:H59)</f>
        <v>20445341</v>
      </c>
      <c r="I60" s="417">
        <f t="shared" ref="I60" si="37">SUM(I51:I59)</f>
        <v>28576002</v>
      </c>
      <c r="J60" s="418">
        <f t="shared" ref="J60" si="38">SUM(J51:J59)</f>
        <v>36729473</v>
      </c>
      <c r="K60" s="419"/>
      <c r="L60" s="566">
        <f t="shared" si="7"/>
        <v>0.55021235770607391</v>
      </c>
      <c r="M60" s="566">
        <f t="shared" si="8"/>
        <v>0.76901967221938161</v>
      </c>
      <c r="N60" s="567">
        <f t="shared" si="9"/>
        <v>0.98668832773673609</v>
      </c>
      <c r="O60" s="419"/>
      <c r="P60" s="456">
        <f t="shared" ref="P60" si="39">SUM(P51:P59)</f>
        <v>409000</v>
      </c>
      <c r="Q60" s="417">
        <f t="shared" ref="Q60" si="40">SUM(Q51:Q59)</f>
        <v>0</v>
      </c>
      <c r="R60" s="417">
        <f t="shared" ref="R60" si="41">SUM(R51:R59)</f>
        <v>66000</v>
      </c>
      <c r="S60" s="418">
        <f t="shared" ref="S60" si="42">SUM(S51:S59)</f>
        <v>475000</v>
      </c>
      <c r="T60" s="579">
        <f t="shared" si="16"/>
        <v>1.292517006802721E-2</v>
      </c>
    </row>
    <row r="61" spans="1:20" x14ac:dyDescent="0.2">
      <c r="A61" s="433"/>
      <c r="B61" s="75"/>
      <c r="C61" s="454"/>
      <c r="D61" s="75"/>
      <c r="E61" s="75"/>
      <c r="F61" s="465"/>
      <c r="G61" s="75"/>
      <c r="H61" s="454"/>
      <c r="I61" s="75"/>
      <c r="J61" s="489"/>
      <c r="K61" s="75"/>
      <c r="L61" s="562"/>
      <c r="M61" s="562"/>
      <c r="N61" s="563"/>
      <c r="O61" s="75"/>
      <c r="P61" s="454"/>
      <c r="Q61" s="75"/>
      <c r="R61" s="75"/>
      <c r="S61" s="75"/>
      <c r="T61" s="580"/>
    </row>
    <row r="62" spans="1:20" ht="13.5" thickBot="1" x14ac:dyDescent="0.25">
      <c r="A62" s="436"/>
      <c r="B62" s="437" t="s">
        <v>463</v>
      </c>
      <c r="C62" s="458">
        <f>+C60-C49</f>
        <v>0</v>
      </c>
      <c r="D62" s="438">
        <f>+D60-D49</f>
        <v>0</v>
      </c>
      <c r="E62" s="438">
        <f>+E60-E49</f>
        <v>0</v>
      </c>
      <c r="F62" s="475">
        <f>+F60-F49</f>
        <v>0</v>
      </c>
      <c r="G62" s="438"/>
      <c r="H62" s="458">
        <f>+H60-H49</f>
        <v>2805317</v>
      </c>
      <c r="I62" s="438">
        <f>+I60-I49</f>
        <v>2325613</v>
      </c>
      <c r="J62" s="440">
        <f>+J60-J49</f>
        <v>1561774</v>
      </c>
      <c r="K62" s="439"/>
      <c r="L62" s="568" t="e">
        <f t="shared" si="7"/>
        <v>#DIV/0!</v>
      </c>
      <c r="M62" s="568" t="e">
        <f t="shared" si="8"/>
        <v>#DIV/0!</v>
      </c>
      <c r="N62" s="569" t="e">
        <f t="shared" si="9"/>
        <v>#DIV/0!</v>
      </c>
      <c r="O62" s="439"/>
      <c r="P62" s="458">
        <f>+P60-P49</f>
        <v>0</v>
      </c>
      <c r="Q62" s="438">
        <f>+Q60-Q49</f>
        <v>0</v>
      </c>
      <c r="R62" s="438">
        <f>+R60-R49</f>
        <v>0</v>
      </c>
      <c r="S62" s="440">
        <f>+S60-S49</f>
        <v>0</v>
      </c>
      <c r="T62" s="581"/>
    </row>
    <row r="63" spans="1:20" x14ac:dyDescent="0.2">
      <c r="C63" s="454"/>
      <c r="D63" s="76"/>
      <c r="E63" s="76"/>
      <c r="F63" s="471"/>
      <c r="G63" s="76"/>
      <c r="H63" s="463"/>
      <c r="I63" s="239"/>
      <c r="J63" s="487"/>
      <c r="K63" s="76"/>
      <c r="L63" s="562"/>
      <c r="M63" s="562"/>
      <c r="N63" s="563"/>
      <c r="O63" s="76"/>
      <c r="P63" s="454"/>
      <c r="Q63" s="75"/>
      <c r="R63" s="75"/>
      <c r="S63" s="75"/>
      <c r="T63" s="580"/>
    </row>
    <row r="64" spans="1:20" ht="13.5" thickBot="1" x14ac:dyDescent="0.25">
      <c r="C64" s="454"/>
      <c r="D64" s="76"/>
      <c r="E64" s="76"/>
      <c r="F64" s="471"/>
      <c r="G64" s="76"/>
      <c r="H64" s="463"/>
      <c r="I64" s="239"/>
      <c r="J64" s="487"/>
      <c r="K64" s="76"/>
      <c r="L64" s="562"/>
      <c r="M64" s="562"/>
      <c r="N64" s="563"/>
      <c r="O64" s="76"/>
      <c r="P64" s="454"/>
      <c r="Q64" s="75"/>
      <c r="R64" s="75"/>
      <c r="S64" s="75"/>
      <c r="T64" s="580"/>
    </row>
    <row r="65" spans="1:20" ht="18.75" thickBot="1" x14ac:dyDescent="0.3">
      <c r="A65" s="443" t="s">
        <v>501</v>
      </c>
      <c r="B65" s="470"/>
      <c r="D65" s="76"/>
      <c r="E65" s="76"/>
      <c r="F65" s="471"/>
      <c r="G65" s="76"/>
      <c r="H65" s="463"/>
      <c r="I65" s="239"/>
      <c r="J65" s="487"/>
      <c r="K65" s="76"/>
      <c r="L65" s="562"/>
      <c r="M65" s="562"/>
      <c r="N65" s="563"/>
      <c r="O65" s="76"/>
      <c r="P65" s="454"/>
      <c r="Q65" s="75"/>
      <c r="R65" s="75"/>
      <c r="S65" s="75"/>
      <c r="T65" s="580"/>
    </row>
    <row r="66" spans="1:20" x14ac:dyDescent="0.2">
      <c r="A66" s="426"/>
      <c r="B66" s="427"/>
      <c r="C66" s="455"/>
      <c r="D66" s="447"/>
      <c r="E66" s="447"/>
      <c r="F66" s="472"/>
      <c r="G66" s="447"/>
      <c r="H66" s="464"/>
      <c r="I66" s="448"/>
      <c r="J66" s="488"/>
      <c r="K66" s="447"/>
      <c r="L66" s="570"/>
      <c r="M66" s="570"/>
      <c r="N66" s="571"/>
      <c r="O66" s="447"/>
      <c r="P66" s="455"/>
      <c r="Q66" s="446"/>
      <c r="R66" s="446"/>
      <c r="S66" s="446"/>
      <c r="T66" s="582"/>
    </row>
    <row r="67" spans="1:20" x14ac:dyDescent="0.2">
      <c r="A67" s="430" t="s">
        <v>0</v>
      </c>
      <c r="B67" s="58" t="str">
        <f t="shared" ref="B67:B75" si="43">+B40</f>
        <v>Személyi juttatások</v>
      </c>
      <c r="C67" s="454">
        <f>+'5. Csicsergő'!C13</f>
        <v>133266100</v>
      </c>
      <c r="D67" s="75">
        <f>+'5. Csicsergő'!D13</f>
        <v>133266100</v>
      </c>
      <c r="E67" s="75">
        <f>+'5. Csicsergő'!E13</f>
        <v>133886100</v>
      </c>
      <c r="F67" s="465">
        <f>+'5. Csicsergő'!F13</f>
        <v>139676693</v>
      </c>
      <c r="G67" s="75"/>
      <c r="H67" s="454">
        <f>+'5. Csicsergő'!H13</f>
        <v>64161938</v>
      </c>
      <c r="I67" s="75">
        <f>+'5. Csicsergő'!I13</f>
        <v>102942419</v>
      </c>
      <c r="J67" s="489">
        <f>+'5. Csicsergő'!J13</f>
        <v>139672082</v>
      </c>
      <c r="K67" s="75"/>
      <c r="L67" s="562">
        <f t="shared" si="7"/>
        <v>0.48145730984849111</v>
      </c>
      <c r="M67" s="562">
        <f t="shared" si="8"/>
        <v>0.76888055593523152</v>
      </c>
      <c r="N67" s="563">
        <f t="shared" si="9"/>
        <v>0.99996698805003925</v>
      </c>
      <c r="O67" s="75"/>
      <c r="P67" s="454">
        <f>+'5. Csicsergő'!P13</f>
        <v>0</v>
      </c>
      <c r="Q67" s="75">
        <f>+'5. Csicsergő'!Q13</f>
        <v>620000</v>
      </c>
      <c r="R67" s="75">
        <f>+'5. Csicsergő'!R13</f>
        <v>5790593</v>
      </c>
      <c r="S67" s="75">
        <f>+'5. Csicsergő'!S13</f>
        <v>6410593</v>
      </c>
      <c r="T67" s="578">
        <f>IF(S67=0,0,S67/C67)</f>
        <v>4.8103703792637439E-2</v>
      </c>
    </row>
    <row r="68" spans="1:20" x14ac:dyDescent="0.2">
      <c r="A68" s="430" t="s">
        <v>26</v>
      </c>
      <c r="B68" s="58" t="str">
        <f t="shared" si="43"/>
        <v>Munkaadót terhelő járulékok és szociális hozzájárulás</v>
      </c>
      <c r="C68" s="454">
        <f>+'5. Csicsergő'!C30</f>
        <v>28627000</v>
      </c>
      <c r="D68" s="75">
        <f>+'5. Csicsergő'!D30</f>
        <v>28627000</v>
      </c>
      <c r="E68" s="75">
        <f>+'5. Csicsergő'!E30</f>
        <v>28627000</v>
      </c>
      <c r="F68" s="465">
        <f>+'5. Csicsergő'!F30</f>
        <v>32210407</v>
      </c>
      <c r="G68" s="75"/>
      <c r="H68" s="454">
        <f>+'5. Csicsergő'!H30</f>
        <v>15717456</v>
      </c>
      <c r="I68" s="75">
        <f>+'5. Csicsergő'!I30</f>
        <v>24507259</v>
      </c>
      <c r="J68" s="489">
        <f>+'5. Csicsergő'!J30</f>
        <v>32210279</v>
      </c>
      <c r="K68" s="75"/>
      <c r="L68" s="562">
        <f t="shared" si="7"/>
        <v>0.54904307122646456</v>
      </c>
      <c r="M68" s="562">
        <f t="shared" si="8"/>
        <v>0.85608897194955813</v>
      </c>
      <c r="N68" s="563">
        <f t="shared" si="9"/>
        <v>0.99999602612907068</v>
      </c>
      <c r="O68" s="75"/>
      <c r="P68" s="454">
        <f>+'5. Csicsergő'!P30</f>
        <v>0</v>
      </c>
      <c r="Q68" s="75">
        <f>+'5. Csicsergő'!Q30</f>
        <v>0</v>
      </c>
      <c r="R68" s="75">
        <f>+'5. Csicsergő'!R30</f>
        <v>3583407</v>
      </c>
      <c r="S68" s="75">
        <f>+'5. Csicsergő'!S30</f>
        <v>3583407</v>
      </c>
      <c r="T68" s="578">
        <f t="shared" ref="T68:T87" si="44">IF(S68=0,0,S68/C68)</f>
        <v>0.12517577811157299</v>
      </c>
    </row>
    <row r="69" spans="1:20" x14ac:dyDescent="0.2">
      <c r="A69" s="430" t="s">
        <v>29</v>
      </c>
      <c r="B69" s="58" t="str">
        <f t="shared" si="43"/>
        <v>Dologi kiadások</v>
      </c>
      <c r="C69" s="454">
        <f>+'5. Csicsergő'!C33</f>
        <v>8913000</v>
      </c>
      <c r="D69" s="75">
        <f>+'5. Csicsergő'!D33</f>
        <v>10814000</v>
      </c>
      <c r="E69" s="75">
        <f>+'5. Csicsergő'!E33</f>
        <v>11884000</v>
      </c>
      <c r="F69" s="465">
        <f>+'5. Csicsergő'!F33</f>
        <v>12755015</v>
      </c>
      <c r="G69" s="75"/>
      <c r="H69" s="454">
        <f>+'5. Csicsergő'!H33</f>
        <v>7922608</v>
      </c>
      <c r="I69" s="75">
        <f>+'5. Csicsergő'!I33</f>
        <v>9510932</v>
      </c>
      <c r="J69" s="489">
        <f>+'5. Csicsergő'!J33</f>
        <v>12355914</v>
      </c>
      <c r="K69" s="75"/>
      <c r="L69" s="562">
        <f t="shared" si="7"/>
        <v>0.73262511559090071</v>
      </c>
      <c r="M69" s="562">
        <f t="shared" si="8"/>
        <v>0.80031403567822279</v>
      </c>
      <c r="N69" s="563">
        <f t="shared" si="9"/>
        <v>0.9687102680788694</v>
      </c>
      <c r="O69" s="75"/>
      <c r="P69" s="454">
        <f>+'5. Csicsergő'!P33</f>
        <v>1901000</v>
      </c>
      <c r="Q69" s="75">
        <f>+'5. Csicsergő'!Q33</f>
        <v>1070000</v>
      </c>
      <c r="R69" s="75">
        <f>+'5. Csicsergő'!R33</f>
        <v>871015</v>
      </c>
      <c r="S69" s="75">
        <f>+'5. Csicsergő'!S33</f>
        <v>3842015</v>
      </c>
      <c r="T69" s="578">
        <f t="shared" si="44"/>
        <v>0.43105744418265457</v>
      </c>
    </row>
    <row r="70" spans="1:20" x14ac:dyDescent="0.2">
      <c r="A70" s="430" t="s">
        <v>111</v>
      </c>
      <c r="B70" s="58" t="str">
        <f t="shared" si="43"/>
        <v>Elláttotak pénzpeli juttatásai</v>
      </c>
      <c r="C70" s="454"/>
      <c r="D70" s="75"/>
      <c r="E70" s="75"/>
      <c r="F70" s="465"/>
      <c r="G70" s="75"/>
      <c r="H70" s="454"/>
      <c r="I70" s="75"/>
      <c r="J70" s="489"/>
      <c r="K70" s="75"/>
      <c r="L70" s="562" t="e">
        <f t="shared" si="7"/>
        <v>#DIV/0!</v>
      </c>
      <c r="M70" s="562" t="e">
        <f t="shared" si="8"/>
        <v>#DIV/0!</v>
      </c>
      <c r="N70" s="563" t="e">
        <f t="shared" si="9"/>
        <v>#DIV/0!</v>
      </c>
      <c r="O70" s="75"/>
      <c r="P70" s="454"/>
      <c r="Q70" s="75"/>
      <c r="R70" s="75"/>
      <c r="S70" s="75"/>
      <c r="T70" s="578">
        <f t="shared" si="44"/>
        <v>0</v>
      </c>
    </row>
    <row r="71" spans="1:20" x14ac:dyDescent="0.2">
      <c r="A71" s="431" t="s">
        <v>376</v>
      </c>
      <c r="B71" s="58" t="str">
        <f t="shared" si="43"/>
        <v>Egyéb működési célú kiadások</v>
      </c>
      <c r="C71" s="454"/>
      <c r="D71" s="75"/>
      <c r="E71" s="75"/>
      <c r="F71" s="465"/>
      <c r="G71" s="75"/>
      <c r="H71" s="454"/>
      <c r="I71" s="75"/>
      <c r="J71" s="489"/>
      <c r="K71" s="75"/>
      <c r="L71" s="562" t="e">
        <f t="shared" si="7"/>
        <v>#DIV/0!</v>
      </c>
      <c r="M71" s="562" t="e">
        <f t="shared" si="8"/>
        <v>#DIV/0!</v>
      </c>
      <c r="N71" s="563" t="e">
        <f t="shared" si="9"/>
        <v>#DIV/0!</v>
      </c>
      <c r="O71" s="75"/>
      <c r="P71" s="454"/>
      <c r="Q71" s="75"/>
      <c r="R71" s="75"/>
      <c r="S71" s="75"/>
      <c r="T71" s="578">
        <f t="shared" si="44"/>
        <v>0</v>
      </c>
    </row>
    <row r="72" spans="1:20" x14ac:dyDescent="0.2">
      <c r="A72" s="430" t="s">
        <v>158</v>
      </c>
      <c r="B72" s="58" t="str">
        <f t="shared" si="43"/>
        <v>Beruházások</v>
      </c>
      <c r="C72" s="454">
        <f>+'5. Csicsergő'!C84</f>
        <v>1070000</v>
      </c>
      <c r="D72" s="75">
        <f>+'5. Csicsergő'!D84</f>
        <v>619000</v>
      </c>
      <c r="E72" s="75">
        <f>+'5. Csicsergő'!E84</f>
        <v>589000</v>
      </c>
      <c r="F72" s="465">
        <f>+'5. Csicsergő'!F84</f>
        <v>368000</v>
      </c>
      <c r="G72" s="75"/>
      <c r="H72" s="454">
        <f>+'5. Csicsergő'!H84</f>
        <v>31989</v>
      </c>
      <c r="I72" s="75">
        <f>+'5. Csicsergő'!I84</f>
        <v>31989</v>
      </c>
      <c r="J72" s="489">
        <f>+'5. Csicsergő'!J84</f>
        <v>269302</v>
      </c>
      <c r="K72" s="75"/>
      <c r="L72" s="562">
        <f t="shared" si="7"/>
        <v>5.1678513731825526E-2</v>
      </c>
      <c r="M72" s="562">
        <f t="shared" si="8"/>
        <v>5.4310696095076404E-2</v>
      </c>
      <c r="N72" s="563">
        <f t="shared" si="9"/>
        <v>0.73179891304347822</v>
      </c>
      <c r="O72" s="75"/>
      <c r="P72" s="454">
        <f>+'5. Csicsergő'!P84</f>
        <v>-451000</v>
      </c>
      <c r="Q72" s="75">
        <f>+'5. Csicsergő'!Q84</f>
        <v>-30000</v>
      </c>
      <c r="R72" s="75">
        <f>+'5. Csicsergő'!R84</f>
        <v>-221000</v>
      </c>
      <c r="S72" s="75">
        <f>+'5. Csicsergő'!S84</f>
        <v>-702000</v>
      </c>
      <c r="T72" s="578">
        <f t="shared" si="44"/>
        <v>-0.65607476635514017</v>
      </c>
    </row>
    <row r="73" spans="1:20" x14ac:dyDescent="0.2">
      <c r="A73" s="430" t="s">
        <v>173</v>
      </c>
      <c r="B73" s="58" t="str">
        <f t="shared" si="43"/>
        <v>Felújítások</v>
      </c>
      <c r="C73" s="454">
        <f>+'5. Csicsergő'!C87</f>
        <v>0</v>
      </c>
      <c r="D73" s="75">
        <f>+'5. Csicsergő'!D87</f>
        <v>0</v>
      </c>
      <c r="E73" s="75">
        <f>+'5. Csicsergő'!E87</f>
        <v>0</v>
      </c>
      <c r="F73" s="465">
        <f>+'5. Csicsergő'!F87</f>
        <v>0</v>
      </c>
      <c r="G73" s="75"/>
      <c r="H73" s="454">
        <f>+'5. Csicsergő'!H87</f>
        <v>0</v>
      </c>
      <c r="I73" s="75">
        <f>+'5. Csicsergő'!I87</f>
        <v>0</v>
      </c>
      <c r="J73" s="489">
        <f>+'5. Csicsergő'!J87</f>
        <v>0</v>
      </c>
      <c r="K73" s="75"/>
      <c r="L73" s="562" t="e">
        <f t="shared" si="7"/>
        <v>#DIV/0!</v>
      </c>
      <c r="M73" s="562" t="e">
        <f t="shared" si="8"/>
        <v>#DIV/0!</v>
      </c>
      <c r="N73" s="563" t="e">
        <f t="shared" si="9"/>
        <v>#DIV/0!</v>
      </c>
      <c r="O73" s="75"/>
      <c r="P73" s="454">
        <f>+'5. Csicsergő'!P87</f>
        <v>0</v>
      </c>
      <c r="Q73" s="75">
        <f>+'5. Csicsergő'!Q87</f>
        <v>0</v>
      </c>
      <c r="R73" s="75">
        <f>+'5. Csicsergő'!R87</f>
        <v>0</v>
      </c>
      <c r="S73" s="75">
        <f>+'5. Csicsergő'!S87</f>
        <v>0</v>
      </c>
      <c r="T73" s="578">
        <f t="shared" si="44"/>
        <v>0</v>
      </c>
    </row>
    <row r="74" spans="1:20" x14ac:dyDescent="0.2">
      <c r="A74" s="430" t="s">
        <v>183</v>
      </c>
      <c r="B74" s="58" t="str">
        <f t="shared" si="43"/>
        <v>Szolgáltatások kiadásai</v>
      </c>
      <c r="C74" s="454"/>
      <c r="D74" s="75"/>
      <c r="E74" s="75"/>
      <c r="F74" s="465"/>
      <c r="G74" s="75"/>
      <c r="H74" s="454"/>
      <c r="I74" s="75"/>
      <c r="J74" s="489"/>
      <c r="K74" s="75"/>
      <c r="L74" s="562" t="e">
        <f t="shared" si="7"/>
        <v>#DIV/0!</v>
      </c>
      <c r="M74" s="562" t="e">
        <f t="shared" si="8"/>
        <v>#DIV/0!</v>
      </c>
      <c r="N74" s="563" t="e">
        <f t="shared" si="9"/>
        <v>#DIV/0!</v>
      </c>
      <c r="O74" s="75"/>
      <c r="P74" s="454"/>
      <c r="Q74" s="75"/>
      <c r="R74" s="75"/>
      <c r="S74" s="75"/>
      <c r="T74" s="578">
        <f t="shared" si="44"/>
        <v>0</v>
      </c>
    </row>
    <row r="75" spans="1:20" x14ac:dyDescent="0.2">
      <c r="A75" s="430" t="s">
        <v>201</v>
      </c>
      <c r="B75" s="58" t="str">
        <f t="shared" si="43"/>
        <v>Finanszírozási kiadások</v>
      </c>
      <c r="C75" s="433"/>
      <c r="F75" s="476"/>
      <c r="H75" s="433"/>
      <c r="J75" s="487"/>
      <c r="L75" s="562" t="e">
        <f t="shared" si="7"/>
        <v>#DIV/0!</v>
      </c>
      <c r="M75" s="562" t="e">
        <f t="shared" si="8"/>
        <v>#DIV/0!</v>
      </c>
      <c r="N75" s="563" t="e">
        <f t="shared" si="9"/>
        <v>#DIV/0!</v>
      </c>
      <c r="P75" s="433"/>
      <c r="T75" s="578">
        <f t="shared" si="44"/>
        <v>0</v>
      </c>
    </row>
    <row r="76" spans="1:20" x14ac:dyDescent="0.2">
      <c r="A76" s="432"/>
      <c r="B76" s="416" t="s">
        <v>378</v>
      </c>
      <c r="C76" s="456">
        <f>SUM(C67:C75)</f>
        <v>171876100</v>
      </c>
      <c r="D76" s="417">
        <f t="shared" ref="D76" si="45">SUM(D67:D75)</f>
        <v>173326100</v>
      </c>
      <c r="E76" s="417">
        <f t="shared" ref="E76" si="46">SUM(E67:E75)</f>
        <v>174986100</v>
      </c>
      <c r="F76" s="473">
        <f t="shared" ref="F76" si="47">SUM(F67:F75)</f>
        <v>185010115</v>
      </c>
      <c r="G76" s="417"/>
      <c r="H76" s="456">
        <f t="shared" ref="H76" si="48">SUM(H67:H75)</f>
        <v>87833991</v>
      </c>
      <c r="I76" s="417">
        <f t="shared" ref="I76" si="49">SUM(I67:I75)</f>
        <v>136992599</v>
      </c>
      <c r="J76" s="418">
        <f t="shared" ref="J76" si="50">SUM(J67:J75)</f>
        <v>184507577</v>
      </c>
      <c r="K76" s="217"/>
      <c r="L76" s="564">
        <f t="shared" si="7"/>
        <v>0.50675571076716086</v>
      </c>
      <c r="M76" s="564">
        <f t="shared" si="8"/>
        <v>0.78287703423300481</v>
      </c>
      <c r="N76" s="565">
        <f t="shared" si="9"/>
        <v>0.99728372689244582</v>
      </c>
      <c r="O76" s="217"/>
      <c r="P76" s="456">
        <f t="shared" ref="P76" si="51">SUM(P67:P75)</f>
        <v>1450000</v>
      </c>
      <c r="Q76" s="417">
        <f t="shared" ref="Q76" si="52">SUM(Q67:Q75)</f>
        <v>1660000</v>
      </c>
      <c r="R76" s="417">
        <f t="shared" ref="R76" si="53">SUM(R67:R75)</f>
        <v>10024015</v>
      </c>
      <c r="S76" s="418">
        <f t="shared" ref="S76" si="54">SUM(S67:S75)</f>
        <v>13134015</v>
      </c>
      <c r="T76" s="579">
        <f t="shared" si="44"/>
        <v>7.6415598212898714E-2</v>
      </c>
    </row>
    <row r="77" spans="1:20" x14ac:dyDescent="0.2">
      <c r="A77" s="433"/>
      <c r="C77" s="433"/>
      <c r="F77" s="476"/>
      <c r="H77" s="433"/>
      <c r="J77" s="487"/>
      <c r="L77" s="562"/>
      <c r="M77" s="562"/>
      <c r="N77" s="563"/>
      <c r="P77" s="433"/>
      <c r="T77" s="578"/>
    </row>
    <row r="78" spans="1:20" x14ac:dyDescent="0.2">
      <c r="A78" s="430" t="str">
        <f t="shared" ref="A78:B84" si="55">+A51</f>
        <v>B1</v>
      </c>
      <c r="B78" s="58" t="str">
        <f t="shared" si="55"/>
        <v>Működési célú tám-ok államháztartáson belülről</v>
      </c>
      <c r="C78" s="454">
        <f>+'5. Csicsergő'!C93</f>
        <v>0</v>
      </c>
      <c r="D78" s="75">
        <f>+'5. Csicsergő'!D93</f>
        <v>0</v>
      </c>
      <c r="E78" s="75">
        <f>+'5. Csicsergő'!E93</f>
        <v>0</v>
      </c>
      <c r="F78" s="465">
        <f>+'5. Csicsergő'!F93</f>
        <v>990000</v>
      </c>
      <c r="G78" s="75"/>
      <c r="H78" s="454">
        <f>+'5. Csicsergő'!H93</f>
        <v>0</v>
      </c>
      <c r="I78" s="75">
        <f>+'5. Csicsergő'!I93</f>
        <v>0</v>
      </c>
      <c r="J78" s="489">
        <f>+'5. Csicsergő'!J93</f>
        <v>990000</v>
      </c>
      <c r="K78" s="75"/>
      <c r="L78" s="562" t="e">
        <f t="shared" si="7"/>
        <v>#DIV/0!</v>
      </c>
      <c r="M78" s="562" t="e">
        <f t="shared" si="8"/>
        <v>#DIV/0!</v>
      </c>
      <c r="N78" s="563">
        <f t="shared" si="9"/>
        <v>1</v>
      </c>
      <c r="O78" s="75"/>
      <c r="P78" s="454">
        <f>+'5. Csicsergő'!P93</f>
        <v>0</v>
      </c>
      <c r="Q78" s="75">
        <f>+'5. Csicsergő'!Q93</f>
        <v>0</v>
      </c>
      <c r="R78" s="75">
        <f>+'5. Csicsergő'!R93</f>
        <v>990000</v>
      </c>
      <c r="S78" s="75">
        <f>+'5. Csicsergő'!S93</f>
        <v>990000</v>
      </c>
      <c r="T78" s="578" t="e">
        <f t="shared" si="44"/>
        <v>#DIV/0!</v>
      </c>
    </row>
    <row r="79" spans="1:20" x14ac:dyDescent="0.2">
      <c r="A79" s="430" t="str">
        <f t="shared" si="55"/>
        <v>B2</v>
      </c>
      <c r="B79" s="58" t="str">
        <f t="shared" si="55"/>
        <v>Felhalmozási célú tám-ok államházt-on belülről</v>
      </c>
      <c r="C79" s="454"/>
      <c r="D79" s="75"/>
      <c r="E79" s="75"/>
      <c r="F79" s="465">
        <f>+'5. Csicsergő'!F94</f>
        <v>260000</v>
      </c>
      <c r="G79" s="75"/>
      <c r="H79" s="454"/>
      <c r="I79" s="75"/>
      <c r="J79" s="489"/>
      <c r="K79" s="75"/>
      <c r="L79" s="562" t="e">
        <f t="shared" si="7"/>
        <v>#DIV/0!</v>
      </c>
      <c r="M79" s="562" t="e">
        <f t="shared" si="8"/>
        <v>#DIV/0!</v>
      </c>
      <c r="N79" s="563">
        <f t="shared" si="9"/>
        <v>0</v>
      </c>
      <c r="O79" s="75"/>
      <c r="P79" s="454"/>
      <c r="Q79" s="75"/>
      <c r="R79" s="75"/>
      <c r="S79" s="75"/>
      <c r="T79" s="578">
        <f t="shared" si="44"/>
        <v>0</v>
      </c>
    </row>
    <row r="80" spans="1:20" x14ac:dyDescent="0.2">
      <c r="A80" s="430" t="str">
        <f t="shared" si="55"/>
        <v>B3</v>
      </c>
      <c r="B80" s="58" t="str">
        <f t="shared" si="55"/>
        <v>Közhatalmi bevételek</v>
      </c>
      <c r="C80" s="454"/>
      <c r="D80" s="75"/>
      <c r="E80" s="75"/>
      <c r="F80" s="465"/>
      <c r="G80" s="75"/>
      <c r="H80" s="454"/>
      <c r="I80" s="75"/>
      <c r="J80" s="489"/>
      <c r="K80" s="75"/>
      <c r="L80" s="562" t="e">
        <f t="shared" si="7"/>
        <v>#DIV/0!</v>
      </c>
      <c r="M80" s="562" t="e">
        <f t="shared" si="8"/>
        <v>#DIV/0!</v>
      </c>
      <c r="N80" s="563" t="e">
        <f t="shared" si="9"/>
        <v>#DIV/0!</v>
      </c>
      <c r="O80" s="75"/>
      <c r="P80" s="454"/>
      <c r="Q80" s="75"/>
      <c r="R80" s="75"/>
      <c r="S80" s="75"/>
      <c r="T80" s="578">
        <f t="shared" si="44"/>
        <v>0</v>
      </c>
    </row>
    <row r="81" spans="1:20" x14ac:dyDescent="0.2">
      <c r="A81" s="430" t="str">
        <f t="shared" si="55"/>
        <v>B4</v>
      </c>
      <c r="B81" s="58" t="str">
        <f t="shared" si="55"/>
        <v>Működési bevételek</v>
      </c>
      <c r="C81" s="454">
        <f>+'5. Csicsergő'!C95</f>
        <v>0</v>
      </c>
      <c r="D81" s="75">
        <f>+'5. Csicsergő'!D95</f>
        <v>6000</v>
      </c>
      <c r="E81" s="75">
        <f>+'5. Csicsergő'!E95</f>
        <v>6000</v>
      </c>
      <c r="F81" s="465">
        <f>+'5. Csicsergő'!F95</f>
        <v>262428</v>
      </c>
      <c r="G81" s="75"/>
      <c r="H81" s="454">
        <f>+'5. Csicsergő'!H95</f>
        <v>2952</v>
      </c>
      <c r="I81" s="75">
        <f>+'5. Csicsergő'!I95</f>
        <v>3719</v>
      </c>
      <c r="J81" s="489">
        <f>+'5. Csicsergő'!J95</f>
        <v>261564</v>
      </c>
      <c r="K81" s="75"/>
      <c r="L81" s="562">
        <f t="shared" si="7"/>
        <v>0.49199999999999999</v>
      </c>
      <c r="M81" s="562">
        <f t="shared" si="8"/>
        <v>0.61983333333333335</v>
      </c>
      <c r="N81" s="563">
        <f t="shared" si="9"/>
        <v>0.9967076683890439</v>
      </c>
      <c r="O81" s="75"/>
      <c r="P81" s="454">
        <f>+'5. Csicsergő'!P95</f>
        <v>6000</v>
      </c>
      <c r="Q81" s="75">
        <f>+'5. Csicsergő'!Q95</f>
        <v>0</v>
      </c>
      <c r="R81" s="75">
        <f>+'5. Csicsergő'!R95</f>
        <v>256428</v>
      </c>
      <c r="S81" s="75">
        <f>+'5. Csicsergő'!S95</f>
        <v>262428</v>
      </c>
      <c r="T81" s="578" t="e">
        <f t="shared" si="44"/>
        <v>#DIV/0!</v>
      </c>
    </row>
    <row r="82" spans="1:20" x14ac:dyDescent="0.2">
      <c r="A82" s="430" t="str">
        <f t="shared" si="55"/>
        <v>B5</v>
      </c>
      <c r="B82" s="58" t="str">
        <f t="shared" si="55"/>
        <v>Felhalmozási bevételek</v>
      </c>
      <c r="C82" s="454"/>
      <c r="D82" s="75"/>
      <c r="E82" s="75"/>
      <c r="F82" s="465"/>
      <c r="G82" s="75"/>
      <c r="H82" s="454"/>
      <c r="I82" s="75"/>
      <c r="J82" s="489"/>
      <c r="K82" s="75"/>
      <c r="L82" s="562" t="e">
        <f t="shared" si="7"/>
        <v>#DIV/0!</v>
      </c>
      <c r="M82" s="562" t="e">
        <f t="shared" si="8"/>
        <v>#DIV/0!</v>
      </c>
      <c r="N82" s="563" t="e">
        <f t="shared" si="9"/>
        <v>#DIV/0!</v>
      </c>
      <c r="O82" s="75"/>
      <c r="P82" s="454"/>
      <c r="Q82" s="75"/>
      <c r="R82" s="75"/>
      <c r="S82" s="75"/>
      <c r="T82" s="578">
        <f t="shared" si="44"/>
        <v>0</v>
      </c>
    </row>
    <row r="83" spans="1:20" x14ac:dyDescent="0.2">
      <c r="A83" s="430" t="str">
        <f t="shared" si="55"/>
        <v>B6</v>
      </c>
      <c r="B83" s="58" t="str">
        <f t="shared" si="55"/>
        <v>Működési célú átvett pénzeszközök</v>
      </c>
      <c r="C83" s="454"/>
      <c r="D83" s="75"/>
      <c r="E83" s="75"/>
      <c r="F83" s="465"/>
      <c r="G83" s="75"/>
      <c r="H83" s="454"/>
      <c r="I83" s="75"/>
      <c r="J83" s="489"/>
      <c r="K83" s="75"/>
      <c r="L83" s="562" t="e">
        <f t="shared" si="7"/>
        <v>#DIV/0!</v>
      </c>
      <c r="M83" s="562" t="e">
        <f t="shared" si="8"/>
        <v>#DIV/0!</v>
      </c>
      <c r="N83" s="563" t="e">
        <f t="shared" si="9"/>
        <v>#DIV/0!</v>
      </c>
      <c r="O83" s="75"/>
      <c r="P83" s="454"/>
      <c r="Q83" s="75"/>
      <c r="R83" s="75"/>
      <c r="S83" s="75"/>
      <c r="T83" s="578">
        <f t="shared" si="44"/>
        <v>0</v>
      </c>
    </row>
    <row r="84" spans="1:20" x14ac:dyDescent="0.2">
      <c r="A84" s="430" t="str">
        <f t="shared" si="55"/>
        <v>B7</v>
      </c>
      <c r="B84" s="58" t="str">
        <f t="shared" si="55"/>
        <v>Felhalmozási célú átvett pénzeszközök</v>
      </c>
      <c r="C84" s="454"/>
      <c r="D84" s="75"/>
      <c r="E84" s="75"/>
      <c r="F84" s="465"/>
      <c r="G84" s="75"/>
      <c r="H84" s="454"/>
      <c r="I84" s="75"/>
      <c r="J84" s="489"/>
      <c r="K84" s="75"/>
      <c r="L84" s="562" t="e">
        <f t="shared" si="7"/>
        <v>#DIV/0!</v>
      </c>
      <c r="M84" s="562" t="e">
        <f t="shared" si="8"/>
        <v>#DIV/0!</v>
      </c>
      <c r="N84" s="563" t="e">
        <f t="shared" si="9"/>
        <v>#DIV/0!</v>
      </c>
      <c r="O84" s="75"/>
      <c r="P84" s="454"/>
      <c r="Q84" s="75"/>
      <c r="R84" s="75"/>
      <c r="S84" s="75"/>
      <c r="T84" s="578">
        <f t="shared" si="44"/>
        <v>0</v>
      </c>
    </row>
    <row r="85" spans="1:20" x14ac:dyDescent="0.2">
      <c r="A85" s="430" t="str">
        <f>+A58</f>
        <v>B8-ból maradványértéken túli finanszírozási bevételek</v>
      </c>
      <c r="B85" s="58"/>
      <c r="C85" s="454">
        <f>+'5. Csicsergő'!C99-C86</f>
        <v>171295092</v>
      </c>
      <c r="D85" s="75">
        <f>+'5. Csicsergő'!D99-D86</f>
        <v>172739092</v>
      </c>
      <c r="E85" s="75">
        <f>+'5. Csicsergő'!E99-E86</f>
        <v>174399092</v>
      </c>
      <c r="F85" s="465">
        <f>+'5. Csicsergő'!F99-F86</f>
        <v>182916679</v>
      </c>
      <c r="G85" s="75"/>
      <c r="H85" s="454">
        <f>+'5. Csicsergő'!H99-H86</f>
        <v>91148272</v>
      </c>
      <c r="I85" s="75">
        <f>+'5. Csicsergő'!I99-I86</f>
        <v>137633934</v>
      </c>
      <c r="J85" s="489">
        <f>+'5. Csicsergő'!J99-J86</f>
        <v>182916679</v>
      </c>
      <c r="K85" s="75"/>
      <c r="L85" s="562">
        <f t="shared" si="7"/>
        <v>0.52766441541790665</v>
      </c>
      <c r="M85" s="562">
        <f t="shared" si="8"/>
        <v>0.78918951022978945</v>
      </c>
      <c r="N85" s="563">
        <f t="shared" si="9"/>
        <v>1</v>
      </c>
      <c r="O85" s="75"/>
      <c r="P85" s="454">
        <f>+'5. Csicsergő'!P99-P86</f>
        <v>1444000</v>
      </c>
      <c r="Q85" s="75">
        <f>+'5. Csicsergő'!Q99-Q86</f>
        <v>1660000</v>
      </c>
      <c r="R85" s="75">
        <f>+'5. Csicsergő'!R99-R86</f>
        <v>8517587</v>
      </c>
      <c r="S85" s="75">
        <f>+'5. Csicsergő'!S99-S86</f>
        <v>11621587</v>
      </c>
      <c r="T85" s="578">
        <f t="shared" si="44"/>
        <v>6.7845417310613901E-2</v>
      </c>
    </row>
    <row r="86" spans="1:20" x14ac:dyDescent="0.2">
      <c r="A86" s="430" t="str">
        <f>+A59</f>
        <v>B8-ból előző évi mardvány igénybevétele</v>
      </c>
      <c r="B86" s="58"/>
      <c r="C86" s="454">
        <f>+'5. Csicsergő'!C101</f>
        <v>581008</v>
      </c>
      <c r="D86" s="75">
        <f>+'5. Csicsergő'!D101</f>
        <v>581008</v>
      </c>
      <c r="E86" s="75">
        <f>+'5. Csicsergő'!E101</f>
        <v>581008</v>
      </c>
      <c r="F86" s="465">
        <f>+'5. Csicsergő'!F101</f>
        <v>581008</v>
      </c>
      <c r="G86" s="75"/>
      <c r="H86" s="454">
        <f>+'5. Csicsergő'!H101</f>
        <v>581008</v>
      </c>
      <c r="I86" s="75">
        <f>+'5. Csicsergő'!I101</f>
        <v>581008</v>
      </c>
      <c r="J86" s="489">
        <f>+'5. Csicsergő'!J101</f>
        <v>581008</v>
      </c>
      <c r="K86" s="75"/>
      <c r="L86" s="562">
        <f t="shared" si="7"/>
        <v>1</v>
      </c>
      <c r="M86" s="562">
        <f t="shared" si="8"/>
        <v>1</v>
      </c>
      <c r="N86" s="563">
        <f t="shared" si="9"/>
        <v>1</v>
      </c>
      <c r="O86" s="75"/>
      <c r="P86" s="454">
        <f>+'5. Csicsergő'!P101</f>
        <v>0</v>
      </c>
      <c r="Q86" s="75">
        <f>+'5. Csicsergő'!Q101</f>
        <v>0</v>
      </c>
      <c r="R86" s="75">
        <f>+'5. Csicsergő'!R101</f>
        <v>0</v>
      </c>
      <c r="S86" s="75">
        <f>+'5. Csicsergő'!S101</f>
        <v>0</v>
      </c>
      <c r="T86" s="578">
        <f t="shared" si="44"/>
        <v>0</v>
      </c>
    </row>
    <row r="87" spans="1:20" x14ac:dyDescent="0.2">
      <c r="A87" s="434"/>
      <c r="B87" s="416" t="s">
        <v>377</v>
      </c>
      <c r="C87" s="456">
        <f>SUM(C78:C86)</f>
        <v>171876100</v>
      </c>
      <c r="D87" s="417">
        <f t="shared" ref="D87" si="56">SUM(D78:D86)</f>
        <v>173326100</v>
      </c>
      <c r="E87" s="417">
        <f t="shared" ref="E87" si="57">SUM(E78:E86)</f>
        <v>174986100</v>
      </c>
      <c r="F87" s="473">
        <f t="shared" ref="F87" si="58">SUM(F78:F86)</f>
        <v>185010115</v>
      </c>
      <c r="G87" s="417"/>
      <c r="H87" s="456">
        <f t="shared" ref="H87" si="59">SUM(H78:H86)</f>
        <v>91732232</v>
      </c>
      <c r="I87" s="417">
        <f t="shared" ref="I87" si="60">SUM(I78:I86)</f>
        <v>138218661</v>
      </c>
      <c r="J87" s="418">
        <f t="shared" ref="J87" si="61">SUM(J78:J86)</f>
        <v>184749251</v>
      </c>
      <c r="K87" s="419"/>
      <c r="L87" s="566">
        <f t="shared" si="7"/>
        <v>0.52924650124822514</v>
      </c>
      <c r="M87" s="566">
        <f t="shared" si="8"/>
        <v>0.78988365933065541</v>
      </c>
      <c r="N87" s="567">
        <f t="shared" si="9"/>
        <v>0.99859000141694954</v>
      </c>
      <c r="O87" s="419"/>
      <c r="P87" s="456">
        <f t="shared" ref="P87" si="62">SUM(P78:P86)</f>
        <v>1450000</v>
      </c>
      <c r="Q87" s="417">
        <f t="shared" ref="Q87" si="63">SUM(Q78:Q86)</f>
        <v>1660000</v>
      </c>
      <c r="R87" s="417">
        <f t="shared" ref="R87" si="64">SUM(R78:R86)</f>
        <v>9764015</v>
      </c>
      <c r="S87" s="418">
        <f t="shared" ref="S87" si="65">SUM(S78:S86)</f>
        <v>12874015</v>
      </c>
      <c r="T87" s="579">
        <f t="shared" si="44"/>
        <v>7.4902880621564027E-2</v>
      </c>
    </row>
    <row r="88" spans="1:20" x14ac:dyDescent="0.2">
      <c r="A88" s="433"/>
      <c r="B88" s="75"/>
      <c r="C88" s="454"/>
      <c r="D88" s="75"/>
      <c r="E88" s="75"/>
      <c r="F88" s="465"/>
      <c r="G88" s="75"/>
      <c r="H88" s="454"/>
      <c r="I88" s="75"/>
      <c r="J88" s="489"/>
      <c r="K88" s="75"/>
      <c r="L88" s="562"/>
      <c r="M88" s="562"/>
      <c r="N88" s="563"/>
      <c r="O88" s="75"/>
      <c r="P88" s="454"/>
      <c r="Q88" s="75"/>
      <c r="R88" s="75"/>
      <c r="S88" s="75"/>
      <c r="T88" s="580"/>
    </row>
    <row r="89" spans="1:20" ht="13.5" thickBot="1" x14ac:dyDescent="0.25">
      <c r="A89" s="436"/>
      <c r="B89" s="437" t="s">
        <v>463</v>
      </c>
      <c r="C89" s="458">
        <f>+C87-C76</f>
        <v>0</v>
      </c>
      <c r="D89" s="438">
        <f>+D87-D76</f>
        <v>0</v>
      </c>
      <c r="E89" s="438">
        <f>+E87-E76</f>
        <v>0</v>
      </c>
      <c r="F89" s="475">
        <f>+F87-F76</f>
        <v>0</v>
      </c>
      <c r="G89" s="438"/>
      <c r="H89" s="458">
        <f>+H87-H76</f>
        <v>3898241</v>
      </c>
      <c r="I89" s="438">
        <f>+I87-I76</f>
        <v>1226062</v>
      </c>
      <c r="J89" s="440">
        <f>+J87-J76</f>
        <v>241674</v>
      </c>
      <c r="K89" s="439"/>
      <c r="L89" s="568" t="e">
        <f t="shared" ref="L89:L151" si="66">H89/D89</f>
        <v>#DIV/0!</v>
      </c>
      <c r="M89" s="568" t="e">
        <f t="shared" ref="M89:M151" si="67">I89/E89</f>
        <v>#DIV/0!</v>
      </c>
      <c r="N89" s="569" t="e">
        <f t="shared" ref="N89:N151" si="68">J89/F89</f>
        <v>#DIV/0!</v>
      </c>
      <c r="O89" s="439"/>
      <c r="P89" s="458">
        <f>+P87-P76</f>
        <v>0</v>
      </c>
      <c r="Q89" s="438">
        <f>+Q87-Q76</f>
        <v>0</v>
      </c>
      <c r="R89" s="438">
        <f>+R87-R76</f>
        <v>-260000</v>
      </c>
      <c r="S89" s="440">
        <f>+S87-S76</f>
        <v>-260000</v>
      </c>
      <c r="T89" s="581"/>
    </row>
    <row r="90" spans="1:20" x14ac:dyDescent="0.2">
      <c r="A90" s="58"/>
      <c r="B90" s="58"/>
      <c r="C90" s="454"/>
      <c r="D90" s="75"/>
      <c r="E90" s="75"/>
      <c r="F90" s="465"/>
      <c r="G90" s="75"/>
      <c r="H90" s="454"/>
      <c r="I90" s="75"/>
      <c r="J90" s="489"/>
      <c r="K90" s="75"/>
      <c r="L90" s="562"/>
      <c r="M90" s="562"/>
      <c r="N90" s="563"/>
      <c r="O90" s="75"/>
      <c r="P90" s="454"/>
      <c r="Q90" s="75"/>
      <c r="R90" s="75"/>
      <c r="S90" s="75"/>
      <c r="T90" s="580"/>
    </row>
    <row r="91" spans="1:20" ht="13.5" thickBot="1" x14ac:dyDescent="0.25">
      <c r="A91" s="58"/>
      <c r="B91" s="58"/>
      <c r="C91" s="454"/>
      <c r="D91" s="75"/>
      <c r="E91" s="75"/>
      <c r="F91" s="465"/>
      <c r="G91" s="75"/>
      <c r="H91" s="454"/>
      <c r="I91" s="75"/>
      <c r="J91" s="489"/>
      <c r="K91" s="75"/>
      <c r="L91" s="562"/>
      <c r="M91" s="562"/>
      <c r="N91" s="563"/>
      <c r="O91" s="75"/>
      <c r="P91" s="454"/>
      <c r="Q91" s="75"/>
      <c r="R91" s="75"/>
      <c r="S91" s="75"/>
      <c r="T91" s="580"/>
    </row>
    <row r="92" spans="1:20" ht="18.75" thickBot="1" x14ac:dyDescent="0.3">
      <c r="A92" s="443" t="s">
        <v>461</v>
      </c>
      <c r="B92" s="470"/>
      <c r="D92" s="75"/>
      <c r="E92" s="75"/>
      <c r="F92" s="465"/>
      <c r="G92" s="75"/>
      <c r="H92" s="454"/>
      <c r="I92" s="75"/>
      <c r="J92" s="489"/>
      <c r="K92" s="75"/>
      <c r="L92" s="562"/>
      <c r="M92" s="562"/>
      <c r="N92" s="563"/>
      <c r="O92" s="75"/>
      <c r="P92" s="454"/>
      <c r="Q92" s="75"/>
      <c r="R92" s="75"/>
      <c r="S92" s="75"/>
      <c r="T92" s="580"/>
    </row>
    <row r="93" spans="1:20" x14ac:dyDescent="0.2">
      <c r="A93" s="426"/>
      <c r="B93" s="444"/>
      <c r="C93" s="455"/>
      <c r="D93" s="446"/>
      <c r="E93" s="446"/>
      <c r="F93" s="445"/>
      <c r="G93" s="446"/>
      <c r="H93" s="455"/>
      <c r="I93" s="446"/>
      <c r="J93" s="491"/>
      <c r="K93" s="446"/>
      <c r="L93" s="570"/>
      <c r="M93" s="570"/>
      <c r="N93" s="571"/>
      <c r="O93" s="446"/>
      <c r="P93" s="455"/>
      <c r="Q93" s="446"/>
      <c r="R93" s="446"/>
      <c r="S93" s="446"/>
      <c r="T93" s="582"/>
    </row>
    <row r="94" spans="1:20" x14ac:dyDescent="0.2">
      <c r="A94" s="430" t="s">
        <v>0</v>
      </c>
      <c r="B94" s="58" t="str">
        <f t="shared" ref="B94:B102" si="69">+B67</f>
        <v>Személyi juttatások</v>
      </c>
      <c r="C94" s="454">
        <f>+'6. Gólyahír'!C13</f>
        <v>36545000</v>
      </c>
      <c r="D94" s="75">
        <f>+'6. Gólyahír'!D13</f>
        <v>36593000</v>
      </c>
      <c r="E94" s="75">
        <f>+'6. Gólyahír'!E13</f>
        <v>36593000</v>
      </c>
      <c r="F94" s="465">
        <f>+'6. Gólyahír'!F13</f>
        <v>36593000</v>
      </c>
      <c r="G94" s="75"/>
      <c r="H94" s="454">
        <f>+'6. Gólyahír'!H13</f>
        <v>17008819</v>
      </c>
      <c r="I94" s="75">
        <f>+'6. Gólyahír'!I13</f>
        <v>25128058</v>
      </c>
      <c r="J94" s="489">
        <f>+'6. Gólyahír'!J13</f>
        <v>34445561</v>
      </c>
      <c r="K94" s="75"/>
      <c r="L94" s="562">
        <f t="shared" si="66"/>
        <v>0.46481072882791791</v>
      </c>
      <c r="M94" s="562">
        <f t="shared" si="67"/>
        <v>0.68669029595824338</v>
      </c>
      <c r="N94" s="563">
        <f t="shared" si="68"/>
        <v>0.94131557948241462</v>
      </c>
      <c r="O94" s="75"/>
      <c r="P94" s="454">
        <f>+'6. Gólyahír'!P13</f>
        <v>48000</v>
      </c>
      <c r="Q94" s="75">
        <f>+'6. Gólyahír'!Q13</f>
        <v>0</v>
      </c>
      <c r="R94" s="75">
        <f>+'6. Gólyahír'!R13</f>
        <v>0</v>
      </c>
      <c r="S94" s="75">
        <f>+'6. Gólyahír'!S13</f>
        <v>48000</v>
      </c>
      <c r="T94" s="578">
        <f>IF(S94=0,0,S94/C94)</f>
        <v>1.3134491722533862E-3</v>
      </c>
    </row>
    <row r="95" spans="1:20" x14ac:dyDescent="0.2">
      <c r="A95" s="430" t="s">
        <v>26</v>
      </c>
      <c r="B95" s="58" t="str">
        <f t="shared" si="69"/>
        <v>Munkaadót terhelő járulékok és szociális hozzájárulás</v>
      </c>
      <c r="C95" s="454">
        <f>+'6. Gólyahír'!C29</f>
        <v>8079000</v>
      </c>
      <c r="D95" s="75">
        <f>+'6. Gólyahír'!D29</f>
        <v>8079000</v>
      </c>
      <c r="E95" s="75">
        <f>+'6. Gólyahír'!E29</f>
        <v>8079000</v>
      </c>
      <c r="F95" s="465">
        <f>+'6. Gólyahír'!F29</f>
        <v>8079000</v>
      </c>
      <c r="G95" s="75"/>
      <c r="H95" s="454">
        <f>+'6. Gólyahír'!H29</f>
        <v>4326412</v>
      </c>
      <c r="I95" s="75">
        <f>+'6. Gólyahír'!I29</f>
        <v>6166973</v>
      </c>
      <c r="J95" s="489">
        <f>+'6. Gólyahír'!J29</f>
        <v>8035363</v>
      </c>
      <c r="K95" s="75"/>
      <c r="L95" s="562">
        <f t="shared" si="66"/>
        <v>0.53551330610224035</v>
      </c>
      <c r="M95" s="562">
        <f t="shared" si="67"/>
        <v>0.76333370466641914</v>
      </c>
      <c r="N95" s="563">
        <f t="shared" si="68"/>
        <v>0.99459871271196931</v>
      </c>
      <c r="O95" s="75"/>
      <c r="P95" s="454">
        <f>+'6. Gólyahír'!P29</f>
        <v>0</v>
      </c>
      <c r="Q95" s="75">
        <f>+'6. Gólyahír'!Q29</f>
        <v>0</v>
      </c>
      <c r="R95" s="75">
        <f>+'6. Gólyahír'!R29</f>
        <v>0</v>
      </c>
      <c r="S95" s="75">
        <f>+'6. Gólyahír'!S29</f>
        <v>0</v>
      </c>
      <c r="T95" s="578">
        <f t="shared" ref="T95:T114" si="70">IF(S95=0,0,S95/C95)</f>
        <v>0</v>
      </c>
    </row>
    <row r="96" spans="1:20" x14ac:dyDescent="0.2">
      <c r="A96" s="430" t="s">
        <v>29</v>
      </c>
      <c r="B96" s="58" t="str">
        <f t="shared" si="69"/>
        <v>Dologi kiadások</v>
      </c>
      <c r="C96" s="454">
        <f>+'6. Gólyahír'!C32</f>
        <v>10325000</v>
      </c>
      <c r="D96" s="75">
        <f>+'6. Gólyahír'!D32</f>
        <v>10277000</v>
      </c>
      <c r="E96" s="75">
        <f>+'6. Gólyahír'!E32</f>
        <v>10273000</v>
      </c>
      <c r="F96" s="465">
        <f>+'6. Gólyahír'!F32</f>
        <v>12142500</v>
      </c>
      <c r="G96" s="75"/>
      <c r="H96" s="454">
        <f>+'6. Gólyahír'!H32</f>
        <v>4020708</v>
      </c>
      <c r="I96" s="75">
        <f>+'6. Gólyahír'!I32</f>
        <v>6293820</v>
      </c>
      <c r="J96" s="489">
        <f>+'6. Gólyahír'!J32</f>
        <v>9880361</v>
      </c>
      <c r="K96" s="75"/>
      <c r="L96" s="562">
        <f t="shared" si="66"/>
        <v>0.39123362849080473</v>
      </c>
      <c r="M96" s="562">
        <f t="shared" si="67"/>
        <v>0.61265647814659785</v>
      </c>
      <c r="N96" s="563">
        <f t="shared" si="68"/>
        <v>0.81370072060942966</v>
      </c>
      <c r="O96" s="75"/>
      <c r="P96" s="454">
        <f>+'6. Gólyahír'!P32</f>
        <v>-48000</v>
      </c>
      <c r="Q96" s="75">
        <f>+'6. Gólyahír'!Q32</f>
        <v>-4000</v>
      </c>
      <c r="R96" s="75">
        <f>+'6. Gólyahír'!R32</f>
        <v>1869500</v>
      </c>
      <c r="S96" s="75">
        <f>+'6. Gólyahír'!S32</f>
        <v>1817500</v>
      </c>
      <c r="T96" s="578">
        <f t="shared" si="70"/>
        <v>0.17602905569007263</v>
      </c>
    </row>
    <row r="97" spans="1:20" x14ac:dyDescent="0.2">
      <c r="A97" s="430" t="s">
        <v>111</v>
      </c>
      <c r="B97" s="58" t="str">
        <f t="shared" si="69"/>
        <v>Elláttotak pénzpeli juttatásai</v>
      </c>
      <c r="C97" s="454"/>
      <c r="D97" s="75"/>
      <c r="E97" s="75"/>
      <c r="F97" s="465"/>
      <c r="G97" s="75"/>
      <c r="H97" s="454"/>
      <c r="I97" s="75"/>
      <c r="J97" s="489"/>
      <c r="K97" s="75"/>
      <c r="L97" s="562" t="e">
        <f t="shared" si="66"/>
        <v>#DIV/0!</v>
      </c>
      <c r="M97" s="562" t="e">
        <f t="shared" si="67"/>
        <v>#DIV/0!</v>
      </c>
      <c r="N97" s="563" t="e">
        <f t="shared" si="68"/>
        <v>#DIV/0!</v>
      </c>
      <c r="O97" s="75"/>
      <c r="P97" s="454"/>
      <c r="Q97" s="75"/>
      <c r="R97" s="75"/>
      <c r="S97" s="75"/>
      <c r="T97" s="578">
        <f t="shared" si="70"/>
        <v>0</v>
      </c>
    </row>
    <row r="98" spans="1:20" x14ac:dyDescent="0.2">
      <c r="A98" s="431" t="s">
        <v>376</v>
      </c>
      <c r="B98" s="58" t="str">
        <f t="shared" si="69"/>
        <v>Egyéb működési célú kiadások</v>
      </c>
      <c r="C98" s="454"/>
      <c r="D98" s="75"/>
      <c r="E98" s="75"/>
      <c r="F98" s="465"/>
      <c r="G98" s="75"/>
      <c r="H98" s="454"/>
      <c r="I98" s="75"/>
      <c r="J98" s="489"/>
      <c r="K98" s="75"/>
      <c r="L98" s="562" t="e">
        <f t="shared" si="66"/>
        <v>#DIV/0!</v>
      </c>
      <c r="M98" s="562" t="e">
        <f t="shared" si="67"/>
        <v>#DIV/0!</v>
      </c>
      <c r="N98" s="563" t="e">
        <f t="shared" si="68"/>
        <v>#DIV/0!</v>
      </c>
      <c r="O98" s="75"/>
      <c r="P98" s="454"/>
      <c r="Q98" s="75"/>
      <c r="R98" s="75"/>
      <c r="S98" s="75"/>
      <c r="T98" s="578">
        <f t="shared" si="70"/>
        <v>0</v>
      </c>
    </row>
    <row r="99" spans="1:20" x14ac:dyDescent="0.2">
      <c r="A99" s="430" t="s">
        <v>158</v>
      </c>
      <c r="B99" s="58" t="str">
        <f t="shared" si="69"/>
        <v>Beruházások</v>
      </c>
      <c r="C99" s="454">
        <f>+'6. Gólyahír'!C83</f>
        <v>14000</v>
      </c>
      <c r="D99" s="75">
        <f>+'6. Gólyahír'!D83</f>
        <v>14000</v>
      </c>
      <c r="E99" s="75">
        <f>+'6. Gólyahír'!E83</f>
        <v>18000</v>
      </c>
      <c r="F99" s="465">
        <f>+'6. Gólyahír'!F83</f>
        <v>18000</v>
      </c>
      <c r="G99" s="75"/>
      <c r="H99" s="454">
        <f>+'6. Gólyahír'!H83</f>
        <v>0</v>
      </c>
      <c r="I99" s="75">
        <f>+'6. Gólyahír'!I83</f>
        <v>0</v>
      </c>
      <c r="J99" s="489">
        <f>+'6. Gólyahír'!J83</f>
        <v>16000</v>
      </c>
      <c r="K99" s="75"/>
      <c r="L99" s="562">
        <f t="shared" si="66"/>
        <v>0</v>
      </c>
      <c r="M99" s="562">
        <f t="shared" si="67"/>
        <v>0</v>
      </c>
      <c r="N99" s="563">
        <f t="shared" si="68"/>
        <v>0.88888888888888884</v>
      </c>
      <c r="O99" s="75"/>
      <c r="P99" s="454">
        <f>+'6. Gólyahír'!P83</f>
        <v>0</v>
      </c>
      <c r="Q99" s="75">
        <f>+'6. Gólyahír'!Q83</f>
        <v>4000</v>
      </c>
      <c r="R99" s="75">
        <f>+'6. Gólyahír'!R83</f>
        <v>0</v>
      </c>
      <c r="S99" s="75">
        <f>+'6. Gólyahír'!S83</f>
        <v>4000</v>
      </c>
      <c r="T99" s="578">
        <f t="shared" si="70"/>
        <v>0.2857142857142857</v>
      </c>
    </row>
    <row r="100" spans="1:20" x14ac:dyDescent="0.2">
      <c r="A100" s="430" t="s">
        <v>173</v>
      </c>
      <c r="B100" s="58" t="str">
        <f t="shared" si="69"/>
        <v>Felújítások</v>
      </c>
      <c r="C100" s="454">
        <f>+'6. Gólyahír'!C86</f>
        <v>0</v>
      </c>
      <c r="D100" s="75">
        <f>+'6. Gólyahír'!D86</f>
        <v>0</v>
      </c>
      <c r="E100" s="75">
        <f>+'6. Gólyahír'!E86</f>
        <v>0</v>
      </c>
      <c r="F100" s="465">
        <f>+'6. Gólyahír'!F86</f>
        <v>0</v>
      </c>
      <c r="G100" s="75"/>
      <c r="H100" s="454">
        <f>+'6. Gólyahír'!H86</f>
        <v>0</v>
      </c>
      <c r="I100" s="75">
        <f>+'6. Gólyahír'!I86</f>
        <v>0</v>
      </c>
      <c r="J100" s="489">
        <f>+'6. Gólyahír'!J86</f>
        <v>0</v>
      </c>
      <c r="K100" s="75"/>
      <c r="L100" s="562" t="e">
        <f t="shared" si="66"/>
        <v>#DIV/0!</v>
      </c>
      <c r="M100" s="562" t="e">
        <f t="shared" si="67"/>
        <v>#DIV/0!</v>
      </c>
      <c r="N100" s="563" t="e">
        <f t="shared" si="68"/>
        <v>#DIV/0!</v>
      </c>
      <c r="O100" s="75"/>
      <c r="P100" s="454">
        <f>+'6. Gólyahír'!P86</f>
        <v>0</v>
      </c>
      <c r="Q100" s="75">
        <f>+'6. Gólyahír'!Q86</f>
        <v>0</v>
      </c>
      <c r="R100" s="75">
        <f>+'6. Gólyahír'!R86</f>
        <v>0</v>
      </c>
      <c r="S100" s="75">
        <f>+'6. Gólyahír'!S86</f>
        <v>0</v>
      </c>
      <c r="T100" s="578">
        <f t="shared" si="70"/>
        <v>0</v>
      </c>
    </row>
    <row r="101" spans="1:20" x14ac:dyDescent="0.2">
      <c r="A101" s="430" t="s">
        <v>183</v>
      </c>
      <c r="B101" s="58" t="str">
        <f t="shared" si="69"/>
        <v>Szolgáltatások kiadásai</v>
      </c>
      <c r="C101" s="454"/>
      <c r="D101" s="75"/>
      <c r="E101" s="75"/>
      <c r="F101" s="465"/>
      <c r="G101" s="75"/>
      <c r="H101" s="454"/>
      <c r="I101" s="75"/>
      <c r="J101" s="489"/>
      <c r="K101" s="75"/>
      <c r="L101" s="562" t="e">
        <f t="shared" si="66"/>
        <v>#DIV/0!</v>
      </c>
      <c r="M101" s="562" t="e">
        <f t="shared" si="67"/>
        <v>#DIV/0!</v>
      </c>
      <c r="N101" s="563" t="e">
        <f t="shared" si="68"/>
        <v>#DIV/0!</v>
      </c>
      <c r="O101" s="75"/>
      <c r="P101" s="454"/>
      <c r="Q101" s="75"/>
      <c r="R101" s="75"/>
      <c r="S101" s="75"/>
      <c r="T101" s="578">
        <f t="shared" si="70"/>
        <v>0</v>
      </c>
    </row>
    <row r="102" spans="1:20" x14ac:dyDescent="0.2">
      <c r="A102" s="430" t="s">
        <v>201</v>
      </c>
      <c r="B102" s="58" t="str">
        <f t="shared" si="69"/>
        <v>Finanszírozási kiadások</v>
      </c>
      <c r="C102" s="433"/>
      <c r="F102" s="476"/>
      <c r="H102" s="433"/>
      <c r="J102" s="487"/>
      <c r="L102" s="562" t="e">
        <f t="shared" si="66"/>
        <v>#DIV/0!</v>
      </c>
      <c r="M102" s="562" t="e">
        <f t="shared" si="67"/>
        <v>#DIV/0!</v>
      </c>
      <c r="N102" s="563" t="e">
        <f t="shared" si="68"/>
        <v>#DIV/0!</v>
      </c>
      <c r="P102" s="433"/>
      <c r="T102" s="578">
        <f t="shared" si="70"/>
        <v>0</v>
      </c>
    </row>
    <row r="103" spans="1:20" x14ac:dyDescent="0.2">
      <c r="A103" s="432"/>
      <c r="B103" s="416" t="s">
        <v>378</v>
      </c>
      <c r="C103" s="456">
        <f>SUM(C94:C102)</f>
        <v>54963000</v>
      </c>
      <c r="D103" s="417">
        <f t="shared" ref="D103" si="71">SUM(D94:D102)</f>
        <v>54963000</v>
      </c>
      <c r="E103" s="417">
        <f t="shared" ref="E103" si="72">SUM(E94:E102)</f>
        <v>54963000</v>
      </c>
      <c r="F103" s="473">
        <f t="shared" ref="F103" si="73">SUM(F94:F102)</f>
        <v>56832500</v>
      </c>
      <c r="G103" s="417"/>
      <c r="H103" s="456">
        <f t="shared" ref="H103" si="74">SUM(H94:H102)</f>
        <v>25355939</v>
      </c>
      <c r="I103" s="417">
        <f t="shared" ref="I103" si="75">SUM(I94:I102)</f>
        <v>37588851</v>
      </c>
      <c r="J103" s="418">
        <f t="shared" ref="J103" si="76">SUM(J94:J102)</f>
        <v>52377285</v>
      </c>
      <c r="K103" s="217"/>
      <c r="L103" s="564">
        <f t="shared" si="66"/>
        <v>0.4613274202645416</v>
      </c>
      <c r="M103" s="564">
        <f t="shared" si="67"/>
        <v>0.68389372850826924</v>
      </c>
      <c r="N103" s="565">
        <f t="shared" si="68"/>
        <v>0.92160797079136059</v>
      </c>
      <c r="O103" s="217"/>
      <c r="P103" s="456">
        <f t="shared" ref="P103" si="77">SUM(P94:P102)</f>
        <v>0</v>
      </c>
      <c r="Q103" s="417">
        <f t="shared" ref="Q103" si="78">SUM(Q94:Q102)</f>
        <v>0</v>
      </c>
      <c r="R103" s="417">
        <f t="shared" ref="R103" si="79">SUM(R94:R102)</f>
        <v>1869500</v>
      </c>
      <c r="S103" s="418">
        <f t="shared" ref="S103" si="80">SUM(S94:S102)</f>
        <v>1869500</v>
      </c>
      <c r="T103" s="579">
        <f t="shared" si="70"/>
        <v>3.4013791095828104E-2</v>
      </c>
    </row>
    <row r="104" spans="1:20" x14ac:dyDescent="0.2">
      <c r="A104" s="430"/>
      <c r="B104" s="58"/>
      <c r="C104" s="454"/>
      <c r="D104" s="75"/>
      <c r="E104" s="75"/>
      <c r="F104" s="465"/>
      <c r="G104" s="75"/>
      <c r="H104" s="454"/>
      <c r="I104" s="75"/>
      <c r="J104" s="489"/>
      <c r="K104" s="75"/>
      <c r="L104" s="562"/>
      <c r="M104" s="562"/>
      <c r="N104" s="563"/>
      <c r="O104" s="75"/>
      <c r="P104" s="454"/>
      <c r="Q104" s="75"/>
      <c r="R104" s="75"/>
      <c r="S104" s="75"/>
      <c r="T104" s="578"/>
    </row>
    <row r="105" spans="1:20" x14ac:dyDescent="0.2">
      <c r="A105" s="430" t="str">
        <f>+A78</f>
        <v>B1</v>
      </c>
      <c r="B105" s="22" t="str">
        <f>+B78</f>
        <v>Működési célú tám-ok államháztartáson belülről</v>
      </c>
      <c r="C105" s="454">
        <f>+'6. Gólyahír'!C93</f>
        <v>0</v>
      </c>
      <c r="D105" s="75">
        <f>+'6. Gólyahír'!D93</f>
        <v>0</v>
      </c>
      <c r="E105" s="75">
        <f>+'6. Gólyahír'!E93</f>
        <v>0</v>
      </c>
      <c r="F105" s="465">
        <f>+'6. Gólyahír'!F93</f>
        <v>0</v>
      </c>
      <c r="G105" s="75"/>
      <c r="H105" s="454">
        <f>+'6. Gólyahír'!H93</f>
        <v>0</v>
      </c>
      <c r="I105" s="75">
        <f>+'6. Gólyahír'!I93</f>
        <v>0</v>
      </c>
      <c r="J105" s="489">
        <f>+'6. Gólyahír'!J93</f>
        <v>0</v>
      </c>
      <c r="K105" s="75"/>
      <c r="L105" s="562" t="e">
        <f t="shared" si="66"/>
        <v>#DIV/0!</v>
      </c>
      <c r="M105" s="562" t="e">
        <f t="shared" si="67"/>
        <v>#DIV/0!</v>
      </c>
      <c r="N105" s="563" t="e">
        <f t="shared" si="68"/>
        <v>#DIV/0!</v>
      </c>
      <c r="O105" s="75"/>
      <c r="P105" s="454">
        <f>+'6. Gólyahír'!P93</f>
        <v>0</v>
      </c>
      <c r="Q105" s="75">
        <f>+'6. Gólyahír'!Q93</f>
        <v>0</v>
      </c>
      <c r="R105" s="75">
        <f>+'6. Gólyahír'!R93</f>
        <v>0</v>
      </c>
      <c r="S105" s="75">
        <f>+'6. Gólyahír'!S93</f>
        <v>0</v>
      </c>
      <c r="T105" s="578">
        <f t="shared" si="70"/>
        <v>0</v>
      </c>
    </row>
    <row r="106" spans="1:20" x14ac:dyDescent="0.2">
      <c r="A106" s="430" t="str">
        <f t="shared" ref="A106:B106" si="81">+A79</f>
        <v>B2</v>
      </c>
      <c r="B106" s="22" t="str">
        <f t="shared" si="81"/>
        <v>Felhalmozási célú tám-ok államházt-on belülről</v>
      </c>
      <c r="C106" s="454"/>
      <c r="D106" s="75"/>
      <c r="E106" s="75"/>
      <c r="F106" s="465"/>
      <c r="G106" s="75"/>
      <c r="H106" s="454"/>
      <c r="I106" s="75"/>
      <c r="J106" s="489"/>
      <c r="K106" s="75"/>
      <c r="L106" s="562" t="e">
        <f t="shared" si="66"/>
        <v>#DIV/0!</v>
      </c>
      <c r="M106" s="562" t="e">
        <f t="shared" si="67"/>
        <v>#DIV/0!</v>
      </c>
      <c r="N106" s="563" t="e">
        <f t="shared" si="68"/>
        <v>#DIV/0!</v>
      </c>
      <c r="O106" s="75"/>
      <c r="P106" s="454"/>
      <c r="Q106" s="75"/>
      <c r="R106" s="75"/>
      <c r="S106" s="75"/>
      <c r="T106" s="578">
        <f t="shared" si="70"/>
        <v>0</v>
      </c>
    </row>
    <row r="107" spans="1:20" x14ac:dyDescent="0.2">
      <c r="A107" s="430" t="str">
        <f t="shared" ref="A107:B107" si="82">+A80</f>
        <v>B3</v>
      </c>
      <c r="B107" s="22" t="str">
        <f t="shared" si="82"/>
        <v>Közhatalmi bevételek</v>
      </c>
      <c r="C107" s="454"/>
      <c r="D107" s="75"/>
      <c r="E107" s="75"/>
      <c r="F107" s="465"/>
      <c r="G107" s="75"/>
      <c r="H107" s="454"/>
      <c r="I107" s="75"/>
      <c r="J107" s="489"/>
      <c r="K107" s="75"/>
      <c r="L107" s="562" t="e">
        <f t="shared" si="66"/>
        <v>#DIV/0!</v>
      </c>
      <c r="M107" s="562" t="e">
        <f t="shared" si="67"/>
        <v>#DIV/0!</v>
      </c>
      <c r="N107" s="563" t="e">
        <f t="shared" si="68"/>
        <v>#DIV/0!</v>
      </c>
      <c r="O107" s="75"/>
      <c r="P107" s="454"/>
      <c r="Q107" s="75"/>
      <c r="R107" s="75"/>
      <c r="S107" s="75"/>
      <c r="T107" s="578">
        <f t="shared" si="70"/>
        <v>0</v>
      </c>
    </row>
    <row r="108" spans="1:20" x14ac:dyDescent="0.2">
      <c r="A108" s="430" t="str">
        <f t="shared" ref="A108:B108" si="83">+A81</f>
        <v>B4</v>
      </c>
      <c r="B108" s="22" t="str">
        <f t="shared" si="83"/>
        <v>Működési bevételek</v>
      </c>
      <c r="C108" s="454">
        <f>+'6. Gólyahír'!C95</f>
        <v>3733000</v>
      </c>
      <c r="D108" s="75">
        <f>+'6. Gólyahír'!D95</f>
        <v>3733000</v>
      </c>
      <c r="E108" s="75">
        <f>+'6. Gólyahír'!E95</f>
        <v>3733000</v>
      </c>
      <c r="F108" s="465">
        <f>+'6. Gólyahír'!F95</f>
        <v>4868500</v>
      </c>
      <c r="G108" s="75"/>
      <c r="H108" s="454">
        <f>+'6. Gólyahír'!H95</f>
        <v>2041073</v>
      </c>
      <c r="I108" s="75">
        <f>+'6. Gólyahír'!I95</f>
        <v>2996339</v>
      </c>
      <c r="J108" s="489">
        <f>+'6. Gólyahír'!J95</f>
        <v>3813722</v>
      </c>
      <c r="K108" s="75"/>
      <c r="L108" s="562">
        <f t="shared" si="66"/>
        <v>0.54676480042860964</v>
      </c>
      <c r="M108" s="562">
        <f t="shared" si="67"/>
        <v>0.80266246986338063</v>
      </c>
      <c r="N108" s="563">
        <f t="shared" si="68"/>
        <v>0.7833464105987471</v>
      </c>
      <c r="O108" s="75"/>
      <c r="P108" s="454">
        <f>+'6. Gólyahír'!P95</f>
        <v>0</v>
      </c>
      <c r="Q108" s="75">
        <f>+'6. Gólyahír'!Q95</f>
        <v>0</v>
      </c>
      <c r="R108" s="75">
        <f>+'6. Gólyahír'!R95</f>
        <v>1135500</v>
      </c>
      <c r="S108" s="75">
        <f>+'6. Gólyahír'!S95</f>
        <v>1135500</v>
      </c>
      <c r="T108" s="578">
        <f t="shared" si="70"/>
        <v>0.30417894454862043</v>
      </c>
    </row>
    <row r="109" spans="1:20" x14ac:dyDescent="0.2">
      <c r="A109" s="430" t="str">
        <f t="shared" ref="A109:B109" si="84">+A82</f>
        <v>B5</v>
      </c>
      <c r="B109" s="22" t="str">
        <f t="shared" si="84"/>
        <v>Felhalmozási bevételek</v>
      </c>
      <c r="C109" s="454"/>
      <c r="D109" s="75"/>
      <c r="E109" s="75"/>
      <c r="F109" s="465"/>
      <c r="G109" s="75"/>
      <c r="H109" s="454"/>
      <c r="I109" s="75"/>
      <c r="J109" s="489"/>
      <c r="K109" s="75"/>
      <c r="L109" s="562" t="e">
        <f t="shared" si="66"/>
        <v>#DIV/0!</v>
      </c>
      <c r="M109" s="562" t="e">
        <f t="shared" si="67"/>
        <v>#DIV/0!</v>
      </c>
      <c r="N109" s="563" t="e">
        <f t="shared" si="68"/>
        <v>#DIV/0!</v>
      </c>
      <c r="O109" s="75"/>
      <c r="P109" s="454"/>
      <c r="Q109" s="75"/>
      <c r="R109" s="75"/>
      <c r="S109" s="75"/>
      <c r="T109" s="578">
        <f t="shared" si="70"/>
        <v>0</v>
      </c>
    </row>
    <row r="110" spans="1:20" x14ac:dyDescent="0.2">
      <c r="A110" s="430" t="str">
        <f t="shared" ref="A110:B110" si="85">+A83</f>
        <v>B6</v>
      </c>
      <c r="B110" s="22" t="str">
        <f t="shared" si="85"/>
        <v>Működési célú átvett pénzeszközök</v>
      </c>
      <c r="C110" s="454"/>
      <c r="D110" s="75"/>
      <c r="E110" s="75"/>
      <c r="F110" s="465"/>
      <c r="G110" s="75"/>
      <c r="H110" s="454"/>
      <c r="I110" s="75"/>
      <c r="J110" s="489"/>
      <c r="K110" s="75"/>
      <c r="L110" s="562" t="e">
        <f t="shared" si="66"/>
        <v>#DIV/0!</v>
      </c>
      <c r="M110" s="562" t="e">
        <f t="shared" si="67"/>
        <v>#DIV/0!</v>
      </c>
      <c r="N110" s="563" t="e">
        <f t="shared" si="68"/>
        <v>#DIV/0!</v>
      </c>
      <c r="O110" s="75"/>
      <c r="P110" s="454"/>
      <c r="Q110" s="75"/>
      <c r="R110" s="75"/>
      <c r="S110" s="75"/>
      <c r="T110" s="578">
        <f t="shared" si="70"/>
        <v>0</v>
      </c>
    </row>
    <row r="111" spans="1:20" x14ac:dyDescent="0.2">
      <c r="A111" s="430" t="str">
        <f t="shared" ref="A111:B111" si="86">+A84</f>
        <v>B7</v>
      </c>
      <c r="B111" s="22" t="str">
        <f t="shared" si="86"/>
        <v>Felhalmozási célú átvett pénzeszközök</v>
      </c>
      <c r="C111" s="454"/>
      <c r="D111" s="75"/>
      <c r="E111" s="75"/>
      <c r="F111" s="465"/>
      <c r="G111" s="75"/>
      <c r="H111" s="454"/>
      <c r="I111" s="75"/>
      <c r="J111" s="489"/>
      <c r="K111" s="75"/>
      <c r="L111" s="562" t="e">
        <f t="shared" si="66"/>
        <v>#DIV/0!</v>
      </c>
      <c r="M111" s="562" t="e">
        <f t="shared" si="67"/>
        <v>#DIV/0!</v>
      </c>
      <c r="N111" s="563" t="e">
        <f t="shared" si="68"/>
        <v>#DIV/0!</v>
      </c>
      <c r="O111" s="75"/>
      <c r="P111" s="454"/>
      <c r="Q111" s="75"/>
      <c r="R111" s="75"/>
      <c r="S111" s="75"/>
      <c r="T111" s="578">
        <f t="shared" si="70"/>
        <v>0</v>
      </c>
    </row>
    <row r="112" spans="1:20" x14ac:dyDescent="0.2">
      <c r="A112" s="430" t="str">
        <f t="shared" ref="A112" si="87">+A85</f>
        <v>B8-ból maradványértéken túli finanszírozási bevételek</v>
      </c>
      <c r="C112" s="454">
        <f>+'6. Gólyahír'!C99-C113</f>
        <v>48881766</v>
      </c>
      <c r="D112" s="75">
        <f>+'6. Gólyahír'!D99-D113</f>
        <v>48881766</v>
      </c>
      <c r="E112" s="75">
        <f>+'6. Gólyahír'!E99-E113</f>
        <v>48881766</v>
      </c>
      <c r="F112" s="465">
        <f>+'6. Gólyahír'!F99-F113</f>
        <v>49615766</v>
      </c>
      <c r="G112" s="75"/>
      <c r="H112" s="454">
        <f>+'6. Gólyahír'!H99-H113</f>
        <v>25458650</v>
      </c>
      <c r="I112" s="75">
        <f>+'6. Gólyahír'!I99-I113</f>
        <v>35948949</v>
      </c>
      <c r="J112" s="489">
        <f>+'6. Gólyahír'!J99-J113</f>
        <v>48610971</v>
      </c>
      <c r="K112" s="75"/>
      <c r="L112" s="562">
        <f t="shared" si="66"/>
        <v>0.52082099488795064</v>
      </c>
      <c r="M112" s="562">
        <f t="shared" si="67"/>
        <v>0.73542655967053239</v>
      </c>
      <c r="N112" s="563">
        <f t="shared" si="68"/>
        <v>0.97974847349933081</v>
      </c>
      <c r="O112" s="75"/>
      <c r="P112" s="454">
        <f>+'6. Gólyahír'!P99-P113</f>
        <v>0</v>
      </c>
      <c r="Q112" s="75">
        <f>+'6. Gólyahír'!Q99-Q113</f>
        <v>0</v>
      </c>
      <c r="R112" s="75">
        <f>+'6. Gólyahír'!R99-R113</f>
        <v>734000</v>
      </c>
      <c r="S112" s="75">
        <f>+'6. Gólyahír'!S99-S113</f>
        <v>734000</v>
      </c>
      <c r="T112" s="578">
        <f t="shared" si="70"/>
        <v>1.5015824100954128E-2</v>
      </c>
    </row>
    <row r="113" spans="1:20" x14ac:dyDescent="0.2">
      <c r="A113" s="430" t="str">
        <f t="shared" ref="A113" si="88">+A86</f>
        <v>B8-ból előző évi mardvány igénybevétele</v>
      </c>
      <c r="C113" s="454">
        <f>+'6. Gólyahír'!C101</f>
        <v>2348234</v>
      </c>
      <c r="D113" s="75">
        <f>+'6. Gólyahír'!D101</f>
        <v>2348234</v>
      </c>
      <c r="E113" s="75">
        <f>+'6. Gólyahír'!E101</f>
        <v>2348234</v>
      </c>
      <c r="F113" s="465">
        <f>+'6. Gólyahír'!F101</f>
        <v>2348234</v>
      </c>
      <c r="G113" s="75"/>
      <c r="H113" s="454">
        <f>+'6. Gólyahír'!H101</f>
        <v>2348234</v>
      </c>
      <c r="I113" s="75">
        <f>+'6. Gólyahír'!I101</f>
        <v>2348234</v>
      </c>
      <c r="J113" s="489">
        <f>+'6. Gólyahír'!J101</f>
        <v>2348234</v>
      </c>
      <c r="K113" s="75"/>
      <c r="L113" s="562">
        <f t="shared" si="66"/>
        <v>1</v>
      </c>
      <c r="M113" s="562">
        <f t="shared" si="67"/>
        <v>1</v>
      </c>
      <c r="N113" s="563">
        <f t="shared" si="68"/>
        <v>1</v>
      </c>
      <c r="O113" s="75"/>
      <c r="P113" s="454">
        <f>+'6. Gólyahír'!P101</f>
        <v>0</v>
      </c>
      <c r="Q113" s="75">
        <f>+'6. Gólyahír'!Q101</f>
        <v>0</v>
      </c>
      <c r="R113" s="75">
        <f>+'6. Gólyahír'!R101</f>
        <v>0</v>
      </c>
      <c r="S113" s="75">
        <f>+'6. Gólyahír'!S101</f>
        <v>0</v>
      </c>
      <c r="T113" s="578">
        <f t="shared" si="70"/>
        <v>0</v>
      </c>
    </row>
    <row r="114" spans="1:20" x14ac:dyDescent="0.2">
      <c r="A114" s="434"/>
      <c r="B114" s="416" t="s">
        <v>377</v>
      </c>
      <c r="C114" s="456">
        <f>SUM(C105:C113)</f>
        <v>54963000</v>
      </c>
      <c r="D114" s="417">
        <f t="shared" ref="D114" si="89">SUM(D105:D113)</f>
        <v>54963000</v>
      </c>
      <c r="E114" s="417">
        <f t="shared" ref="E114" si="90">SUM(E105:E113)</f>
        <v>54963000</v>
      </c>
      <c r="F114" s="473">
        <f t="shared" ref="F114" si="91">SUM(F105:F113)</f>
        <v>56832500</v>
      </c>
      <c r="G114" s="417"/>
      <c r="H114" s="456">
        <f t="shared" ref="H114" si="92">SUM(H105:H113)</f>
        <v>29847957</v>
      </c>
      <c r="I114" s="417">
        <f t="shared" ref="I114" si="93">SUM(I105:I113)</f>
        <v>41293522</v>
      </c>
      <c r="J114" s="418">
        <f t="shared" ref="J114" si="94">SUM(J105:J113)</f>
        <v>54772927</v>
      </c>
      <c r="K114" s="419"/>
      <c r="L114" s="566">
        <f t="shared" si="66"/>
        <v>0.54305545548823753</v>
      </c>
      <c r="M114" s="566">
        <f t="shared" si="67"/>
        <v>0.75129672688899807</v>
      </c>
      <c r="N114" s="567">
        <f t="shared" si="68"/>
        <v>0.96376064751682577</v>
      </c>
      <c r="O114" s="419"/>
      <c r="P114" s="456">
        <f t="shared" ref="P114" si="95">SUM(P105:P113)</f>
        <v>0</v>
      </c>
      <c r="Q114" s="417">
        <f t="shared" ref="Q114" si="96">SUM(Q105:Q113)</f>
        <v>0</v>
      </c>
      <c r="R114" s="417">
        <f t="shared" ref="R114" si="97">SUM(R105:R113)</f>
        <v>1869500</v>
      </c>
      <c r="S114" s="418">
        <f t="shared" ref="S114" si="98">SUM(S105:S113)</f>
        <v>1869500</v>
      </c>
      <c r="T114" s="579">
        <f t="shared" si="70"/>
        <v>3.4013791095828104E-2</v>
      </c>
    </row>
    <row r="115" spans="1:20" x14ac:dyDescent="0.2">
      <c r="A115" s="433"/>
      <c r="B115" s="75"/>
      <c r="C115" s="454"/>
      <c r="D115" s="75"/>
      <c r="E115" s="75"/>
      <c r="F115" s="465"/>
      <c r="G115" s="75"/>
      <c r="H115" s="454"/>
      <c r="I115" s="75"/>
      <c r="J115" s="489"/>
      <c r="K115" s="75"/>
      <c r="L115" s="562"/>
      <c r="M115" s="562"/>
      <c r="N115" s="563"/>
      <c r="O115" s="75"/>
      <c r="P115" s="454"/>
      <c r="Q115" s="75"/>
      <c r="R115" s="75"/>
      <c r="S115" s="75"/>
      <c r="T115" s="580"/>
    </row>
    <row r="116" spans="1:20" ht="13.5" thickBot="1" x14ac:dyDescent="0.25">
      <c r="A116" s="436"/>
      <c r="B116" s="437" t="s">
        <v>463</v>
      </c>
      <c r="C116" s="458">
        <f>+C114-C103</f>
        <v>0</v>
      </c>
      <c r="D116" s="438">
        <f>+D114-D103</f>
        <v>0</v>
      </c>
      <c r="E116" s="438">
        <f>+E114-E103</f>
        <v>0</v>
      </c>
      <c r="F116" s="475">
        <f>+F114-F103</f>
        <v>0</v>
      </c>
      <c r="G116" s="438"/>
      <c r="H116" s="458">
        <f>+H114-H103</f>
        <v>4492018</v>
      </c>
      <c r="I116" s="438">
        <f>+I114-I103</f>
        <v>3704671</v>
      </c>
      <c r="J116" s="440">
        <f>+J114-J103</f>
        <v>2395642</v>
      </c>
      <c r="K116" s="439"/>
      <c r="L116" s="568" t="e">
        <f t="shared" si="66"/>
        <v>#DIV/0!</v>
      </c>
      <c r="M116" s="568" t="e">
        <f t="shared" si="67"/>
        <v>#DIV/0!</v>
      </c>
      <c r="N116" s="569" t="e">
        <f t="shared" si="68"/>
        <v>#DIV/0!</v>
      </c>
      <c r="O116" s="439"/>
      <c r="P116" s="458">
        <f>+P114-P103</f>
        <v>0</v>
      </c>
      <c r="Q116" s="438">
        <f>+Q114-Q103</f>
        <v>0</v>
      </c>
      <c r="R116" s="438">
        <f>+R114-R103</f>
        <v>0</v>
      </c>
      <c r="S116" s="440">
        <f>+S114-S103</f>
        <v>0</v>
      </c>
      <c r="T116" s="581"/>
    </row>
    <row r="117" spans="1:20" x14ac:dyDescent="0.2">
      <c r="C117" s="433"/>
      <c r="F117" s="476"/>
      <c r="H117" s="433"/>
      <c r="J117" s="487"/>
      <c r="L117" s="562"/>
      <c r="M117" s="562"/>
      <c r="N117" s="563"/>
      <c r="P117" s="433"/>
      <c r="T117" s="580"/>
    </row>
    <row r="118" spans="1:20" ht="13.5" thickBot="1" x14ac:dyDescent="0.25">
      <c r="C118" s="433"/>
      <c r="F118" s="476"/>
      <c r="H118" s="433"/>
      <c r="J118" s="487"/>
      <c r="L118" s="562"/>
      <c r="M118" s="562"/>
      <c r="N118" s="563"/>
      <c r="P118" s="433"/>
      <c r="T118" s="580"/>
    </row>
    <row r="119" spans="1:20" ht="18.75" thickBot="1" x14ac:dyDescent="0.3">
      <c r="A119" s="441" t="s">
        <v>460</v>
      </c>
      <c r="B119" s="559"/>
      <c r="C119" s="433"/>
      <c r="F119" s="476"/>
      <c r="H119" s="433"/>
      <c r="J119" s="487"/>
      <c r="L119" s="562"/>
      <c r="M119" s="562"/>
      <c r="N119" s="563"/>
      <c r="P119" s="433"/>
      <c r="T119" s="580"/>
    </row>
    <row r="120" spans="1:20" x14ac:dyDescent="0.2">
      <c r="A120" s="426"/>
      <c r="B120" s="427"/>
      <c r="C120" s="426"/>
      <c r="D120" s="428"/>
      <c r="E120" s="428"/>
      <c r="F120" s="477"/>
      <c r="G120" s="428"/>
      <c r="H120" s="426"/>
      <c r="I120" s="428"/>
      <c r="J120" s="488"/>
      <c r="K120" s="428"/>
      <c r="L120" s="570"/>
      <c r="M120" s="570"/>
      <c r="N120" s="571"/>
      <c r="O120" s="428"/>
      <c r="P120" s="426"/>
      <c r="Q120" s="427"/>
      <c r="R120" s="427"/>
      <c r="S120" s="427"/>
      <c r="T120" s="582"/>
    </row>
    <row r="121" spans="1:20" x14ac:dyDescent="0.2">
      <c r="A121" s="430" t="s">
        <v>0</v>
      </c>
      <c r="B121" s="58" t="str">
        <f t="shared" ref="B121:B129" si="99">+B94</f>
        <v>Személyi juttatások</v>
      </c>
      <c r="C121" s="454">
        <f>+'7. Polg.Hiv.'!C13</f>
        <v>82838000</v>
      </c>
      <c r="D121" s="75">
        <f>+'7. Polg.Hiv.'!D13</f>
        <v>82838000</v>
      </c>
      <c r="E121" s="75">
        <f>+'7. Polg.Hiv.'!E13</f>
        <v>81838000</v>
      </c>
      <c r="F121" s="465">
        <f>+'7. Polg.Hiv.'!F13</f>
        <v>81838000</v>
      </c>
      <c r="G121" s="75"/>
      <c r="H121" s="454">
        <f>+'7. Polg.Hiv.'!H13</f>
        <v>36864685</v>
      </c>
      <c r="I121" s="75">
        <f>+'7. Polg.Hiv.'!I13</f>
        <v>56172555</v>
      </c>
      <c r="J121" s="489">
        <f>+'7. Polg.Hiv.'!J13</f>
        <v>76474091</v>
      </c>
      <c r="K121" s="75"/>
      <c r="L121" s="562">
        <f t="shared" si="66"/>
        <v>0.4450214273642531</v>
      </c>
      <c r="M121" s="562">
        <f t="shared" si="67"/>
        <v>0.68638719176910479</v>
      </c>
      <c r="N121" s="563">
        <f t="shared" si="68"/>
        <v>0.9344569881961925</v>
      </c>
      <c r="O121" s="75"/>
      <c r="P121" s="454">
        <f>+'7. Polg.Hiv.'!P13</f>
        <v>0</v>
      </c>
      <c r="Q121" s="75">
        <f>+'7. Polg.Hiv.'!Q13</f>
        <v>-1000000</v>
      </c>
      <c r="R121" s="75">
        <f>+'7. Polg.Hiv.'!R13</f>
        <v>0</v>
      </c>
      <c r="S121" s="75">
        <f>+'7. Polg.Hiv.'!S13</f>
        <v>-1000000</v>
      </c>
      <c r="T121" s="578">
        <f>IF(S121=0,0,S121/C121)</f>
        <v>-1.207175450880031E-2</v>
      </c>
    </row>
    <row r="122" spans="1:20" x14ac:dyDescent="0.2">
      <c r="A122" s="430" t="s">
        <v>26</v>
      </c>
      <c r="B122" s="58" t="str">
        <f t="shared" si="99"/>
        <v>Munkaadót terhelő járulékok és szociális hozzájárulás</v>
      </c>
      <c r="C122" s="454">
        <f>+'7. Polg.Hiv.'!C29</f>
        <v>18770000</v>
      </c>
      <c r="D122" s="75">
        <f>+'7. Polg.Hiv.'!D29</f>
        <v>18770000</v>
      </c>
      <c r="E122" s="75">
        <f>+'7. Polg.Hiv.'!E29</f>
        <v>18770000</v>
      </c>
      <c r="F122" s="465">
        <f>+'7. Polg.Hiv.'!F29</f>
        <v>18770000</v>
      </c>
      <c r="G122" s="75"/>
      <c r="H122" s="454">
        <f>+'7. Polg.Hiv.'!H29</f>
        <v>9993764</v>
      </c>
      <c r="I122" s="75">
        <f>+'7. Polg.Hiv.'!I29</f>
        <v>14461063</v>
      </c>
      <c r="J122" s="489">
        <f>+'7. Polg.Hiv.'!J29</f>
        <v>18404376</v>
      </c>
      <c r="K122" s="75"/>
      <c r="L122" s="562">
        <f t="shared" si="66"/>
        <v>0.53243281832711775</v>
      </c>
      <c r="M122" s="562">
        <f t="shared" si="67"/>
        <v>0.77043489611081517</v>
      </c>
      <c r="N122" s="563">
        <f t="shared" si="68"/>
        <v>0.98052083111347899</v>
      </c>
      <c r="O122" s="75"/>
      <c r="P122" s="454">
        <f>+'7. Polg.Hiv.'!P29</f>
        <v>0</v>
      </c>
      <c r="Q122" s="75">
        <f>+'7. Polg.Hiv.'!Q29</f>
        <v>0</v>
      </c>
      <c r="R122" s="75">
        <f>+'7. Polg.Hiv.'!R29</f>
        <v>0</v>
      </c>
      <c r="S122" s="75">
        <f>+'7. Polg.Hiv.'!S29</f>
        <v>0</v>
      </c>
      <c r="T122" s="578">
        <f t="shared" ref="T122:T141" si="100">IF(S122=0,0,S122/C122)</f>
        <v>0</v>
      </c>
    </row>
    <row r="123" spans="1:20" x14ac:dyDescent="0.2">
      <c r="A123" s="430" t="s">
        <v>29</v>
      </c>
      <c r="B123" s="58" t="str">
        <f t="shared" si="99"/>
        <v>Dologi kiadások</v>
      </c>
      <c r="C123" s="454">
        <f>+'7. Polg.Hiv.'!C32</f>
        <v>10409999</v>
      </c>
      <c r="D123" s="75">
        <f>+'7. Polg.Hiv.'!D32</f>
        <v>10409999</v>
      </c>
      <c r="E123" s="75">
        <f>+'7. Polg.Hiv.'!E32</f>
        <v>11681275</v>
      </c>
      <c r="F123" s="465">
        <f>+'7. Polg.Hiv.'!F32</f>
        <v>11698996</v>
      </c>
      <c r="G123" s="75"/>
      <c r="H123" s="454">
        <f>+'7. Polg.Hiv.'!H32</f>
        <v>5569152</v>
      </c>
      <c r="I123" s="75">
        <f>+'7. Polg.Hiv.'!I32</f>
        <v>8335259</v>
      </c>
      <c r="J123" s="489">
        <f>+'7. Polg.Hiv.'!J32</f>
        <v>10442086</v>
      </c>
      <c r="K123" s="75"/>
      <c r="L123" s="562">
        <f t="shared" si="66"/>
        <v>0.53498103121815865</v>
      </c>
      <c r="M123" s="562">
        <f t="shared" si="67"/>
        <v>0.71355729575752647</v>
      </c>
      <c r="N123" s="563">
        <f t="shared" si="68"/>
        <v>0.89256257545519291</v>
      </c>
      <c r="O123" s="75"/>
      <c r="P123" s="454">
        <f>+'7. Polg.Hiv.'!P32</f>
        <v>0</v>
      </c>
      <c r="Q123" s="75">
        <f>+'7. Polg.Hiv.'!Q32</f>
        <v>1271276</v>
      </c>
      <c r="R123" s="75">
        <f>+'7. Polg.Hiv.'!R32</f>
        <v>17721</v>
      </c>
      <c r="S123" s="75">
        <f>+'7. Polg.Hiv.'!S32</f>
        <v>1288997</v>
      </c>
      <c r="T123" s="578">
        <f t="shared" si="100"/>
        <v>0.12382297058818162</v>
      </c>
    </row>
    <row r="124" spans="1:20" x14ac:dyDescent="0.2">
      <c r="A124" s="430" t="s">
        <v>111</v>
      </c>
      <c r="B124" s="58" t="str">
        <f t="shared" si="99"/>
        <v>Elláttotak pénzpeli juttatásai</v>
      </c>
      <c r="C124" s="454"/>
      <c r="D124" s="75"/>
      <c r="E124" s="75"/>
      <c r="F124" s="465"/>
      <c r="G124" s="75"/>
      <c r="H124" s="454"/>
      <c r="I124" s="75"/>
      <c r="J124" s="489"/>
      <c r="K124" s="75"/>
      <c r="L124" s="562" t="e">
        <f t="shared" si="66"/>
        <v>#DIV/0!</v>
      </c>
      <c r="M124" s="562" t="e">
        <f t="shared" si="67"/>
        <v>#DIV/0!</v>
      </c>
      <c r="N124" s="563" t="e">
        <f t="shared" si="68"/>
        <v>#DIV/0!</v>
      </c>
      <c r="O124" s="75"/>
      <c r="P124" s="454"/>
      <c r="Q124" s="75"/>
      <c r="R124" s="75"/>
      <c r="S124" s="75"/>
      <c r="T124" s="578">
        <f t="shared" si="100"/>
        <v>0</v>
      </c>
    </row>
    <row r="125" spans="1:20" x14ac:dyDescent="0.2">
      <c r="A125" s="431" t="s">
        <v>376</v>
      </c>
      <c r="B125" s="58" t="str">
        <f t="shared" si="99"/>
        <v>Egyéb működési célú kiadások</v>
      </c>
      <c r="C125" s="454"/>
      <c r="D125" s="75"/>
      <c r="E125" s="75"/>
      <c r="F125" s="465"/>
      <c r="G125" s="75"/>
      <c r="H125" s="454"/>
      <c r="I125" s="75"/>
      <c r="J125" s="489"/>
      <c r="K125" s="75"/>
      <c r="L125" s="562" t="e">
        <f t="shared" si="66"/>
        <v>#DIV/0!</v>
      </c>
      <c r="M125" s="562" t="e">
        <f t="shared" si="67"/>
        <v>#DIV/0!</v>
      </c>
      <c r="N125" s="563" t="e">
        <f t="shared" si="68"/>
        <v>#DIV/0!</v>
      </c>
      <c r="O125" s="75"/>
      <c r="P125" s="454"/>
      <c r="Q125" s="75"/>
      <c r="R125" s="75"/>
      <c r="S125" s="75"/>
      <c r="T125" s="578">
        <f t="shared" si="100"/>
        <v>0</v>
      </c>
    </row>
    <row r="126" spans="1:20" x14ac:dyDescent="0.2">
      <c r="A126" s="430" t="s">
        <v>158</v>
      </c>
      <c r="B126" s="352" t="str">
        <f t="shared" si="99"/>
        <v>Beruházások</v>
      </c>
      <c r="C126" s="454">
        <f>+'7. Polg.Hiv.'!C83</f>
        <v>1324900</v>
      </c>
      <c r="D126" s="75">
        <f>+'7. Polg.Hiv.'!D83</f>
        <v>1324900</v>
      </c>
      <c r="E126" s="75">
        <f>+'7. Polg.Hiv.'!E83</f>
        <v>1324900</v>
      </c>
      <c r="F126" s="465">
        <f>+'7. Polg.Hiv.'!F83</f>
        <v>1617945</v>
      </c>
      <c r="G126" s="75"/>
      <c r="H126" s="454">
        <f>+'7. Polg.Hiv.'!H83</f>
        <v>700659</v>
      </c>
      <c r="I126" s="75">
        <f>+'7. Polg.Hiv.'!I83</f>
        <v>786949</v>
      </c>
      <c r="J126" s="489">
        <f>+'7. Polg.Hiv.'!J83</f>
        <v>1617945</v>
      </c>
      <c r="K126" s="75"/>
      <c r="L126" s="562">
        <f t="shared" si="66"/>
        <v>0.52883915767227718</v>
      </c>
      <c r="M126" s="562">
        <f t="shared" si="67"/>
        <v>0.59396860140387953</v>
      </c>
      <c r="N126" s="563">
        <f t="shared" si="68"/>
        <v>1</v>
      </c>
      <c r="O126" s="75"/>
      <c r="P126" s="454">
        <f>+'7. Polg.Hiv.'!P83</f>
        <v>0</v>
      </c>
      <c r="Q126" s="75">
        <f>+'7. Polg.Hiv.'!Q83</f>
        <v>0</v>
      </c>
      <c r="R126" s="75">
        <f>+'7. Polg.Hiv.'!R83</f>
        <v>293045</v>
      </c>
      <c r="S126" s="75">
        <f>+'7. Polg.Hiv.'!S83</f>
        <v>293045</v>
      </c>
      <c r="T126" s="578">
        <f t="shared" si="100"/>
        <v>0.22118273077213374</v>
      </c>
    </row>
    <row r="127" spans="1:20" x14ac:dyDescent="0.2">
      <c r="A127" s="430" t="s">
        <v>173</v>
      </c>
      <c r="B127" s="58" t="str">
        <f t="shared" si="99"/>
        <v>Felújítások</v>
      </c>
      <c r="C127" s="454">
        <f>+'7. Polg.Hiv.'!C86</f>
        <v>0</v>
      </c>
      <c r="D127" s="75">
        <f>+'7. Polg.Hiv.'!D86</f>
        <v>0</v>
      </c>
      <c r="E127" s="75">
        <f>+'7. Polg.Hiv.'!E86</f>
        <v>0</v>
      </c>
      <c r="F127" s="465">
        <f>+'7. Polg.Hiv.'!F86</f>
        <v>0</v>
      </c>
      <c r="G127" s="75"/>
      <c r="H127" s="454">
        <f>+'7. Polg.Hiv.'!H86</f>
        <v>0</v>
      </c>
      <c r="I127" s="75">
        <f>+'7. Polg.Hiv.'!I86</f>
        <v>0</v>
      </c>
      <c r="J127" s="489">
        <f>+'7. Polg.Hiv.'!J86</f>
        <v>0</v>
      </c>
      <c r="K127" s="75"/>
      <c r="L127" s="562" t="e">
        <f t="shared" si="66"/>
        <v>#DIV/0!</v>
      </c>
      <c r="M127" s="562" t="e">
        <f t="shared" si="67"/>
        <v>#DIV/0!</v>
      </c>
      <c r="N127" s="563" t="e">
        <f t="shared" si="68"/>
        <v>#DIV/0!</v>
      </c>
      <c r="O127" s="75"/>
      <c r="P127" s="454">
        <f>+'7. Polg.Hiv.'!P86</f>
        <v>0</v>
      </c>
      <c r="Q127" s="75">
        <f>+'7. Polg.Hiv.'!Q86</f>
        <v>0</v>
      </c>
      <c r="R127" s="75">
        <f>+'7. Polg.Hiv.'!R86</f>
        <v>0</v>
      </c>
      <c r="S127" s="75">
        <f>+'7. Polg.Hiv.'!S86</f>
        <v>0</v>
      </c>
      <c r="T127" s="578">
        <f t="shared" si="100"/>
        <v>0</v>
      </c>
    </row>
    <row r="128" spans="1:20" x14ac:dyDescent="0.2">
      <c r="A128" s="430" t="s">
        <v>183</v>
      </c>
      <c r="B128" s="58" t="str">
        <f t="shared" si="99"/>
        <v>Szolgáltatások kiadásai</v>
      </c>
      <c r="C128" s="454"/>
      <c r="D128" s="75"/>
      <c r="E128" s="75"/>
      <c r="F128" s="465"/>
      <c r="G128" s="75"/>
      <c r="H128" s="454"/>
      <c r="I128" s="75"/>
      <c r="J128" s="489"/>
      <c r="K128" s="75"/>
      <c r="L128" s="562" t="e">
        <f t="shared" si="66"/>
        <v>#DIV/0!</v>
      </c>
      <c r="M128" s="562" t="e">
        <f t="shared" si="67"/>
        <v>#DIV/0!</v>
      </c>
      <c r="N128" s="563" t="e">
        <f t="shared" si="68"/>
        <v>#DIV/0!</v>
      </c>
      <c r="O128" s="75"/>
      <c r="P128" s="454"/>
      <c r="Q128" s="75"/>
      <c r="R128" s="75"/>
      <c r="S128" s="75"/>
      <c r="T128" s="578">
        <f t="shared" si="100"/>
        <v>0</v>
      </c>
    </row>
    <row r="129" spans="1:20" x14ac:dyDescent="0.2">
      <c r="A129" s="430" t="s">
        <v>201</v>
      </c>
      <c r="B129" s="58" t="str">
        <f t="shared" si="99"/>
        <v>Finanszírozási kiadások</v>
      </c>
      <c r="C129" s="433"/>
      <c r="F129" s="476"/>
      <c r="H129" s="433"/>
      <c r="J129" s="487"/>
      <c r="L129" s="562" t="e">
        <f t="shared" si="66"/>
        <v>#DIV/0!</v>
      </c>
      <c r="M129" s="562" t="e">
        <f t="shared" si="67"/>
        <v>#DIV/0!</v>
      </c>
      <c r="N129" s="563" t="e">
        <f t="shared" si="68"/>
        <v>#DIV/0!</v>
      </c>
      <c r="P129" s="433"/>
      <c r="T129" s="578">
        <f t="shared" si="100"/>
        <v>0</v>
      </c>
    </row>
    <row r="130" spans="1:20" x14ac:dyDescent="0.2">
      <c r="A130" s="432"/>
      <c r="B130" s="416" t="s">
        <v>378</v>
      </c>
      <c r="C130" s="456">
        <f>SUM(C121:C129)</f>
        <v>113342899</v>
      </c>
      <c r="D130" s="417">
        <f t="shared" ref="D130" si="101">SUM(D121:D129)</f>
        <v>113342899</v>
      </c>
      <c r="E130" s="417">
        <f t="shared" ref="E130" si="102">SUM(E121:E129)</f>
        <v>113614175</v>
      </c>
      <c r="F130" s="473">
        <f t="shared" ref="F130" si="103">SUM(F121:F129)</f>
        <v>113924941</v>
      </c>
      <c r="G130" s="417"/>
      <c r="H130" s="456">
        <f t="shared" ref="H130" si="104">SUM(H121:H129)</f>
        <v>53128260</v>
      </c>
      <c r="I130" s="417">
        <f t="shared" ref="I130" si="105">SUM(I121:I129)</f>
        <v>79755826</v>
      </c>
      <c r="J130" s="418">
        <f t="shared" ref="J130" si="106">SUM(J121:J129)</f>
        <v>106938498</v>
      </c>
      <c r="K130" s="217"/>
      <c r="L130" s="564">
        <f t="shared" si="66"/>
        <v>0.46873920173861089</v>
      </c>
      <c r="M130" s="564">
        <f t="shared" si="67"/>
        <v>0.70198833904308156</v>
      </c>
      <c r="N130" s="565">
        <f t="shared" si="68"/>
        <v>0.93867503517074458</v>
      </c>
      <c r="O130" s="217"/>
      <c r="P130" s="456">
        <f t="shared" ref="P130" si="107">SUM(P121:P129)</f>
        <v>0</v>
      </c>
      <c r="Q130" s="417">
        <f t="shared" ref="Q130" si="108">SUM(Q121:Q129)</f>
        <v>271276</v>
      </c>
      <c r="R130" s="417">
        <f t="shared" ref="R130" si="109">SUM(R121:R129)</f>
        <v>310766</v>
      </c>
      <c r="S130" s="418">
        <f t="shared" ref="S130" si="110">SUM(S121:S129)</f>
        <v>582042</v>
      </c>
      <c r="T130" s="579">
        <f t="shared" si="100"/>
        <v>5.1352312772589307E-3</v>
      </c>
    </row>
    <row r="131" spans="1:20" x14ac:dyDescent="0.2">
      <c r="A131" s="433"/>
      <c r="C131" s="433"/>
      <c r="F131" s="476"/>
      <c r="H131" s="433"/>
      <c r="J131" s="487"/>
      <c r="L131" s="562"/>
      <c r="M131" s="562"/>
      <c r="N131" s="563"/>
      <c r="P131" s="433"/>
      <c r="T131" s="578"/>
    </row>
    <row r="132" spans="1:20" x14ac:dyDescent="0.2">
      <c r="A132" s="430" t="str">
        <f t="shared" ref="A132:B138" si="111">+A105</f>
        <v>B1</v>
      </c>
      <c r="B132" s="58" t="str">
        <f t="shared" si="111"/>
        <v>Működési célú tám-ok államháztartáson belülről</v>
      </c>
      <c r="C132" s="454">
        <f>+'7. Polg.Hiv.'!C93</f>
        <v>0</v>
      </c>
      <c r="D132" s="75">
        <f>+'7. Polg.Hiv.'!D93</f>
        <v>0</v>
      </c>
      <c r="E132" s="75">
        <f>+'7. Polg.Hiv.'!E93</f>
        <v>0</v>
      </c>
      <c r="F132" s="465">
        <f>+'7. Polg.Hiv.'!F93</f>
        <v>310766</v>
      </c>
      <c r="G132" s="75"/>
      <c r="H132" s="454">
        <f>+'7. Polg.Hiv.'!H93</f>
        <v>0</v>
      </c>
      <c r="I132" s="75">
        <f>+'7. Polg.Hiv.'!I93</f>
        <v>413848</v>
      </c>
      <c r="J132" s="489">
        <f>+'7. Polg.Hiv.'!J93</f>
        <v>1241544</v>
      </c>
      <c r="K132" s="75"/>
      <c r="L132" s="562" t="e">
        <f t="shared" si="66"/>
        <v>#DIV/0!</v>
      </c>
      <c r="M132" s="562" t="e">
        <f t="shared" si="67"/>
        <v>#DIV/0!</v>
      </c>
      <c r="N132" s="563">
        <f t="shared" si="68"/>
        <v>3.9951088600426043</v>
      </c>
      <c r="O132" s="75"/>
      <c r="P132" s="454">
        <f>+'7. Polg.Hiv.'!P93</f>
        <v>0</v>
      </c>
      <c r="Q132" s="75">
        <f>+'7. Polg.Hiv.'!Q93</f>
        <v>0</v>
      </c>
      <c r="R132" s="75">
        <f>+'7. Polg.Hiv.'!R93</f>
        <v>310766</v>
      </c>
      <c r="S132" s="75">
        <f>+'7. Polg.Hiv.'!S93</f>
        <v>310766</v>
      </c>
      <c r="T132" s="578" t="e">
        <f t="shared" si="100"/>
        <v>#DIV/0!</v>
      </c>
    </row>
    <row r="133" spans="1:20" x14ac:dyDescent="0.2">
      <c r="A133" s="430" t="str">
        <f t="shared" si="111"/>
        <v>B2</v>
      </c>
      <c r="B133" s="58" t="str">
        <f t="shared" si="111"/>
        <v>Felhalmozási célú tám-ok államházt-on belülről</v>
      </c>
      <c r="C133" s="454"/>
      <c r="D133" s="75"/>
      <c r="E133" s="75"/>
      <c r="F133" s="465"/>
      <c r="G133" s="75"/>
      <c r="H133" s="454"/>
      <c r="I133" s="75"/>
      <c r="J133" s="489"/>
      <c r="K133" s="75"/>
      <c r="L133" s="562" t="e">
        <f t="shared" si="66"/>
        <v>#DIV/0!</v>
      </c>
      <c r="M133" s="562" t="e">
        <f t="shared" si="67"/>
        <v>#DIV/0!</v>
      </c>
      <c r="N133" s="563" t="e">
        <f t="shared" si="68"/>
        <v>#DIV/0!</v>
      </c>
      <c r="O133" s="75"/>
      <c r="P133" s="454"/>
      <c r="Q133" s="75"/>
      <c r="R133" s="75"/>
      <c r="S133" s="75"/>
      <c r="T133" s="578">
        <f t="shared" si="100"/>
        <v>0</v>
      </c>
    </row>
    <row r="134" spans="1:20" x14ac:dyDescent="0.2">
      <c r="A134" s="430" t="str">
        <f t="shared" si="111"/>
        <v>B3</v>
      </c>
      <c r="B134" s="58" t="str">
        <f t="shared" si="111"/>
        <v>Közhatalmi bevételek</v>
      </c>
      <c r="C134" s="454"/>
      <c r="D134" s="75"/>
      <c r="E134" s="75"/>
      <c r="F134" s="465"/>
      <c r="G134" s="75"/>
      <c r="H134" s="454"/>
      <c r="I134" s="75"/>
      <c r="J134" s="489"/>
      <c r="K134" s="75"/>
      <c r="L134" s="562" t="e">
        <f t="shared" si="66"/>
        <v>#DIV/0!</v>
      </c>
      <c r="M134" s="562" t="e">
        <f t="shared" si="67"/>
        <v>#DIV/0!</v>
      </c>
      <c r="N134" s="563" t="e">
        <f t="shared" si="68"/>
        <v>#DIV/0!</v>
      </c>
      <c r="O134" s="75"/>
      <c r="P134" s="454"/>
      <c r="Q134" s="75"/>
      <c r="R134" s="75"/>
      <c r="S134" s="75"/>
      <c r="T134" s="578">
        <f t="shared" si="100"/>
        <v>0</v>
      </c>
    </row>
    <row r="135" spans="1:20" x14ac:dyDescent="0.2">
      <c r="A135" s="430" t="str">
        <f t="shared" si="111"/>
        <v>B4</v>
      </c>
      <c r="B135" s="58" t="str">
        <f t="shared" si="111"/>
        <v>Működési bevételek</v>
      </c>
      <c r="C135" s="454">
        <f>+'7. Polg.Hiv.'!C95</f>
        <v>0</v>
      </c>
      <c r="D135" s="75">
        <f>+'7. Polg.Hiv.'!D95</f>
        <v>0</v>
      </c>
      <c r="E135" s="75">
        <f>+'7. Polg.Hiv.'!E95</f>
        <v>271276</v>
      </c>
      <c r="F135" s="465">
        <f>+'7. Polg.Hiv.'!F95</f>
        <v>271276</v>
      </c>
      <c r="G135" s="75"/>
      <c r="H135" s="454">
        <f>+'7. Polg.Hiv.'!H95</f>
        <v>3822</v>
      </c>
      <c r="I135" s="75">
        <f>+'7. Polg.Hiv.'!I95</f>
        <v>284276</v>
      </c>
      <c r="J135" s="489">
        <f>+'7. Polg.Hiv.'!J95</f>
        <v>363847</v>
      </c>
      <c r="K135" s="75"/>
      <c r="L135" s="562" t="e">
        <f t="shared" si="66"/>
        <v>#DIV/0!</v>
      </c>
      <c r="M135" s="562">
        <f t="shared" si="67"/>
        <v>1.0479216738672053</v>
      </c>
      <c r="N135" s="563">
        <f t="shared" si="68"/>
        <v>1.3412428670431591</v>
      </c>
      <c r="O135" s="75"/>
      <c r="P135" s="454">
        <f>+'7. Polg.Hiv.'!P95</f>
        <v>0</v>
      </c>
      <c r="Q135" s="75">
        <f>+'7. Polg.Hiv.'!Q95</f>
        <v>271276</v>
      </c>
      <c r="R135" s="75">
        <f>+'7. Polg.Hiv.'!R95</f>
        <v>0</v>
      </c>
      <c r="S135" s="75">
        <f>+'7. Polg.Hiv.'!S95</f>
        <v>271276</v>
      </c>
      <c r="T135" s="578" t="e">
        <f t="shared" si="100"/>
        <v>#DIV/0!</v>
      </c>
    </row>
    <row r="136" spans="1:20" x14ac:dyDescent="0.2">
      <c r="A136" s="430" t="str">
        <f t="shared" si="111"/>
        <v>B5</v>
      </c>
      <c r="B136" s="58" t="str">
        <f t="shared" si="111"/>
        <v>Felhalmozási bevételek</v>
      </c>
      <c r="C136" s="454"/>
      <c r="D136" s="75"/>
      <c r="E136" s="75"/>
      <c r="F136" s="465"/>
      <c r="G136" s="75"/>
      <c r="H136" s="454"/>
      <c r="I136" s="75"/>
      <c r="J136" s="489"/>
      <c r="K136" s="75"/>
      <c r="L136" s="562" t="e">
        <f t="shared" si="66"/>
        <v>#DIV/0!</v>
      </c>
      <c r="M136" s="562" t="e">
        <f t="shared" si="67"/>
        <v>#DIV/0!</v>
      </c>
      <c r="N136" s="563" t="e">
        <f t="shared" si="68"/>
        <v>#DIV/0!</v>
      </c>
      <c r="O136" s="75"/>
      <c r="P136" s="454"/>
      <c r="Q136" s="75"/>
      <c r="R136" s="75"/>
      <c r="S136" s="75"/>
      <c r="T136" s="578">
        <f t="shared" si="100"/>
        <v>0</v>
      </c>
    </row>
    <row r="137" spans="1:20" x14ac:dyDescent="0.2">
      <c r="A137" s="430" t="str">
        <f t="shared" si="111"/>
        <v>B6</v>
      </c>
      <c r="B137" s="58" t="str">
        <f t="shared" si="111"/>
        <v>Működési célú átvett pénzeszközök</v>
      </c>
      <c r="C137" s="454"/>
      <c r="D137" s="75"/>
      <c r="E137" s="75"/>
      <c r="F137" s="465"/>
      <c r="G137" s="75"/>
      <c r="H137" s="454"/>
      <c r="I137" s="75"/>
      <c r="J137" s="489"/>
      <c r="K137" s="75"/>
      <c r="L137" s="562" t="e">
        <f t="shared" si="66"/>
        <v>#DIV/0!</v>
      </c>
      <c r="M137" s="562" t="e">
        <f t="shared" si="67"/>
        <v>#DIV/0!</v>
      </c>
      <c r="N137" s="563" t="e">
        <f t="shared" si="68"/>
        <v>#DIV/0!</v>
      </c>
      <c r="O137" s="75"/>
      <c r="P137" s="454"/>
      <c r="Q137" s="75"/>
      <c r="R137" s="75"/>
      <c r="S137" s="75"/>
      <c r="T137" s="578">
        <f t="shared" si="100"/>
        <v>0</v>
      </c>
    </row>
    <row r="138" spans="1:20" x14ac:dyDescent="0.2">
      <c r="A138" s="430" t="str">
        <f t="shared" si="111"/>
        <v>B7</v>
      </c>
      <c r="B138" s="58" t="str">
        <f t="shared" si="111"/>
        <v>Felhalmozási célú átvett pénzeszközök</v>
      </c>
      <c r="C138" s="454"/>
      <c r="D138" s="75"/>
      <c r="E138" s="75"/>
      <c r="F138" s="465"/>
      <c r="G138" s="75"/>
      <c r="H138" s="454"/>
      <c r="I138" s="75"/>
      <c r="J138" s="489"/>
      <c r="K138" s="75"/>
      <c r="L138" s="562" t="e">
        <f t="shared" si="66"/>
        <v>#DIV/0!</v>
      </c>
      <c r="M138" s="562" t="e">
        <f t="shared" si="67"/>
        <v>#DIV/0!</v>
      </c>
      <c r="N138" s="563" t="e">
        <f t="shared" si="68"/>
        <v>#DIV/0!</v>
      </c>
      <c r="O138" s="75"/>
      <c r="P138" s="454"/>
      <c r="Q138" s="75"/>
      <c r="R138" s="75"/>
      <c r="S138" s="75"/>
      <c r="T138" s="578">
        <f t="shared" si="100"/>
        <v>0</v>
      </c>
    </row>
    <row r="139" spans="1:20" x14ac:dyDescent="0.2">
      <c r="A139" s="430" t="str">
        <f>+A112</f>
        <v>B8-ból maradványértéken túli finanszírozási bevételek</v>
      </c>
      <c r="B139" s="58"/>
      <c r="C139" s="454">
        <f>+'7. Polg.Hiv.'!C99-C140</f>
        <v>111124591</v>
      </c>
      <c r="D139" s="75">
        <f>+'7. Polg.Hiv.'!D99-D140</f>
        <v>111124591</v>
      </c>
      <c r="E139" s="75">
        <f>+'7. Polg.Hiv.'!E99-E140</f>
        <v>111124591</v>
      </c>
      <c r="F139" s="465">
        <f>+'7. Polg.Hiv.'!F99-F140</f>
        <v>111124591</v>
      </c>
      <c r="G139" s="75"/>
      <c r="H139" s="454">
        <f>+'7. Polg.Hiv.'!H99-H140</f>
        <v>55828164</v>
      </c>
      <c r="I139" s="75">
        <f>+'7. Polg.Hiv.'!I99-I140</f>
        <v>81343960</v>
      </c>
      <c r="J139" s="489">
        <f>+'7. Polg.Hiv.'!J99-J140</f>
        <v>104994909</v>
      </c>
      <c r="K139" s="75"/>
      <c r="L139" s="562">
        <f t="shared" si="66"/>
        <v>0.50239252624110897</v>
      </c>
      <c r="M139" s="562">
        <f t="shared" si="67"/>
        <v>0.73200683366294683</v>
      </c>
      <c r="N139" s="563">
        <f t="shared" si="68"/>
        <v>0.94483955401014708</v>
      </c>
      <c r="O139" s="75"/>
      <c r="P139" s="454">
        <f>+'7. Polg.Hiv.'!P99-P140</f>
        <v>0</v>
      </c>
      <c r="Q139" s="75">
        <f>+'7. Polg.Hiv.'!Q99-Q140</f>
        <v>0</v>
      </c>
      <c r="R139" s="75">
        <f>+'7. Polg.Hiv.'!R99-R140</f>
        <v>0</v>
      </c>
      <c r="S139" s="75">
        <f>+'7. Polg.Hiv.'!S99-S140</f>
        <v>0</v>
      </c>
      <c r="T139" s="578">
        <f t="shared" si="100"/>
        <v>0</v>
      </c>
    </row>
    <row r="140" spans="1:20" x14ac:dyDescent="0.2">
      <c r="A140" s="430" t="str">
        <f>+A113</f>
        <v>B8-ból előző évi mardvány igénybevétele</v>
      </c>
      <c r="B140" s="58"/>
      <c r="C140" s="454">
        <f>+'7. Polg.Hiv.'!C101</f>
        <v>2218308</v>
      </c>
      <c r="D140" s="75">
        <f>+'7. Polg.Hiv.'!D101</f>
        <v>2218308</v>
      </c>
      <c r="E140" s="75">
        <f>+'7. Polg.Hiv.'!E101</f>
        <v>2218308</v>
      </c>
      <c r="F140" s="465">
        <f>+'7. Polg.Hiv.'!F101</f>
        <v>2218308</v>
      </c>
      <c r="G140" s="75"/>
      <c r="H140" s="454">
        <f>+'7. Polg.Hiv.'!H101</f>
        <v>2218308</v>
      </c>
      <c r="I140" s="75">
        <f>+'7. Polg.Hiv.'!I101</f>
        <v>2218308</v>
      </c>
      <c r="J140" s="489">
        <f>+'7. Polg.Hiv.'!J101</f>
        <v>2218308</v>
      </c>
      <c r="K140" s="75"/>
      <c r="L140" s="562">
        <f t="shared" si="66"/>
        <v>1</v>
      </c>
      <c r="M140" s="562">
        <f t="shared" si="67"/>
        <v>1</v>
      </c>
      <c r="N140" s="563">
        <f t="shared" si="68"/>
        <v>1</v>
      </c>
      <c r="O140" s="75"/>
      <c r="P140" s="454">
        <f>+'7. Polg.Hiv.'!P101</f>
        <v>0</v>
      </c>
      <c r="Q140" s="75">
        <f>+'7. Polg.Hiv.'!Q101</f>
        <v>0</v>
      </c>
      <c r="R140" s="75">
        <f>+'7. Polg.Hiv.'!R101</f>
        <v>0</v>
      </c>
      <c r="S140" s="75">
        <f>+'7. Polg.Hiv.'!S101</f>
        <v>0</v>
      </c>
      <c r="T140" s="578">
        <f t="shared" si="100"/>
        <v>0</v>
      </c>
    </row>
    <row r="141" spans="1:20" x14ac:dyDescent="0.2">
      <c r="A141" s="434"/>
      <c r="B141" s="416" t="s">
        <v>377</v>
      </c>
      <c r="C141" s="456">
        <f>SUM(C132:C140)</f>
        <v>113342899</v>
      </c>
      <c r="D141" s="417">
        <f t="shared" ref="D141" si="112">SUM(D132:D140)</f>
        <v>113342899</v>
      </c>
      <c r="E141" s="417">
        <f t="shared" ref="E141" si="113">SUM(E132:E140)</f>
        <v>113614175</v>
      </c>
      <c r="F141" s="473">
        <f t="shared" ref="F141" si="114">SUM(F132:F140)</f>
        <v>113924941</v>
      </c>
      <c r="G141" s="417"/>
      <c r="H141" s="456">
        <f t="shared" ref="H141" si="115">SUM(H132:H140)</f>
        <v>58050294</v>
      </c>
      <c r="I141" s="417">
        <f t="shared" ref="I141" si="116">SUM(I132:I140)</f>
        <v>84260392</v>
      </c>
      <c r="J141" s="418">
        <f t="shared" ref="J141" si="117">SUM(J132:J140)</f>
        <v>108818608</v>
      </c>
      <c r="K141" s="419"/>
      <c r="L141" s="566">
        <f t="shared" si="66"/>
        <v>0.51216524821727027</v>
      </c>
      <c r="M141" s="566">
        <f t="shared" si="67"/>
        <v>0.74163626149641981</v>
      </c>
      <c r="N141" s="567">
        <f t="shared" si="68"/>
        <v>0.95517809396978315</v>
      </c>
      <c r="O141" s="419"/>
      <c r="P141" s="456">
        <f t="shared" ref="P141" si="118">SUM(P132:P140)</f>
        <v>0</v>
      </c>
      <c r="Q141" s="417">
        <f t="shared" ref="Q141" si="119">SUM(Q132:Q140)</f>
        <v>271276</v>
      </c>
      <c r="R141" s="417">
        <f t="shared" ref="R141" si="120">SUM(R132:R140)</f>
        <v>310766</v>
      </c>
      <c r="S141" s="418">
        <f t="shared" ref="S141" si="121">SUM(S132:S140)</f>
        <v>582042</v>
      </c>
      <c r="T141" s="579">
        <f t="shared" si="100"/>
        <v>5.1352312772589307E-3</v>
      </c>
    </row>
    <row r="142" spans="1:20" x14ac:dyDescent="0.2">
      <c r="A142" s="433"/>
      <c r="B142" s="75"/>
      <c r="C142" s="454"/>
      <c r="D142" s="75"/>
      <c r="E142" s="75"/>
      <c r="F142" s="465"/>
      <c r="G142" s="75"/>
      <c r="H142" s="454"/>
      <c r="I142" s="75"/>
      <c r="J142" s="489"/>
      <c r="K142" s="75"/>
      <c r="L142" s="562"/>
      <c r="M142" s="562"/>
      <c r="N142" s="563"/>
      <c r="O142" s="75"/>
      <c r="P142" s="454"/>
      <c r="Q142" s="75"/>
      <c r="R142" s="75"/>
      <c r="S142" s="75"/>
      <c r="T142" s="580"/>
    </row>
    <row r="143" spans="1:20" ht="13.5" thickBot="1" x14ac:dyDescent="0.25">
      <c r="A143" s="436"/>
      <c r="B143" s="437" t="s">
        <v>463</v>
      </c>
      <c r="C143" s="458">
        <f>+C141-C130</f>
        <v>0</v>
      </c>
      <c r="D143" s="438">
        <f>+D141-D130</f>
        <v>0</v>
      </c>
      <c r="E143" s="438">
        <f>+E141-E130</f>
        <v>0</v>
      </c>
      <c r="F143" s="475">
        <f>+F141-F130</f>
        <v>0</v>
      </c>
      <c r="G143" s="438"/>
      <c r="H143" s="458">
        <f>+H141-H130</f>
        <v>4922034</v>
      </c>
      <c r="I143" s="438">
        <f>+I141-I130</f>
        <v>4504566</v>
      </c>
      <c r="J143" s="440">
        <f>+J141-J130</f>
        <v>1880110</v>
      </c>
      <c r="K143" s="439"/>
      <c r="L143" s="568" t="e">
        <f t="shared" si="66"/>
        <v>#DIV/0!</v>
      </c>
      <c r="M143" s="568" t="e">
        <f t="shared" si="67"/>
        <v>#DIV/0!</v>
      </c>
      <c r="N143" s="569" t="e">
        <f t="shared" si="68"/>
        <v>#DIV/0!</v>
      </c>
      <c r="O143" s="439"/>
      <c r="P143" s="458">
        <f>+P141-P130</f>
        <v>0</v>
      </c>
      <c r="Q143" s="438">
        <f>+Q141-Q130</f>
        <v>0</v>
      </c>
      <c r="R143" s="438">
        <f>+R141-R130</f>
        <v>0</v>
      </c>
      <c r="S143" s="440">
        <f>+S141-S130</f>
        <v>0</v>
      </c>
      <c r="T143" s="581"/>
    </row>
    <row r="144" spans="1:20" x14ac:dyDescent="0.2">
      <c r="A144" s="58"/>
      <c r="B144" s="58"/>
      <c r="C144" s="454"/>
      <c r="D144" s="75"/>
      <c r="E144" s="75"/>
      <c r="F144" s="465"/>
      <c r="G144" s="75"/>
      <c r="H144" s="454"/>
      <c r="I144" s="75"/>
      <c r="J144" s="489"/>
      <c r="K144" s="75"/>
      <c r="L144" s="562"/>
      <c r="M144" s="562"/>
      <c r="N144" s="563"/>
      <c r="O144" s="75"/>
      <c r="P144" s="454"/>
      <c r="Q144" s="75"/>
      <c r="R144" s="75"/>
      <c r="S144" s="75"/>
      <c r="T144" s="580"/>
    </row>
    <row r="145" spans="1:20" ht="13.5" thickBot="1" x14ac:dyDescent="0.25">
      <c r="A145" s="58"/>
      <c r="B145" s="58"/>
      <c r="C145" s="454"/>
      <c r="D145" s="75"/>
      <c r="E145" s="75"/>
      <c r="F145" s="465"/>
      <c r="G145" s="75"/>
      <c r="H145" s="454"/>
      <c r="I145" s="75"/>
      <c r="J145" s="489"/>
      <c r="K145" s="75"/>
      <c r="L145" s="562"/>
      <c r="M145" s="562"/>
      <c r="N145" s="563"/>
      <c r="O145" s="75"/>
      <c r="P145" s="454"/>
      <c r="Q145" s="75"/>
      <c r="R145" s="75"/>
      <c r="S145" s="75"/>
      <c r="T145" s="580"/>
    </row>
    <row r="146" spans="1:20" ht="18.75" thickBot="1" x14ac:dyDescent="0.3">
      <c r="A146" s="443" t="s">
        <v>459</v>
      </c>
      <c r="B146" s="480"/>
      <c r="C146" s="454"/>
      <c r="D146" s="75"/>
      <c r="E146" s="75"/>
      <c r="F146" s="465"/>
      <c r="G146" s="75"/>
      <c r="H146" s="454"/>
      <c r="I146" s="75"/>
      <c r="J146" s="489"/>
      <c r="K146" s="75"/>
      <c r="L146" s="562"/>
      <c r="M146" s="562"/>
      <c r="N146" s="563"/>
      <c r="O146" s="75"/>
      <c r="P146" s="454"/>
      <c r="Q146" s="75"/>
      <c r="R146" s="75"/>
      <c r="S146" s="75"/>
      <c r="T146" s="580"/>
    </row>
    <row r="147" spans="1:20" x14ac:dyDescent="0.2">
      <c r="A147" s="481"/>
      <c r="B147" s="444"/>
      <c r="C147" s="455"/>
      <c r="D147" s="446"/>
      <c r="E147" s="446"/>
      <c r="F147" s="445"/>
      <c r="G147" s="446"/>
      <c r="H147" s="455"/>
      <c r="I147" s="446"/>
      <c r="J147" s="491"/>
      <c r="K147" s="446"/>
      <c r="L147" s="570"/>
      <c r="M147" s="570"/>
      <c r="N147" s="571"/>
      <c r="O147" s="446"/>
      <c r="P147" s="455"/>
      <c r="Q147" s="446"/>
      <c r="R147" s="446"/>
      <c r="S147" s="446"/>
      <c r="T147" s="582"/>
    </row>
    <row r="148" spans="1:20" x14ac:dyDescent="0.2">
      <c r="A148" s="482" t="s">
        <v>0</v>
      </c>
      <c r="B148" s="58" t="str">
        <f t="shared" ref="B148:B156" si="122">+B121</f>
        <v>Személyi juttatások</v>
      </c>
      <c r="C148" s="454">
        <f>+'8. WAMKK'!C13</f>
        <v>14060000</v>
      </c>
      <c r="D148" s="75">
        <f>+'8. WAMKK'!D13</f>
        <v>14060000</v>
      </c>
      <c r="E148" s="75">
        <f>+'8. WAMKK'!E13</f>
        <v>14060000</v>
      </c>
      <c r="F148" s="465">
        <f>+'8. WAMKK'!F13</f>
        <v>14053263</v>
      </c>
      <c r="G148" s="75"/>
      <c r="H148" s="454">
        <f>+'8. WAMKK'!H13</f>
        <v>6508406</v>
      </c>
      <c r="I148" s="75">
        <f>+'8. WAMKK'!I13</f>
        <v>10416832</v>
      </c>
      <c r="J148" s="489">
        <f>+'8. WAMKK'!J13</f>
        <v>14053263</v>
      </c>
      <c r="K148" s="75"/>
      <c r="L148" s="562">
        <f t="shared" si="66"/>
        <v>0.46290227596017069</v>
      </c>
      <c r="M148" s="562">
        <f t="shared" si="67"/>
        <v>0.74088421052631581</v>
      </c>
      <c r="N148" s="563">
        <f t="shared" si="68"/>
        <v>1</v>
      </c>
      <c r="O148" s="75"/>
      <c r="P148" s="454">
        <f>+'8. WAMKK'!P13</f>
        <v>0</v>
      </c>
      <c r="Q148" s="75">
        <f>+'8. WAMKK'!Q13</f>
        <v>0</v>
      </c>
      <c r="R148" s="75">
        <f>+'8. WAMKK'!R13</f>
        <v>-6737</v>
      </c>
      <c r="S148" s="75">
        <f>+'8. WAMKK'!S13</f>
        <v>-6737</v>
      </c>
      <c r="T148" s="578">
        <f>IF(S148=0,0,S148/C148)</f>
        <v>-4.7916073968705549E-4</v>
      </c>
    </row>
    <row r="149" spans="1:20" x14ac:dyDescent="0.2">
      <c r="A149" s="482" t="s">
        <v>26</v>
      </c>
      <c r="B149" s="58" t="str">
        <f t="shared" si="122"/>
        <v>Munkaadót terhelő járulékok és szociális hozzájárulás</v>
      </c>
      <c r="C149" s="454">
        <f>+'8. WAMKK'!C29</f>
        <v>3122000</v>
      </c>
      <c r="D149" s="75">
        <f>+'8. WAMKK'!D29</f>
        <v>3122000</v>
      </c>
      <c r="E149" s="75">
        <f>+'8. WAMKK'!E29</f>
        <v>3122000</v>
      </c>
      <c r="F149" s="465">
        <f>+'8. WAMKK'!F29</f>
        <v>3192883</v>
      </c>
      <c r="G149" s="75"/>
      <c r="H149" s="454">
        <f>+'8. WAMKK'!H29</f>
        <v>1584849</v>
      </c>
      <c r="I149" s="75">
        <f>+'8. WAMKK'!I29</f>
        <v>2457659</v>
      </c>
      <c r="J149" s="489">
        <f>+'8. WAMKK'!J29</f>
        <v>3192883</v>
      </c>
      <c r="K149" s="75"/>
      <c r="L149" s="562">
        <f t="shared" si="66"/>
        <v>0.50763901345291484</v>
      </c>
      <c r="M149" s="562">
        <f t="shared" si="67"/>
        <v>0.78720659833440099</v>
      </c>
      <c r="N149" s="563">
        <f t="shared" si="68"/>
        <v>1</v>
      </c>
      <c r="O149" s="75"/>
      <c r="P149" s="454">
        <f>+'8. WAMKK'!P29</f>
        <v>0</v>
      </c>
      <c r="Q149" s="75">
        <f>+'8. WAMKK'!Q29</f>
        <v>0</v>
      </c>
      <c r="R149" s="75">
        <f>+'8. WAMKK'!R29</f>
        <v>70883</v>
      </c>
      <c r="S149" s="75">
        <f>+'8. WAMKK'!S29</f>
        <v>70883</v>
      </c>
      <c r="T149" s="578">
        <f t="shared" ref="T149:T168" si="123">IF(S149=0,0,S149/C149)</f>
        <v>2.2704356181934657E-2</v>
      </c>
    </row>
    <row r="150" spans="1:20" x14ac:dyDescent="0.2">
      <c r="A150" s="482" t="s">
        <v>29</v>
      </c>
      <c r="B150" s="58" t="str">
        <f t="shared" si="122"/>
        <v>Dologi kiadások</v>
      </c>
      <c r="C150" s="454">
        <f>+'8. WAMKK'!C32</f>
        <v>13613000</v>
      </c>
      <c r="D150" s="75">
        <f>+'8. WAMKK'!D32</f>
        <v>15199000</v>
      </c>
      <c r="E150" s="75">
        <f>+'8. WAMKK'!E32</f>
        <v>14945140</v>
      </c>
      <c r="F150" s="465">
        <f>+'8. WAMKK'!F32</f>
        <v>15843014</v>
      </c>
      <c r="G150" s="75"/>
      <c r="H150" s="454">
        <f>+'8. WAMKK'!H32</f>
        <v>6129626</v>
      </c>
      <c r="I150" s="75">
        <f>+'8. WAMKK'!I32</f>
        <v>12757339</v>
      </c>
      <c r="J150" s="489">
        <f>+'8. WAMKK'!J32</f>
        <v>15338667</v>
      </c>
      <c r="K150" s="75"/>
      <c r="L150" s="562">
        <f t="shared" si="66"/>
        <v>0.40329140075004932</v>
      </c>
      <c r="M150" s="562">
        <f t="shared" si="67"/>
        <v>0.85361120738915797</v>
      </c>
      <c r="N150" s="563">
        <f t="shared" si="68"/>
        <v>0.96816596892485229</v>
      </c>
      <c r="O150" s="75"/>
      <c r="P150" s="454">
        <f>+'8. WAMKK'!P32</f>
        <v>1586000</v>
      </c>
      <c r="Q150" s="75">
        <f>+'8. WAMKK'!Q32</f>
        <v>-253860</v>
      </c>
      <c r="R150" s="75">
        <f>+'8. WAMKK'!R32</f>
        <v>897874</v>
      </c>
      <c r="S150" s="75">
        <f>+'8. WAMKK'!S32</f>
        <v>2230014</v>
      </c>
      <c r="T150" s="578">
        <f t="shared" si="123"/>
        <v>0.16381502975097334</v>
      </c>
    </row>
    <row r="151" spans="1:20" x14ac:dyDescent="0.2">
      <c r="A151" s="482" t="s">
        <v>111</v>
      </c>
      <c r="B151" s="58" t="str">
        <f t="shared" si="122"/>
        <v>Elláttotak pénzpeli juttatásai</v>
      </c>
      <c r="C151" s="454"/>
      <c r="D151" s="75"/>
      <c r="E151" s="75"/>
      <c r="F151" s="465"/>
      <c r="G151" s="75"/>
      <c r="H151" s="454"/>
      <c r="I151" s="75"/>
      <c r="J151" s="489"/>
      <c r="K151" s="75"/>
      <c r="L151" s="562" t="e">
        <f t="shared" si="66"/>
        <v>#DIV/0!</v>
      </c>
      <c r="M151" s="562" t="e">
        <f t="shared" si="67"/>
        <v>#DIV/0!</v>
      </c>
      <c r="N151" s="563" t="e">
        <f t="shared" si="68"/>
        <v>#DIV/0!</v>
      </c>
      <c r="O151" s="75"/>
      <c r="P151" s="454"/>
      <c r="Q151" s="75"/>
      <c r="R151" s="75"/>
      <c r="S151" s="75"/>
      <c r="T151" s="578">
        <f t="shared" si="123"/>
        <v>0</v>
      </c>
    </row>
    <row r="152" spans="1:20" x14ac:dyDescent="0.2">
      <c r="A152" s="483" t="s">
        <v>376</v>
      </c>
      <c r="B152" s="58" t="str">
        <f t="shared" si="122"/>
        <v>Egyéb működési célú kiadások</v>
      </c>
      <c r="C152" s="454"/>
      <c r="D152" s="75"/>
      <c r="E152" s="75"/>
      <c r="F152" s="465"/>
      <c r="G152" s="75"/>
      <c r="H152" s="454"/>
      <c r="I152" s="75"/>
      <c r="J152" s="489"/>
      <c r="K152" s="75"/>
      <c r="L152" s="562" t="e">
        <f t="shared" ref="L152:L197" si="124">H152/D152</f>
        <v>#DIV/0!</v>
      </c>
      <c r="M152" s="562" t="e">
        <f t="shared" ref="M152:M197" si="125">I152/E152</f>
        <v>#DIV/0!</v>
      </c>
      <c r="N152" s="563" t="e">
        <f t="shared" ref="N152:N197" si="126">J152/F152</f>
        <v>#DIV/0!</v>
      </c>
      <c r="O152" s="75"/>
      <c r="P152" s="454"/>
      <c r="Q152" s="75"/>
      <c r="R152" s="75"/>
      <c r="S152" s="75"/>
      <c r="T152" s="578">
        <f t="shared" si="123"/>
        <v>0</v>
      </c>
    </row>
    <row r="153" spans="1:20" x14ac:dyDescent="0.2">
      <c r="A153" s="482" t="s">
        <v>158</v>
      </c>
      <c r="B153" s="58" t="str">
        <f t="shared" si="122"/>
        <v>Beruházások</v>
      </c>
      <c r="C153" s="454">
        <f>+'8. WAMKK'!C83</f>
        <v>350000</v>
      </c>
      <c r="D153" s="75">
        <f>+'8. WAMKK'!D83</f>
        <v>364000</v>
      </c>
      <c r="E153" s="75">
        <f>+'8. WAMKK'!E83</f>
        <v>617860</v>
      </c>
      <c r="F153" s="465">
        <f>+'8. WAMKK'!F83</f>
        <v>655840</v>
      </c>
      <c r="G153" s="75"/>
      <c r="H153" s="454">
        <f>+'8. WAMKK'!H83</f>
        <v>362960</v>
      </c>
      <c r="I153" s="75">
        <f>+'8. WAMKK'!I83</f>
        <v>617860</v>
      </c>
      <c r="J153" s="489">
        <f>+'8. WAMKK'!J83</f>
        <v>655840</v>
      </c>
      <c r="K153" s="75"/>
      <c r="L153" s="562">
        <f t="shared" si="124"/>
        <v>0.99714285714285711</v>
      </c>
      <c r="M153" s="562">
        <f t="shared" si="125"/>
        <v>1</v>
      </c>
      <c r="N153" s="563">
        <f t="shared" si="126"/>
        <v>1</v>
      </c>
      <c r="O153" s="75"/>
      <c r="P153" s="454">
        <f>+'8. WAMKK'!P83</f>
        <v>14000</v>
      </c>
      <c r="Q153" s="75">
        <f>+'8. WAMKK'!Q83</f>
        <v>253860</v>
      </c>
      <c r="R153" s="75">
        <f>+'8. WAMKK'!R83</f>
        <v>37980</v>
      </c>
      <c r="S153" s="75">
        <f>+'8. WAMKK'!S83</f>
        <v>305840</v>
      </c>
      <c r="T153" s="578">
        <f t="shared" si="123"/>
        <v>0.8738285714285714</v>
      </c>
    </row>
    <row r="154" spans="1:20" x14ac:dyDescent="0.2">
      <c r="A154" s="482" t="s">
        <v>173</v>
      </c>
      <c r="B154" s="58" t="str">
        <f t="shared" si="122"/>
        <v>Felújítások</v>
      </c>
      <c r="C154" s="454">
        <f>+'8. WAMKK'!C86</f>
        <v>0</v>
      </c>
      <c r="D154" s="75">
        <f>+'8. WAMKK'!D86</f>
        <v>0</v>
      </c>
      <c r="E154" s="75">
        <f>+'8. WAMKK'!E86</f>
        <v>0</v>
      </c>
      <c r="F154" s="465">
        <f>+'8. WAMKK'!F86</f>
        <v>0</v>
      </c>
      <c r="G154" s="75"/>
      <c r="H154" s="454">
        <f>+'8. WAMKK'!H86</f>
        <v>0</v>
      </c>
      <c r="I154" s="75">
        <f>+'8. WAMKK'!I86</f>
        <v>0</v>
      </c>
      <c r="J154" s="489">
        <f>+'8. WAMKK'!J86</f>
        <v>0</v>
      </c>
      <c r="K154" s="75"/>
      <c r="L154" s="562" t="e">
        <f t="shared" si="124"/>
        <v>#DIV/0!</v>
      </c>
      <c r="M154" s="562" t="e">
        <f t="shared" si="125"/>
        <v>#DIV/0!</v>
      </c>
      <c r="N154" s="563" t="e">
        <f t="shared" si="126"/>
        <v>#DIV/0!</v>
      </c>
      <c r="O154" s="75"/>
      <c r="P154" s="454">
        <f>+'8. WAMKK'!P86</f>
        <v>0</v>
      </c>
      <c r="Q154" s="75">
        <f>+'8. WAMKK'!Q86</f>
        <v>0</v>
      </c>
      <c r="R154" s="75">
        <f>+'8. WAMKK'!R86</f>
        <v>0</v>
      </c>
      <c r="S154" s="75">
        <f>+'8. WAMKK'!S86</f>
        <v>0</v>
      </c>
      <c r="T154" s="578">
        <f t="shared" si="123"/>
        <v>0</v>
      </c>
    </row>
    <row r="155" spans="1:20" x14ac:dyDescent="0.2">
      <c r="A155" s="482" t="s">
        <v>183</v>
      </c>
      <c r="B155" s="58" t="str">
        <f t="shared" si="122"/>
        <v>Szolgáltatások kiadásai</v>
      </c>
      <c r="C155" s="454"/>
      <c r="D155" s="75"/>
      <c r="E155" s="75"/>
      <c r="F155" s="465"/>
      <c r="G155" s="75"/>
      <c r="H155" s="454"/>
      <c r="I155" s="75"/>
      <c r="J155" s="489"/>
      <c r="K155" s="75"/>
      <c r="L155" s="562" t="e">
        <f t="shared" si="124"/>
        <v>#DIV/0!</v>
      </c>
      <c r="M155" s="562" t="e">
        <f t="shared" si="125"/>
        <v>#DIV/0!</v>
      </c>
      <c r="N155" s="563" t="e">
        <f t="shared" si="126"/>
        <v>#DIV/0!</v>
      </c>
      <c r="O155" s="75"/>
      <c r="P155" s="454"/>
      <c r="Q155" s="75"/>
      <c r="R155" s="75"/>
      <c r="S155" s="75"/>
      <c r="T155" s="578">
        <f t="shared" si="123"/>
        <v>0</v>
      </c>
    </row>
    <row r="156" spans="1:20" x14ac:dyDescent="0.2">
      <c r="A156" s="482" t="s">
        <v>201</v>
      </c>
      <c r="B156" s="58" t="str">
        <f t="shared" si="122"/>
        <v>Finanszírozási kiadások</v>
      </c>
      <c r="C156" s="454"/>
      <c r="D156" s="75"/>
      <c r="E156" s="75"/>
      <c r="F156" s="465"/>
      <c r="G156" s="75"/>
      <c r="H156" s="454"/>
      <c r="I156" s="75"/>
      <c r="J156" s="489"/>
      <c r="K156" s="75"/>
      <c r="L156" s="562" t="e">
        <f t="shared" si="124"/>
        <v>#DIV/0!</v>
      </c>
      <c r="M156" s="562" t="e">
        <f t="shared" si="125"/>
        <v>#DIV/0!</v>
      </c>
      <c r="N156" s="563" t="e">
        <f t="shared" si="126"/>
        <v>#DIV/0!</v>
      </c>
      <c r="O156" s="75"/>
      <c r="P156" s="454"/>
      <c r="Q156" s="75"/>
      <c r="R156" s="75"/>
      <c r="S156" s="75"/>
      <c r="T156" s="578">
        <f t="shared" si="123"/>
        <v>0</v>
      </c>
    </row>
    <row r="157" spans="1:20" x14ac:dyDescent="0.2">
      <c r="A157" s="484"/>
      <c r="B157" s="420" t="s">
        <v>378</v>
      </c>
      <c r="C157" s="459">
        <f>SUM(C148:C156)</f>
        <v>31145000</v>
      </c>
      <c r="D157" s="421">
        <f t="shared" ref="D157" si="127">SUM(D148:D156)</f>
        <v>32745000</v>
      </c>
      <c r="E157" s="421">
        <f t="shared" ref="E157" si="128">SUM(E148:E156)</f>
        <v>32745000</v>
      </c>
      <c r="F157" s="478">
        <f t="shared" ref="F157" si="129">SUM(F148:F156)</f>
        <v>33745000</v>
      </c>
      <c r="G157" s="421"/>
      <c r="H157" s="459">
        <f t="shared" ref="H157" si="130">SUM(H148:H156)</f>
        <v>14585841</v>
      </c>
      <c r="I157" s="421">
        <f t="shared" ref="I157" si="131">SUM(I148:I156)</f>
        <v>26249690</v>
      </c>
      <c r="J157" s="423">
        <f t="shared" ref="J157" si="132">SUM(J148:J156)</f>
        <v>33240653</v>
      </c>
      <c r="K157" s="424"/>
      <c r="L157" s="572">
        <f t="shared" si="124"/>
        <v>0.44543719651855246</v>
      </c>
      <c r="M157" s="572">
        <f t="shared" si="125"/>
        <v>0.80163963963963969</v>
      </c>
      <c r="N157" s="573">
        <f t="shared" si="126"/>
        <v>0.98505417098829451</v>
      </c>
      <c r="O157" s="424"/>
      <c r="P157" s="459">
        <f t="shared" ref="P157" si="133">SUM(P148:P156)</f>
        <v>1600000</v>
      </c>
      <c r="Q157" s="421">
        <f t="shared" ref="Q157" si="134">SUM(Q148:Q156)</f>
        <v>0</v>
      </c>
      <c r="R157" s="421">
        <f t="shared" ref="R157" si="135">SUM(R148:R156)</f>
        <v>1000000</v>
      </c>
      <c r="S157" s="423">
        <f t="shared" ref="S157" si="136">SUM(S148:S156)</f>
        <v>2600000</v>
      </c>
      <c r="T157" s="579">
        <f t="shared" si="123"/>
        <v>8.3480494461390276E-2</v>
      </c>
    </row>
    <row r="158" spans="1:20" x14ac:dyDescent="0.2">
      <c r="A158" s="433"/>
      <c r="C158" s="433"/>
      <c r="F158" s="476"/>
      <c r="H158" s="433"/>
      <c r="J158" s="487"/>
      <c r="L158" s="562"/>
      <c r="M158" s="562"/>
      <c r="N158" s="563"/>
      <c r="P158" s="433"/>
      <c r="T158" s="578"/>
    </row>
    <row r="159" spans="1:20" x14ac:dyDescent="0.2">
      <c r="A159" s="430" t="str">
        <f t="shared" ref="A159:B165" si="137">+A132</f>
        <v>B1</v>
      </c>
      <c r="B159" s="58" t="str">
        <f t="shared" si="137"/>
        <v>Működési célú tám-ok államháztartáson belülről</v>
      </c>
      <c r="C159" s="454">
        <f>+'8. WAMKK'!C93</f>
        <v>0</v>
      </c>
      <c r="D159" s="75">
        <f>+'8. WAMKK'!D93</f>
        <v>0</v>
      </c>
      <c r="E159" s="75">
        <f>+'8. WAMKK'!E93</f>
        <v>0</v>
      </c>
      <c r="F159" s="465">
        <f>+'8. WAMKK'!F93</f>
        <v>1000000</v>
      </c>
      <c r="G159" s="75"/>
      <c r="H159" s="454">
        <f>+'8. WAMKK'!H93</f>
        <v>0</v>
      </c>
      <c r="I159" s="75">
        <f>+'8. WAMKK'!I93</f>
        <v>1000000</v>
      </c>
      <c r="J159" s="489">
        <f>+'8. WAMKK'!J93</f>
        <v>1000000</v>
      </c>
      <c r="K159" s="75"/>
      <c r="L159" s="562" t="e">
        <f t="shared" si="124"/>
        <v>#DIV/0!</v>
      </c>
      <c r="M159" s="562" t="e">
        <f t="shared" si="125"/>
        <v>#DIV/0!</v>
      </c>
      <c r="N159" s="563">
        <f t="shared" si="126"/>
        <v>1</v>
      </c>
      <c r="O159" s="75"/>
      <c r="P159" s="454">
        <f>+'8. WAMKK'!P93</f>
        <v>0</v>
      </c>
      <c r="Q159" s="75">
        <f>+'8. WAMKK'!Q93</f>
        <v>0</v>
      </c>
      <c r="R159" s="75">
        <f>+'8. WAMKK'!R93</f>
        <v>1000000</v>
      </c>
      <c r="S159" s="75">
        <f>+'8. WAMKK'!S93</f>
        <v>1000000</v>
      </c>
      <c r="T159" s="578" t="e">
        <f t="shared" si="123"/>
        <v>#DIV/0!</v>
      </c>
    </row>
    <row r="160" spans="1:20" x14ac:dyDescent="0.2">
      <c r="A160" s="430" t="str">
        <f t="shared" si="137"/>
        <v>B2</v>
      </c>
      <c r="B160" s="58" t="str">
        <f t="shared" si="137"/>
        <v>Felhalmozási célú tám-ok államházt-on belülről</v>
      </c>
      <c r="C160" s="454"/>
      <c r="D160" s="75"/>
      <c r="E160" s="75"/>
      <c r="F160" s="465"/>
      <c r="G160" s="75"/>
      <c r="H160" s="454"/>
      <c r="I160" s="75"/>
      <c r="J160" s="489"/>
      <c r="K160" s="75"/>
      <c r="L160" s="562" t="e">
        <f t="shared" si="124"/>
        <v>#DIV/0!</v>
      </c>
      <c r="M160" s="562" t="e">
        <f t="shared" si="125"/>
        <v>#DIV/0!</v>
      </c>
      <c r="N160" s="563" t="e">
        <f t="shared" si="126"/>
        <v>#DIV/0!</v>
      </c>
      <c r="O160" s="75"/>
      <c r="P160" s="454"/>
      <c r="Q160" s="75"/>
      <c r="R160" s="75"/>
      <c r="S160" s="75"/>
      <c r="T160" s="578">
        <f t="shared" si="123"/>
        <v>0</v>
      </c>
    </row>
    <row r="161" spans="1:20" x14ac:dyDescent="0.2">
      <c r="A161" s="430" t="str">
        <f t="shared" si="137"/>
        <v>B3</v>
      </c>
      <c r="B161" s="58" t="str">
        <f t="shared" si="137"/>
        <v>Közhatalmi bevételek</v>
      </c>
      <c r="C161" s="454"/>
      <c r="D161" s="75"/>
      <c r="E161" s="75"/>
      <c r="F161" s="465"/>
      <c r="G161" s="75"/>
      <c r="H161" s="454"/>
      <c r="I161" s="75"/>
      <c r="J161" s="489"/>
      <c r="K161" s="75"/>
      <c r="L161" s="562" t="e">
        <f t="shared" si="124"/>
        <v>#DIV/0!</v>
      </c>
      <c r="M161" s="562" t="e">
        <f t="shared" si="125"/>
        <v>#DIV/0!</v>
      </c>
      <c r="N161" s="563" t="e">
        <f t="shared" si="126"/>
        <v>#DIV/0!</v>
      </c>
      <c r="O161" s="75"/>
      <c r="P161" s="454"/>
      <c r="Q161" s="75"/>
      <c r="R161" s="75"/>
      <c r="S161" s="75"/>
      <c r="T161" s="578">
        <f t="shared" si="123"/>
        <v>0</v>
      </c>
    </row>
    <row r="162" spans="1:20" x14ac:dyDescent="0.2">
      <c r="A162" s="430" t="str">
        <f t="shared" si="137"/>
        <v>B4</v>
      </c>
      <c r="B162" s="58" t="str">
        <f t="shared" si="137"/>
        <v>Működési bevételek</v>
      </c>
      <c r="C162" s="454">
        <f>+'8. WAMKK'!C95</f>
        <v>1521000</v>
      </c>
      <c r="D162" s="75">
        <f>+'8. WAMKK'!D95</f>
        <v>1521000</v>
      </c>
      <c r="E162" s="75">
        <f>+'8. WAMKK'!E95</f>
        <v>1521000</v>
      </c>
      <c r="F162" s="465">
        <f>+'8. WAMKK'!F95</f>
        <v>1978750</v>
      </c>
      <c r="G162" s="75"/>
      <c r="H162" s="454">
        <f>+'8. WAMKK'!H95</f>
        <v>749529</v>
      </c>
      <c r="I162" s="75">
        <f>+'8. WAMKK'!I95</f>
        <v>1303489</v>
      </c>
      <c r="J162" s="489">
        <f>+'8. WAMKK'!J95</f>
        <v>1990009</v>
      </c>
      <c r="K162" s="75"/>
      <c r="L162" s="562">
        <f t="shared" si="124"/>
        <v>0.49278698224852069</v>
      </c>
      <c r="M162" s="562">
        <f t="shared" si="125"/>
        <v>0.85699474030243261</v>
      </c>
      <c r="N162" s="563">
        <f t="shared" si="126"/>
        <v>1.0056899557801642</v>
      </c>
      <c r="O162" s="75"/>
      <c r="P162" s="454">
        <f>+'8. WAMKK'!P95</f>
        <v>0</v>
      </c>
      <c r="Q162" s="75">
        <f>+'8. WAMKK'!Q95</f>
        <v>0</v>
      </c>
      <c r="R162" s="75">
        <f>+'8. WAMKK'!R95</f>
        <v>457750</v>
      </c>
      <c r="S162" s="75">
        <f>+'8. WAMKK'!S95</f>
        <v>457750</v>
      </c>
      <c r="T162" s="578">
        <f t="shared" si="123"/>
        <v>0.30095332018408943</v>
      </c>
    </row>
    <row r="163" spans="1:20" x14ac:dyDescent="0.2">
      <c r="A163" s="430" t="str">
        <f t="shared" si="137"/>
        <v>B5</v>
      </c>
      <c r="B163" s="58" t="str">
        <f t="shared" si="137"/>
        <v>Felhalmozási bevételek</v>
      </c>
      <c r="C163" s="454"/>
      <c r="D163" s="75"/>
      <c r="E163" s="75"/>
      <c r="F163" s="465"/>
      <c r="G163" s="75"/>
      <c r="H163" s="454"/>
      <c r="I163" s="75"/>
      <c r="J163" s="489"/>
      <c r="K163" s="75"/>
      <c r="L163" s="562" t="e">
        <f t="shared" si="124"/>
        <v>#DIV/0!</v>
      </c>
      <c r="M163" s="562" t="e">
        <f t="shared" si="125"/>
        <v>#DIV/0!</v>
      </c>
      <c r="N163" s="563" t="e">
        <f t="shared" si="126"/>
        <v>#DIV/0!</v>
      </c>
      <c r="O163" s="75"/>
      <c r="P163" s="454"/>
      <c r="Q163" s="75"/>
      <c r="R163" s="75"/>
      <c r="S163" s="75"/>
      <c r="T163" s="578">
        <f t="shared" si="123"/>
        <v>0</v>
      </c>
    </row>
    <row r="164" spans="1:20" x14ac:dyDescent="0.2">
      <c r="A164" s="430" t="str">
        <f t="shared" si="137"/>
        <v>B6</v>
      </c>
      <c r="B164" s="58" t="str">
        <f t="shared" si="137"/>
        <v>Működési célú átvett pénzeszközök</v>
      </c>
      <c r="C164" s="454"/>
      <c r="D164" s="75"/>
      <c r="E164" s="75"/>
      <c r="F164" s="465"/>
      <c r="G164" s="75"/>
      <c r="H164" s="454"/>
      <c r="I164" s="75"/>
      <c r="J164" s="489"/>
      <c r="K164" s="75"/>
      <c r="L164" s="562" t="e">
        <f t="shared" si="124"/>
        <v>#DIV/0!</v>
      </c>
      <c r="M164" s="562" t="e">
        <f t="shared" si="125"/>
        <v>#DIV/0!</v>
      </c>
      <c r="N164" s="563" t="e">
        <f t="shared" si="126"/>
        <v>#DIV/0!</v>
      </c>
      <c r="O164" s="75"/>
      <c r="P164" s="454"/>
      <c r="Q164" s="75"/>
      <c r="R164" s="75"/>
      <c r="S164" s="75"/>
      <c r="T164" s="578">
        <f t="shared" si="123"/>
        <v>0</v>
      </c>
    </row>
    <row r="165" spans="1:20" x14ac:dyDescent="0.2">
      <c r="A165" s="430" t="str">
        <f t="shared" si="137"/>
        <v>B7</v>
      </c>
      <c r="B165" s="58" t="str">
        <f t="shared" si="137"/>
        <v>Felhalmozási célú átvett pénzeszközök</v>
      </c>
      <c r="C165" s="454"/>
      <c r="D165" s="75"/>
      <c r="E165" s="75"/>
      <c r="F165" s="465"/>
      <c r="G165" s="75"/>
      <c r="H165" s="454"/>
      <c r="I165" s="75"/>
      <c r="J165" s="489"/>
      <c r="K165" s="75"/>
      <c r="L165" s="562" t="e">
        <f t="shared" si="124"/>
        <v>#DIV/0!</v>
      </c>
      <c r="M165" s="562" t="e">
        <f t="shared" si="125"/>
        <v>#DIV/0!</v>
      </c>
      <c r="N165" s="563" t="e">
        <f t="shared" si="126"/>
        <v>#DIV/0!</v>
      </c>
      <c r="O165" s="75"/>
      <c r="P165" s="454"/>
      <c r="Q165" s="75"/>
      <c r="R165" s="75"/>
      <c r="S165" s="75"/>
      <c r="T165" s="578">
        <f t="shared" si="123"/>
        <v>0</v>
      </c>
    </row>
    <row r="166" spans="1:20" x14ac:dyDescent="0.2">
      <c r="A166" s="430" t="str">
        <f>+A139</f>
        <v>B8-ból maradványértéken túli finanszírozási bevételek</v>
      </c>
      <c r="B166" s="58"/>
      <c r="C166" s="454">
        <f>+'8. WAMKK'!C99-C167</f>
        <v>29366179</v>
      </c>
      <c r="D166" s="75">
        <f>+'8. WAMKK'!D99-D167</f>
        <v>30966179</v>
      </c>
      <c r="E166" s="75">
        <f>+'8. WAMKK'!E99-E167</f>
        <v>30966179</v>
      </c>
      <c r="F166" s="465">
        <f>+'8. WAMKK'!F99-F167</f>
        <v>30508429</v>
      </c>
      <c r="G166" s="75"/>
      <c r="H166" s="454">
        <f>+'8. WAMKK'!H99-H167</f>
        <v>16263376</v>
      </c>
      <c r="I166" s="75">
        <f>+'8. WAMKK'!I99-I167</f>
        <v>26227032</v>
      </c>
      <c r="J166" s="489">
        <f>+'8. WAMKK'!J99-J167</f>
        <v>30508429</v>
      </c>
      <c r="K166" s="75"/>
      <c r="L166" s="562">
        <f t="shared" si="124"/>
        <v>0.52519802330148646</v>
      </c>
      <c r="M166" s="562">
        <f t="shared" si="125"/>
        <v>0.84695732075952934</v>
      </c>
      <c r="N166" s="563">
        <f t="shared" si="126"/>
        <v>1</v>
      </c>
      <c r="O166" s="75"/>
      <c r="P166" s="454">
        <f>+'8. WAMKK'!P99-P167</f>
        <v>1600000</v>
      </c>
      <c r="Q166" s="75">
        <f>+'8. WAMKK'!Q99-Q167</f>
        <v>0</v>
      </c>
      <c r="R166" s="75">
        <f>+'8. WAMKK'!R99-R167</f>
        <v>-457750</v>
      </c>
      <c r="S166" s="75">
        <f>+'8. WAMKK'!S99-S167</f>
        <v>1142250</v>
      </c>
      <c r="T166" s="578">
        <f t="shared" si="123"/>
        <v>3.889678667422139E-2</v>
      </c>
    </row>
    <row r="167" spans="1:20" x14ac:dyDescent="0.2">
      <c r="A167" s="430" t="str">
        <f>+A140</f>
        <v>B8-ból előző évi mardvány igénybevétele</v>
      </c>
      <c r="B167" s="58"/>
      <c r="C167" s="454">
        <f>+'8. WAMKK'!C101</f>
        <v>257821</v>
      </c>
      <c r="D167" s="75">
        <f>+'8. WAMKK'!D101</f>
        <v>257821</v>
      </c>
      <c r="E167" s="75">
        <f>+'8. WAMKK'!E101</f>
        <v>257821</v>
      </c>
      <c r="F167" s="465">
        <f>+'8. WAMKK'!F101</f>
        <v>257821</v>
      </c>
      <c r="G167" s="75"/>
      <c r="H167" s="454">
        <f>+'8. WAMKK'!H101</f>
        <v>257821</v>
      </c>
      <c r="I167" s="75">
        <f>+'8. WAMKK'!I101</f>
        <v>257821</v>
      </c>
      <c r="J167" s="489">
        <f>+'8. WAMKK'!J101</f>
        <v>257821</v>
      </c>
      <c r="K167" s="75"/>
      <c r="L167" s="562">
        <f t="shared" si="124"/>
        <v>1</v>
      </c>
      <c r="M167" s="562">
        <f t="shared" si="125"/>
        <v>1</v>
      </c>
      <c r="N167" s="563">
        <f t="shared" si="126"/>
        <v>1</v>
      </c>
      <c r="O167" s="75"/>
      <c r="P167" s="454">
        <f>+'8. WAMKK'!P101</f>
        <v>0</v>
      </c>
      <c r="Q167" s="75">
        <f>+'8. WAMKK'!Q101</f>
        <v>0</v>
      </c>
      <c r="R167" s="75">
        <f>+'8. WAMKK'!R101</f>
        <v>0</v>
      </c>
      <c r="S167" s="75">
        <f>+'8. WAMKK'!S101</f>
        <v>0</v>
      </c>
      <c r="T167" s="578">
        <f t="shared" si="123"/>
        <v>0</v>
      </c>
    </row>
    <row r="168" spans="1:20" x14ac:dyDescent="0.2">
      <c r="A168" s="485"/>
      <c r="B168" s="420" t="s">
        <v>377</v>
      </c>
      <c r="C168" s="459">
        <f>SUM(C159:C167)</f>
        <v>31145000</v>
      </c>
      <c r="D168" s="421">
        <f t="shared" ref="D168" si="138">SUM(D159:D167)</f>
        <v>32745000</v>
      </c>
      <c r="E168" s="421">
        <f t="shared" ref="E168" si="139">SUM(E159:E167)</f>
        <v>32745000</v>
      </c>
      <c r="F168" s="478">
        <f t="shared" ref="F168" si="140">SUM(F159:F167)</f>
        <v>33745000</v>
      </c>
      <c r="G168" s="421"/>
      <c r="H168" s="459">
        <f t="shared" ref="H168" si="141">SUM(H159:H167)</f>
        <v>17270726</v>
      </c>
      <c r="I168" s="421">
        <f t="shared" ref="I168" si="142">SUM(I159:I167)</f>
        <v>28788342</v>
      </c>
      <c r="J168" s="423">
        <f t="shared" ref="J168" si="143">SUM(J159:J167)</f>
        <v>33756259</v>
      </c>
      <c r="K168" s="422"/>
      <c r="L168" s="574">
        <f t="shared" si="124"/>
        <v>0.52743093602076652</v>
      </c>
      <c r="M168" s="574">
        <f t="shared" si="125"/>
        <v>0.87916756756756753</v>
      </c>
      <c r="N168" s="575">
        <f t="shared" si="126"/>
        <v>1.0003336494295452</v>
      </c>
      <c r="O168" s="422"/>
      <c r="P168" s="459">
        <f t="shared" ref="P168" si="144">SUM(P159:P167)</f>
        <v>1600000</v>
      </c>
      <c r="Q168" s="421">
        <f t="shared" ref="Q168" si="145">SUM(Q159:Q167)</f>
        <v>0</v>
      </c>
      <c r="R168" s="421">
        <f t="shared" ref="R168" si="146">SUM(R159:R167)</f>
        <v>1000000</v>
      </c>
      <c r="S168" s="423">
        <f t="shared" ref="S168" si="147">SUM(S159:S167)</f>
        <v>2600000</v>
      </c>
      <c r="T168" s="579">
        <f t="shared" si="123"/>
        <v>8.3480494461390276E-2</v>
      </c>
    </row>
    <row r="169" spans="1:20" x14ac:dyDescent="0.2">
      <c r="A169" s="433"/>
      <c r="B169" s="75"/>
      <c r="C169" s="454"/>
      <c r="D169" s="75"/>
      <c r="E169" s="75"/>
      <c r="F169" s="465"/>
      <c r="G169" s="75"/>
      <c r="H169" s="454"/>
      <c r="I169" s="75"/>
      <c r="J169" s="489"/>
      <c r="K169" s="75"/>
      <c r="L169" s="562"/>
      <c r="M169" s="562"/>
      <c r="N169" s="563"/>
      <c r="O169" s="75"/>
      <c r="P169" s="454"/>
      <c r="Q169" s="75"/>
      <c r="R169" s="75"/>
      <c r="S169" s="75"/>
      <c r="T169" s="580"/>
    </row>
    <row r="170" spans="1:20" ht="13.5" thickBot="1" x14ac:dyDescent="0.25">
      <c r="A170" s="436"/>
      <c r="B170" s="437" t="s">
        <v>463</v>
      </c>
      <c r="C170" s="458">
        <f>+C168-C157</f>
        <v>0</v>
      </c>
      <c r="D170" s="438">
        <f>+D168-D157</f>
        <v>0</v>
      </c>
      <c r="E170" s="438">
        <f>+E168-E157</f>
        <v>0</v>
      </c>
      <c r="F170" s="475">
        <f>+F168-F157</f>
        <v>0</v>
      </c>
      <c r="G170" s="438"/>
      <c r="H170" s="458">
        <f>+H168-H157</f>
        <v>2684885</v>
      </c>
      <c r="I170" s="438">
        <f>+I168-I157</f>
        <v>2538652</v>
      </c>
      <c r="J170" s="440">
        <f>+J168-J157</f>
        <v>515606</v>
      </c>
      <c r="K170" s="439"/>
      <c r="L170" s="568" t="e">
        <f t="shared" si="124"/>
        <v>#DIV/0!</v>
      </c>
      <c r="M170" s="568" t="e">
        <f t="shared" si="125"/>
        <v>#DIV/0!</v>
      </c>
      <c r="N170" s="569" t="e">
        <f t="shared" si="126"/>
        <v>#DIV/0!</v>
      </c>
      <c r="O170" s="439"/>
      <c r="P170" s="458">
        <f>+P168-P157</f>
        <v>0</v>
      </c>
      <c r="Q170" s="438">
        <f>+Q168-Q157</f>
        <v>0</v>
      </c>
      <c r="R170" s="438">
        <f>+R168-R157</f>
        <v>0</v>
      </c>
      <c r="S170" s="440">
        <f>+S168-S157</f>
        <v>0</v>
      </c>
      <c r="T170" s="581"/>
    </row>
    <row r="171" spans="1:20" x14ac:dyDescent="0.2">
      <c r="B171" s="75"/>
      <c r="C171" s="454"/>
      <c r="D171" s="75"/>
      <c r="E171" s="75"/>
      <c r="F171" s="465"/>
      <c r="G171" s="75"/>
      <c r="H171" s="454"/>
      <c r="I171" s="75"/>
      <c r="J171" s="489"/>
      <c r="K171" s="75"/>
      <c r="L171" s="562"/>
      <c r="M171" s="562"/>
      <c r="N171" s="563"/>
      <c r="O171" s="75"/>
      <c r="P171" s="454"/>
      <c r="Q171" s="75"/>
      <c r="R171" s="75"/>
      <c r="S171" s="75"/>
      <c r="T171" s="580"/>
    </row>
    <row r="172" spans="1:20" ht="13.5" thickBot="1" x14ac:dyDescent="0.25">
      <c r="B172" s="75"/>
      <c r="C172" s="454"/>
      <c r="D172" s="75"/>
      <c r="E172" s="75"/>
      <c r="F172" s="465"/>
      <c r="G172" s="75"/>
      <c r="H172" s="454"/>
      <c r="I172" s="75"/>
      <c r="J172" s="489"/>
      <c r="K172" s="75"/>
      <c r="L172" s="562"/>
      <c r="M172" s="562"/>
      <c r="N172" s="563"/>
      <c r="O172" s="75"/>
      <c r="P172" s="454"/>
      <c r="Q172" s="75"/>
      <c r="R172" s="75"/>
      <c r="S172" s="75"/>
      <c r="T172" s="580"/>
    </row>
    <row r="173" spans="1:20" ht="18.75" thickBot="1" x14ac:dyDescent="0.3">
      <c r="A173" s="443" t="s">
        <v>431</v>
      </c>
      <c r="B173" s="445"/>
      <c r="C173" s="454"/>
      <c r="D173" s="75"/>
      <c r="E173" s="75"/>
      <c r="F173" s="465"/>
      <c r="G173" s="75"/>
      <c r="H173" s="454"/>
      <c r="I173" s="75"/>
      <c r="J173" s="489"/>
      <c r="K173" s="75"/>
      <c r="L173" s="562"/>
      <c r="M173" s="562"/>
      <c r="N173" s="563"/>
      <c r="O173" s="75"/>
      <c r="P173" s="454"/>
      <c r="Q173" s="75"/>
      <c r="R173" s="75"/>
      <c r="S173" s="75"/>
      <c r="T173" s="580"/>
    </row>
    <row r="174" spans="1:20" x14ac:dyDescent="0.2">
      <c r="A174" s="455"/>
      <c r="B174" s="446"/>
      <c r="C174" s="455"/>
      <c r="D174" s="446"/>
      <c r="E174" s="446"/>
      <c r="F174" s="445"/>
      <c r="G174" s="446"/>
      <c r="H174" s="455"/>
      <c r="I174" s="446"/>
      <c r="J174" s="491"/>
      <c r="K174" s="446"/>
      <c r="L174" s="570"/>
      <c r="M174" s="570"/>
      <c r="N174" s="571"/>
      <c r="O174" s="446"/>
      <c r="P174" s="455"/>
      <c r="Q174" s="446"/>
      <c r="R174" s="446"/>
      <c r="S174" s="446"/>
      <c r="T174" s="582"/>
    </row>
    <row r="175" spans="1:20" x14ac:dyDescent="0.2">
      <c r="A175" s="430" t="s">
        <v>0</v>
      </c>
      <c r="B175" s="58" t="str">
        <f t="shared" ref="B175:B183" si="148">+B148</f>
        <v>Személyi juttatások</v>
      </c>
      <c r="C175" s="454">
        <f>+'9. Közp. Konyha'!C13</f>
        <v>23625000</v>
      </c>
      <c r="D175" s="75">
        <f>+'9. Közp. Konyha'!D13</f>
        <v>23625000</v>
      </c>
      <c r="E175" s="75">
        <f>+'9. Közp. Konyha'!E13</f>
        <v>23625000</v>
      </c>
      <c r="F175" s="465">
        <f>+'9. Közp. Konyha'!F13</f>
        <v>23560277</v>
      </c>
      <c r="G175" s="75"/>
      <c r="H175" s="454">
        <f>+'9. Közp. Konyha'!H13</f>
        <v>11298003</v>
      </c>
      <c r="I175" s="75">
        <f>+'9. Közp. Konyha'!I13</f>
        <v>17380903</v>
      </c>
      <c r="J175" s="489">
        <f>+'9. Közp. Konyha'!J13</f>
        <v>23560277</v>
      </c>
      <c r="K175" s="75"/>
      <c r="L175" s="562">
        <f t="shared" si="124"/>
        <v>0.47822234920634921</v>
      </c>
      <c r="M175" s="562">
        <f t="shared" si="125"/>
        <v>0.73569959788359784</v>
      </c>
      <c r="N175" s="563">
        <f t="shared" si="126"/>
        <v>1</v>
      </c>
      <c r="O175" s="75"/>
      <c r="P175" s="454">
        <f>+'9. Közp. Konyha'!P13</f>
        <v>0</v>
      </c>
      <c r="Q175" s="75">
        <f>+'9. Közp. Konyha'!Q13</f>
        <v>0</v>
      </c>
      <c r="R175" s="75">
        <f>+'9. Közp. Konyha'!R13</f>
        <v>-64723</v>
      </c>
      <c r="S175" s="75">
        <f>+'9. Közp. Konyha'!S13</f>
        <v>-64723</v>
      </c>
      <c r="T175" s="578">
        <f>IF(S175=0,0,S175/C175)</f>
        <v>-2.7395978835978835E-3</v>
      </c>
    </row>
    <row r="176" spans="1:20" x14ac:dyDescent="0.2">
      <c r="A176" s="430" t="s">
        <v>26</v>
      </c>
      <c r="B176" s="58" t="str">
        <f t="shared" si="148"/>
        <v>Munkaadót terhelő járulékok és szociális hozzájárulás</v>
      </c>
      <c r="C176" s="454">
        <f>+'9. Közp. Konyha'!C29</f>
        <v>5375000</v>
      </c>
      <c r="D176" s="75">
        <f>+'9. Közp. Konyha'!D29</f>
        <v>5375000</v>
      </c>
      <c r="E176" s="75">
        <f>+'9. Közp. Konyha'!E29</f>
        <v>5375000</v>
      </c>
      <c r="F176" s="465">
        <f>+'9. Közp. Konyha'!F29</f>
        <v>5671045</v>
      </c>
      <c r="G176" s="75"/>
      <c r="H176" s="454">
        <f>+'9. Közp. Konyha'!H29</f>
        <v>2994544</v>
      </c>
      <c r="I176" s="75">
        <f>+'9. Közp. Konyha'!I29</f>
        <v>4380440</v>
      </c>
      <c r="J176" s="489">
        <f>+'9. Közp. Konyha'!J29</f>
        <v>5671045</v>
      </c>
      <c r="K176" s="75"/>
      <c r="L176" s="562">
        <f t="shared" si="124"/>
        <v>0.55712446511627911</v>
      </c>
      <c r="M176" s="562">
        <f t="shared" si="125"/>
        <v>0.8149655813953488</v>
      </c>
      <c r="N176" s="563">
        <f t="shared" si="126"/>
        <v>1</v>
      </c>
      <c r="O176" s="75"/>
      <c r="P176" s="454">
        <f>+'9. Közp. Konyha'!P29</f>
        <v>0</v>
      </c>
      <c r="Q176" s="75">
        <f>+'9. Közp. Konyha'!Q29</f>
        <v>0</v>
      </c>
      <c r="R176" s="75">
        <f>+'9. Közp. Konyha'!R29</f>
        <v>296045</v>
      </c>
      <c r="S176" s="75">
        <f>+'9. Közp. Konyha'!S29</f>
        <v>296045</v>
      </c>
      <c r="T176" s="578">
        <f t="shared" ref="T176:T195" si="149">IF(S176=0,0,S176/C176)</f>
        <v>5.5078139534883719E-2</v>
      </c>
    </row>
    <row r="177" spans="1:20" x14ac:dyDescent="0.2">
      <c r="A177" s="430" t="s">
        <v>29</v>
      </c>
      <c r="B177" s="58" t="str">
        <f t="shared" si="148"/>
        <v>Dologi kiadások</v>
      </c>
      <c r="C177" s="454">
        <f>+'9. Közp. Konyha'!C32</f>
        <v>69192000</v>
      </c>
      <c r="D177" s="75">
        <f>+'9. Közp. Konyha'!D32</f>
        <v>69192000</v>
      </c>
      <c r="E177" s="75">
        <f>+'9. Közp. Konyha'!E32</f>
        <v>69737851</v>
      </c>
      <c r="F177" s="465">
        <f>+'9. Közp. Konyha'!F32</f>
        <v>69453897</v>
      </c>
      <c r="G177" s="75"/>
      <c r="H177" s="454">
        <f>+'9. Közp. Konyha'!H32</f>
        <v>36293747</v>
      </c>
      <c r="I177" s="75">
        <f>+'9. Közp. Konyha'!I32</f>
        <v>43731872</v>
      </c>
      <c r="J177" s="489">
        <f>+'9. Közp. Konyha'!J32</f>
        <v>61501618</v>
      </c>
      <c r="K177" s="75"/>
      <c r="L177" s="562">
        <f t="shared" si="124"/>
        <v>0.52453675280379231</v>
      </c>
      <c r="M177" s="562">
        <f t="shared" si="125"/>
        <v>0.62708946967694779</v>
      </c>
      <c r="N177" s="563">
        <f t="shared" si="126"/>
        <v>0.88550276739691081</v>
      </c>
      <c r="O177" s="75"/>
      <c r="P177" s="454">
        <f>+'9. Közp. Konyha'!P32</f>
        <v>0</v>
      </c>
      <c r="Q177" s="75">
        <f>+'9. Közp. Konyha'!Q32</f>
        <v>545851</v>
      </c>
      <c r="R177" s="75">
        <f>+'9. Közp. Konyha'!R32</f>
        <v>-283954</v>
      </c>
      <c r="S177" s="75">
        <f>+'9. Közp. Konyha'!S32</f>
        <v>261897</v>
      </c>
      <c r="T177" s="578">
        <f t="shared" si="149"/>
        <v>3.7850763093999307E-3</v>
      </c>
    </row>
    <row r="178" spans="1:20" x14ac:dyDescent="0.2">
      <c r="A178" s="430" t="s">
        <v>111</v>
      </c>
      <c r="B178" s="58" t="str">
        <f t="shared" si="148"/>
        <v>Elláttotak pénzpeli juttatásai</v>
      </c>
      <c r="C178" s="454"/>
      <c r="D178" s="75"/>
      <c r="E178" s="75"/>
      <c r="F178" s="465"/>
      <c r="G178" s="75"/>
      <c r="H178" s="454"/>
      <c r="I178" s="75"/>
      <c r="J178" s="489"/>
      <c r="K178" s="75"/>
      <c r="L178" s="562" t="e">
        <f t="shared" si="124"/>
        <v>#DIV/0!</v>
      </c>
      <c r="M178" s="562" t="e">
        <f t="shared" si="125"/>
        <v>#DIV/0!</v>
      </c>
      <c r="N178" s="563" t="e">
        <f t="shared" si="126"/>
        <v>#DIV/0!</v>
      </c>
      <c r="O178" s="75"/>
      <c r="P178" s="454"/>
      <c r="Q178" s="75"/>
      <c r="R178" s="75"/>
      <c r="S178" s="75"/>
      <c r="T178" s="578">
        <f t="shared" si="149"/>
        <v>0</v>
      </c>
    </row>
    <row r="179" spans="1:20" x14ac:dyDescent="0.2">
      <c r="A179" s="431" t="s">
        <v>376</v>
      </c>
      <c r="B179" s="58" t="str">
        <f t="shared" si="148"/>
        <v>Egyéb működési célú kiadások</v>
      </c>
      <c r="C179" s="454"/>
      <c r="D179" s="75"/>
      <c r="E179" s="75"/>
      <c r="F179" s="465"/>
      <c r="G179" s="75"/>
      <c r="H179" s="454"/>
      <c r="I179" s="75"/>
      <c r="J179" s="489"/>
      <c r="K179" s="75"/>
      <c r="L179" s="562" t="e">
        <f t="shared" si="124"/>
        <v>#DIV/0!</v>
      </c>
      <c r="M179" s="562" t="e">
        <f t="shared" si="125"/>
        <v>#DIV/0!</v>
      </c>
      <c r="N179" s="563" t="e">
        <f t="shared" si="126"/>
        <v>#DIV/0!</v>
      </c>
      <c r="O179" s="75"/>
      <c r="P179" s="454"/>
      <c r="Q179" s="75"/>
      <c r="R179" s="75"/>
      <c r="S179" s="75"/>
      <c r="T179" s="578">
        <f t="shared" si="149"/>
        <v>0</v>
      </c>
    </row>
    <row r="180" spans="1:20" x14ac:dyDescent="0.2">
      <c r="A180" s="430" t="s">
        <v>158</v>
      </c>
      <c r="B180" s="58" t="str">
        <f t="shared" si="148"/>
        <v>Beruházások</v>
      </c>
      <c r="C180" s="454">
        <f>+'9. Közp. Konyha'!C83</f>
        <v>800000</v>
      </c>
      <c r="D180" s="75">
        <f>+'9. Közp. Konyha'!D83</f>
        <v>800000</v>
      </c>
      <c r="E180" s="75">
        <f>+'9. Közp. Konyha'!E83</f>
        <v>254149</v>
      </c>
      <c r="F180" s="465">
        <f>+'9. Közp. Konyha'!F83</f>
        <v>306781</v>
      </c>
      <c r="G180" s="75"/>
      <c r="H180" s="454">
        <f>+'9. Közp. Konyha'!H83</f>
        <v>201042</v>
      </c>
      <c r="I180" s="75">
        <f>+'9. Közp. Konyha'!I83</f>
        <v>254149</v>
      </c>
      <c r="J180" s="489">
        <f>+'9. Közp. Konyha'!J83</f>
        <v>304866</v>
      </c>
      <c r="K180" s="75"/>
      <c r="L180" s="562">
        <f t="shared" si="124"/>
        <v>0.25130249999999998</v>
      </c>
      <c r="M180" s="562">
        <f t="shared" si="125"/>
        <v>1</v>
      </c>
      <c r="N180" s="563">
        <f t="shared" si="126"/>
        <v>0.99375776205175681</v>
      </c>
      <c r="O180" s="75"/>
      <c r="P180" s="454">
        <f>+'9. Közp. Konyha'!P83</f>
        <v>0</v>
      </c>
      <c r="Q180" s="75">
        <f>+'9. Közp. Konyha'!Q83</f>
        <v>-545851</v>
      </c>
      <c r="R180" s="75">
        <f>+'9. Közp. Konyha'!R83</f>
        <v>52632</v>
      </c>
      <c r="S180" s="75">
        <f>+'9. Közp. Konyha'!S83</f>
        <v>-493219</v>
      </c>
      <c r="T180" s="578">
        <f t="shared" si="149"/>
        <v>-0.61652375000000004</v>
      </c>
    </row>
    <row r="181" spans="1:20" x14ac:dyDescent="0.2">
      <c r="A181" s="430" t="s">
        <v>173</v>
      </c>
      <c r="B181" s="58" t="str">
        <f t="shared" si="148"/>
        <v>Felújítások</v>
      </c>
      <c r="C181" s="454">
        <f>+'9. Közp. Konyha'!C86</f>
        <v>0</v>
      </c>
      <c r="D181" s="75">
        <f>+'9. Közp. Konyha'!D86</f>
        <v>0</v>
      </c>
      <c r="E181" s="75">
        <f>+'9. Közp. Konyha'!E86</f>
        <v>0</v>
      </c>
      <c r="F181" s="465">
        <f>+'9. Közp. Konyha'!F86</f>
        <v>0</v>
      </c>
      <c r="G181" s="75"/>
      <c r="H181" s="454">
        <f>+'9. Közp. Konyha'!H86</f>
        <v>0</v>
      </c>
      <c r="I181" s="75">
        <f>+'9. Közp. Konyha'!I86</f>
        <v>0</v>
      </c>
      <c r="J181" s="489">
        <f>+'9. Közp. Konyha'!J86</f>
        <v>0</v>
      </c>
      <c r="K181" s="75"/>
      <c r="L181" s="562" t="e">
        <f t="shared" si="124"/>
        <v>#DIV/0!</v>
      </c>
      <c r="M181" s="562" t="e">
        <f t="shared" si="125"/>
        <v>#DIV/0!</v>
      </c>
      <c r="N181" s="563" t="e">
        <f t="shared" si="126"/>
        <v>#DIV/0!</v>
      </c>
      <c r="O181" s="75"/>
      <c r="P181" s="454">
        <f>+'9. Közp. Konyha'!P86</f>
        <v>0</v>
      </c>
      <c r="Q181" s="75">
        <f>+'9. Közp. Konyha'!Q86</f>
        <v>0</v>
      </c>
      <c r="R181" s="75">
        <f>+'9. Közp. Konyha'!R86</f>
        <v>0</v>
      </c>
      <c r="S181" s="75">
        <f>+'9. Közp. Konyha'!S86</f>
        <v>0</v>
      </c>
      <c r="T181" s="578">
        <f t="shared" si="149"/>
        <v>0</v>
      </c>
    </row>
    <row r="182" spans="1:20" x14ac:dyDescent="0.2">
      <c r="A182" s="430" t="s">
        <v>183</v>
      </c>
      <c r="B182" s="58" t="str">
        <f t="shared" si="148"/>
        <v>Szolgáltatások kiadásai</v>
      </c>
      <c r="C182" s="454"/>
      <c r="D182" s="75"/>
      <c r="E182" s="75"/>
      <c r="F182" s="465"/>
      <c r="G182" s="75"/>
      <c r="H182" s="454"/>
      <c r="I182" s="75"/>
      <c r="J182" s="489"/>
      <c r="K182" s="75"/>
      <c r="L182" s="562" t="e">
        <f t="shared" si="124"/>
        <v>#DIV/0!</v>
      </c>
      <c r="M182" s="562" t="e">
        <f t="shared" si="125"/>
        <v>#DIV/0!</v>
      </c>
      <c r="N182" s="563" t="e">
        <f t="shared" si="126"/>
        <v>#DIV/0!</v>
      </c>
      <c r="O182" s="75"/>
      <c r="P182" s="454"/>
      <c r="Q182" s="75"/>
      <c r="R182" s="75"/>
      <c r="S182" s="75"/>
      <c r="T182" s="578">
        <f t="shared" si="149"/>
        <v>0</v>
      </c>
    </row>
    <row r="183" spans="1:20" x14ac:dyDescent="0.2">
      <c r="A183" s="430" t="s">
        <v>201</v>
      </c>
      <c r="B183" s="58" t="str">
        <f t="shared" si="148"/>
        <v>Finanszírozási kiadások</v>
      </c>
      <c r="C183" s="454"/>
      <c r="D183" s="75"/>
      <c r="E183" s="75"/>
      <c r="F183" s="465"/>
      <c r="G183" s="75"/>
      <c r="H183" s="454"/>
      <c r="I183" s="75"/>
      <c r="J183" s="489"/>
      <c r="K183" s="75"/>
      <c r="L183" s="562"/>
      <c r="M183" s="562"/>
      <c r="N183" s="563"/>
      <c r="O183" s="75"/>
      <c r="P183" s="454"/>
      <c r="Q183" s="75"/>
      <c r="R183" s="75"/>
      <c r="S183" s="75"/>
      <c r="T183" s="578">
        <f t="shared" si="149"/>
        <v>0</v>
      </c>
    </row>
    <row r="184" spans="1:20" x14ac:dyDescent="0.2">
      <c r="A184" s="432"/>
      <c r="B184" s="416" t="s">
        <v>378</v>
      </c>
      <c r="C184" s="456">
        <f>SUM(C175:C183)</f>
        <v>98992000</v>
      </c>
      <c r="D184" s="417">
        <f t="shared" ref="D184:F184" si="150">SUM(D175:D183)</f>
        <v>98992000</v>
      </c>
      <c r="E184" s="417">
        <f t="shared" si="150"/>
        <v>98992000</v>
      </c>
      <c r="F184" s="473">
        <f t="shared" si="150"/>
        <v>98992000</v>
      </c>
      <c r="G184" s="417"/>
      <c r="H184" s="456">
        <f t="shared" ref="H184:J184" si="151">SUM(H175:H183)</f>
        <v>50787336</v>
      </c>
      <c r="I184" s="417">
        <f t="shared" si="151"/>
        <v>65747364</v>
      </c>
      <c r="J184" s="418">
        <f t="shared" si="151"/>
        <v>91037806</v>
      </c>
      <c r="K184" s="217"/>
      <c r="L184" s="564">
        <f t="shared" si="124"/>
        <v>0.51304485210926132</v>
      </c>
      <c r="M184" s="564">
        <f t="shared" si="125"/>
        <v>0.66416845805721669</v>
      </c>
      <c r="N184" s="565">
        <f t="shared" si="126"/>
        <v>0.91964811297882654</v>
      </c>
      <c r="O184" s="217"/>
      <c r="P184" s="456">
        <f t="shared" ref="P184:S184" si="152">SUM(P175:P183)</f>
        <v>0</v>
      </c>
      <c r="Q184" s="417">
        <f t="shared" si="152"/>
        <v>0</v>
      </c>
      <c r="R184" s="417">
        <f t="shared" si="152"/>
        <v>0</v>
      </c>
      <c r="S184" s="418">
        <f t="shared" si="152"/>
        <v>0</v>
      </c>
      <c r="T184" s="579">
        <f t="shared" si="149"/>
        <v>0</v>
      </c>
    </row>
    <row r="185" spans="1:20" x14ac:dyDescent="0.2">
      <c r="A185" s="433"/>
      <c r="B185" s="75"/>
      <c r="C185" s="454"/>
      <c r="D185" s="75"/>
      <c r="E185" s="75"/>
      <c r="F185" s="465"/>
      <c r="G185" s="75"/>
      <c r="H185" s="454"/>
      <c r="I185" s="75"/>
      <c r="J185" s="489"/>
      <c r="K185" s="75"/>
      <c r="L185" s="562"/>
      <c r="M185" s="562"/>
      <c r="N185" s="563"/>
      <c r="O185" s="75"/>
      <c r="P185" s="454"/>
      <c r="Q185" s="75"/>
      <c r="R185" s="75"/>
      <c r="S185" s="75"/>
      <c r="T185" s="578"/>
    </row>
    <row r="186" spans="1:20" x14ac:dyDescent="0.2">
      <c r="A186" s="430" t="str">
        <f>+A159</f>
        <v>B1</v>
      </c>
      <c r="B186" s="58" t="str">
        <f>+B159</f>
        <v>Működési célú tám-ok államháztartáson belülről</v>
      </c>
      <c r="C186" s="454">
        <f>+'9. Közp. Konyha'!C93</f>
        <v>0</v>
      </c>
      <c r="D186" s="75">
        <f>+'9. Közp. Konyha'!D93</f>
        <v>500000</v>
      </c>
      <c r="E186" s="75">
        <f>+'9. Közp. Konyha'!E93</f>
        <v>500000</v>
      </c>
      <c r="F186" s="465">
        <f>+'9. Közp. Konyha'!F93</f>
        <v>500000</v>
      </c>
      <c r="G186" s="75"/>
      <c r="H186" s="454">
        <f>+'9. Közp. Konyha'!H93</f>
        <v>411810</v>
      </c>
      <c r="I186" s="75">
        <f>+'9. Közp. Konyha'!I93</f>
        <v>411810</v>
      </c>
      <c r="J186" s="489">
        <f>+'9. Közp. Konyha'!J93</f>
        <v>411810</v>
      </c>
      <c r="K186" s="75"/>
      <c r="L186" s="562">
        <f t="shared" si="124"/>
        <v>0.82362000000000002</v>
      </c>
      <c r="M186" s="562">
        <f t="shared" si="125"/>
        <v>0.82362000000000002</v>
      </c>
      <c r="N186" s="563">
        <f t="shared" si="126"/>
        <v>0.82362000000000002</v>
      </c>
      <c r="O186" s="75"/>
      <c r="P186" s="454">
        <f>+'9. Közp. Konyha'!P93</f>
        <v>500000</v>
      </c>
      <c r="Q186" s="75">
        <f>+'9. Közp. Konyha'!Q93</f>
        <v>0</v>
      </c>
      <c r="R186" s="75">
        <f>+'9. Közp. Konyha'!R93</f>
        <v>0</v>
      </c>
      <c r="S186" s="75">
        <f>+'9. Közp. Konyha'!S93</f>
        <v>500000</v>
      </c>
      <c r="T186" s="578" t="e">
        <f t="shared" si="149"/>
        <v>#DIV/0!</v>
      </c>
    </row>
    <row r="187" spans="1:20" x14ac:dyDescent="0.2">
      <c r="A187" s="430" t="str">
        <f t="shared" ref="A187:B187" si="153">+A160</f>
        <v>B2</v>
      </c>
      <c r="B187" s="58" t="str">
        <f t="shared" si="153"/>
        <v>Felhalmozási célú tám-ok államházt-on belülről</v>
      </c>
      <c r="C187" s="454"/>
      <c r="D187" s="75"/>
      <c r="E187" s="75"/>
      <c r="F187" s="465"/>
      <c r="G187" s="75"/>
      <c r="H187" s="454"/>
      <c r="I187" s="75"/>
      <c r="J187" s="489"/>
      <c r="K187" s="75"/>
      <c r="L187" s="562" t="e">
        <f t="shared" si="124"/>
        <v>#DIV/0!</v>
      </c>
      <c r="M187" s="562" t="e">
        <f t="shared" si="125"/>
        <v>#DIV/0!</v>
      </c>
      <c r="N187" s="563" t="e">
        <f t="shared" si="126"/>
        <v>#DIV/0!</v>
      </c>
      <c r="O187" s="75"/>
      <c r="P187" s="454"/>
      <c r="Q187" s="75"/>
      <c r="R187" s="75"/>
      <c r="S187" s="75"/>
      <c r="T187" s="578">
        <f t="shared" si="149"/>
        <v>0</v>
      </c>
    </row>
    <row r="188" spans="1:20" x14ac:dyDescent="0.2">
      <c r="A188" s="430" t="str">
        <f t="shared" ref="A188:B188" si="154">+A161</f>
        <v>B3</v>
      </c>
      <c r="B188" s="58" t="str">
        <f t="shared" si="154"/>
        <v>Közhatalmi bevételek</v>
      </c>
      <c r="C188" s="454"/>
      <c r="D188" s="75"/>
      <c r="E188" s="75"/>
      <c r="F188" s="465"/>
      <c r="G188" s="75"/>
      <c r="H188" s="454"/>
      <c r="I188" s="75"/>
      <c r="J188" s="489"/>
      <c r="K188" s="75"/>
      <c r="L188" s="562" t="e">
        <f t="shared" si="124"/>
        <v>#DIV/0!</v>
      </c>
      <c r="M188" s="562" t="e">
        <f t="shared" si="125"/>
        <v>#DIV/0!</v>
      </c>
      <c r="N188" s="563" t="e">
        <f t="shared" si="126"/>
        <v>#DIV/0!</v>
      </c>
      <c r="O188" s="75"/>
      <c r="P188" s="454"/>
      <c r="Q188" s="75"/>
      <c r="R188" s="75"/>
      <c r="S188" s="75"/>
      <c r="T188" s="578">
        <f t="shared" si="149"/>
        <v>0</v>
      </c>
    </row>
    <row r="189" spans="1:20" x14ac:dyDescent="0.2">
      <c r="A189" s="430" t="str">
        <f t="shared" ref="A189:B189" si="155">+A162</f>
        <v>B4</v>
      </c>
      <c r="B189" s="58" t="str">
        <f t="shared" si="155"/>
        <v>Működési bevételek</v>
      </c>
      <c r="C189" s="454">
        <f>+'9. Közp. Konyha'!C95</f>
        <v>28181000</v>
      </c>
      <c r="D189" s="75">
        <f>+'9. Közp. Konyha'!D95</f>
        <v>27681000</v>
      </c>
      <c r="E189" s="75">
        <f>+'9. Közp. Konyha'!E95</f>
        <v>27681000</v>
      </c>
      <c r="F189" s="465">
        <f>+'9. Közp. Konyha'!F95</f>
        <v>27681000</v>
      </c>
      <c r="G189" s="75"/>
      <c r="H189" s="454">
        <f>+'9. Közp. Konyha'!H95</f>
        <v>16755980</v>
      </c>
      <c r="I189" s="75">
        <f>+'9. Közp. Konyha'!I95</f>
        <v>20426213</v>
      </c>
      <c r="J189" s="489">
        <f>+'9. Közp. Konyha'!J95</f>
        <v>28368808</v>
      </c>
      <c r="K189" s="75"/>
      <c r="L189" s="562">
        <f t="shared" si="124"/>
        <v>0.60532422961598209</v>
      </c>
      <c r="M189" s="562">
        <f t="shared" si="125"/>
        <v>0.73791456233517572</v>
      </c>
      <c r="N189" s="563">
        <f t="shared" si="126"/>
        <v>1.0248476572378165</v>
      </c>
      <c r="O189" s="75"/>
      <c r="P189" s="454">
        <f>+'9. Közp. Konyha'!P95</f>
        <v>-500000</v>
      </c>
      <c r="Q189" s="75">
        <f>+'9. Közp. Konyha'!Q95</f>
        <v>0</v>
      </c>
      <c r="R189" s="75">
        <f>+'9. Közp. Konyha'!R95</f>
        <v>0</v>
      </c>
      <c r="S189" s="75">
        <f>+'9. Közp. Konyha'!S95</f>
        <v>-500000</v>
      </c>
      <c r="T189" s="578">
        <f t="shared" si="149"/>
        <v>-1.7742450587275114E-2</v>
      </c>
    </row>
    <row r="190" spans="1:20" x14ac:dyDescent="0.2">
      <c r="A190" s="430" t="str">
        <f t="shared" ref="A190:B190" si="156">+A163</f>
        <v>B5</v>
      </c>
      <c r="B190" s="58" t="str">
        <f t="shared" si="156"/>
        <v>Felhalmozási bevételek</v>
      </c>
      <c r="C190" s="454"/>
      <c r="D190" s="75"/>
      <c r="E190" s="75"/>
      <c r="F190" s="465"/>
      <c r="G190" s="75"/>
      <c r="H190" s="454"/>
      <c r="I190" s="75"/>
      <c r="J190" s="489"/>
      <c r="K190" s="75"/>
      <c r="L190" s="562" t="e">
        <f t="shared" si="124"/>
        <v>#DIV/0!</v>
      </c>
      <c r="M190" s="562" t="e">
        <f t="shared" si="125"/>
        <v>#DIV/0!</v>
      </c>
      <c r="N190" s="563" t="e">
        <f t="shared" si="126"/>
        <v>#DIV/0!</v>
      </c>
      <c r="O190" s="75"/>
      <c r="P190" s="454"/>
      <c r="Q190" s="75"/>
      <c r="R190" s="75"/>
      <c r="S190" s="75"/>
      <c r="T190" s="578">
        <f t="shared" si="149"/>
        <v>0</v>
      </c>
    </row>
    <row r="191" spans="1:20" x14ac:dyDescent="0.2">
      <c r="A191" s="430" t="str">
        <f t="shared" ref="A191:B191" si="157">+A164</f>
        <v>B6</v>
      </c>
      <c r="B191" s="58" t="str">
        <f t="shared" si="157"/>
        <v>Működési célú átvett pénzeszközök</v>
      </c>
      <c r="C191" s="454"/>
      <c r="D191" s="75"/>
      <c r="E191" s="75"/>
      <c r="F191" s="465"/>
      <c r="G191" s="75"/>
      <c r="H191" s="454"/>
      <c r="I191" s="75"/>
      <c r="J191" s="489"/>
      <c r="K191" s="75"/>
      <c r="L191" s="562" t="e">
        <f t="shared" si="124"/>
        <v>#DIV/0!</v>
      </c>
      <c r="M191" s="562" t="e">
        <f t="shared" si="125"/>
        <v>#DIV/0!</v>
      </c>
      <c r="N191" s="563" t="e">
        <f t="shared" si="126"/>
        <v>#DIV/0!</v>
      </c>
      <c r="O191" s="75"/>
      <c r="P191" s="454"/>
      <c r="Q191" s="75"/>
      <c r="R191" s="75"/>
      <c r="S191" s="75"/>
      <c r="T191" s="578">
        <f t="shared" si="149"/>
        <v>0</v>
      </c>
    </row>
    <row r="192" spans="1:20" x14ac:dyDescent="0.2">
      <c r="A192" s="430" t="str">
        <f t="shared" ref="A192:B192" si="158">+A165</f>
        <v>B7</v>
      </c>
      <c r="B192" s="58" t="str">
        <f t="shared" si="158"/>
        <v>Felhalmozási célú átvett pénzeszközök</v>
      </c>
      <c r="C192" s="454"/>
      <c r="D192" s="75"/>
      <c r="E192" s="75"/>
      <c r="F192" s="465"/>
      <c r="G192" s="75"/>
      <c r="H192" s="454"/>
      <c r="I192" s="75"/>
      <c r="J192" s="489"/>
      <c r="K192" s="75"/>
      <c r="L192" s="562" t="e">
        <f t="shared" si="124"/>
        <v>#DIV/0!</v>
      </c>
      <c r="M192" s="562" t="e">
        <f t="shared" si="125"/>
        <v>#DIV/0!</v>
      </c>
      <c r="N192" s="563" t="e">
        <f t="shared" si="126"/>
        <v>#DIV/0!</v>
      </c>
      <c r="O192" s="75"/>
      <c r="P192" s="454"/>
      <c r="Q192" s="75"/>
      <c r="R192" s="75"/>
      <c r="S192" s="75"/>
      <c r="T192" s="578">
        <f t="shared" si="149"/>
        <v>0</v>
      </c>
    </row>
    <row r="193" spans="1:20" x14ac:dyDescent="0.2">
      <c r="A193" s="430" t="str">
        <f t="shared" ref="A193" si="159">+A166</f>
        <v>B8-ból maradványértéken túli finanszírozási bevételek</v>
      </c>
      <c r="B193" s="58"/>
      <c r="C193" s="454">
        <f>+'9. Közp. Konyha'!C99-C194</f>
        <v>65769773</v>
      </c>
      <c r="D193" s="75">
        <f>+'9. Közp. Konyha'!D99-D194</f>
        <v>65769773</v>
      </c>
      <c r="E193" s="75">
        <f>+'9. Közp. Konyha'!E99-E194</f>
        <v>65769773</v>
      </c>
      <c r="F193" s="465">
        <f>+'9. Közp. Konyha'!F99-F194</f>
        <v>65769773</v>
      </c>
      <c r="G193" s="75"/>
      <c r="H193" s="454">
        <f>+'9. Közp. Konyha'!H99-H194</f>
        <v>33423906</v>
      </c>
      <c r="I193" s="75">
        <f>+'9. Közp. Konyha'!I99-I194</f>
        <v>43926518</v>
      </c>
      <c r="J193" s="489">
        <f>+'9. Közp. Konyha'!J99-J194</f>
        <v>62764960</v>
      </c>
      <c r="K193" s="75"/>
      <c r="L193" s="562">
        <f t="shared" si="124"/>
        <v>0.50819555056089372</v>
      </c>
      <c r="M193" s="562">
        <f t="shared" si="125"/>
        <v>0.66788307145289982</v>
      </c>
      <c r="N193" s="563">
        <f t="shared" si="126"/>
        <v>0.95431316145792389</v>
      </c>
      <c r="O193" s="75"/>
      <c r="P193" s="454">
        <f>+'9. Közp. Konyha'!P99-P194</f>
        <v>0</v>
      </c>
      <c r="Q193" s="75">
        <f>+'9. Közp. Konyha'!Q99-Q194</f>
        <v>0</v>
      </c>
      <c r="R193" s="75">
        <f>+'9. Közp. Konyha'!R99-R194</f>
        <v>0</v>
      </c>
      <c r="S193" s="75">
        <f>+'9. Közp. Konyha'!S99-S194</f>
        <v>0</v>
      </c>
      <c r="T193" s="578">
        <f t="shared" si="149"/>
        <v>0</v>
      </c>
    </row>
    <row r="194" spans="1:20" x14ac:dyDescent="0.2">
      <c r="A194" s="430" t="str">
        <f t="shared" ref="A194" si="160">+A167</f>
        <v>B8-ból előző évi mardvány igénybevétele</v>
      </c>
      <c r="B194" s="58"/>
      <c r="C194" s="454">
        <f>+'9. Közp. Konyha'!C101</f>
        <v>5041227</v>
      </c>
      <c r="D194" s="75">
        <f>+'9. Közp. Konyha'!D101</f>
        <v>5041227</v>
      </c>
      <c r="E194" s="75">
        <f>+'9. Közp. Konyha'!E101</f>
        <v>5041227</v>
      </c>
      <c r="F194" s="465">
        <f>+'9. Közp. Konyha'!F101</f>
        <v>5041227</v>
      </c>
      <c r="G194" s="75"/>
      <c r="H194" s="454">
        <f>+'9. Közp. Konyha'!H101</f>
        <v>5041227</v>
      </c>
      <c r="I194" s="75">
        <f>+'9. Közp. Konyha'!I101</f>
        <v>5041227</v>
      </c>
      <c r="J194" s="489">
        <f>+'9. Közp. Konyha'!J101</f>
        <v>5041227</v>
      </c>
      <c r="K194" s="75"/>
      <c r="L194" s="562">
        <f t="shared" si="124"/>
        <v>1</v>
      </c>
      <c r="M194" s="562">
        <f t="shared" si="125"/>
        <v>1</v>
      </c>
      <c r="N194" s="563">
        <f t="shared" si="126"/>
        <v>1</v>
      </c>
      <c r="O194" s="75"/>
      <c r="P194" s="454">
        <f>+'9. Közp. Konyha'!P101</f>
        <v>0</v>
      </c>
      <c r="Q194" s="75">
        <f>+'9. Közp. Konyha'!Q101</f>
        <v>0</v>
      </c>
      <c r="R194" s="75">
        <f>+'9. Közp. Konyha'!R101</f>
        <v>0</v>
      </c>
      <c r="S194" s="75">
        <f>+'9. Közp. Konyha'!S101</f>
        <v>0</v>
      </c>
      <c r="T194" s="578">
        <f t="shared" si="149"/>
        <v>0</v>
      </c>
    </row>
    <row r="195" spans="1:20" x14ac:dyDescent="0.2">
      <c r="A195" s="434"/>
      <c r="B195" s="416" t="s">
        <v>377</v>
      </c>
      <c r="C195" s="456">
        <f>SUM(C186:C194)</f>
        <v>98992000</v>
      </c>
      <c r="D195" s="417">
        <f t="shared" ref="D195" si="161">SUM(D186:D194)</f>
        <v>98992000</v>
      </c>
      <c r="E195" s="417">
        <f t="shared" ref="E195" si="162">SUM(E186:E194)</f>
        <v>98992000</v>
      </c>
      <c r="F195" s="473">
        <f t="shared" ref="F195" si="163">SUM(F186:F194)</f>
        <v>98992000</v>
      </c>
      <c r="G195" s="417"/>
      <c r="H195" s="456">
        <f t="shared" ref="H195" si="164">SUM(H186:H194)</f>
        <v>55632923</v>
      </c>
      <c r="I195" s="417">
        <f t="shared" ref="I195" si="165">SUM(I186:I194)</f>
        <v>69805768</v>
      </c>
      <c r="J195" s="418">
        <f t="shared" ref="J195" si="166">SUM(J186:J194)</f>
        <v>96586805</v>
      </c>
      <c r="K195" s="419"/>
      <c r="L195" s="566">
        <f t="shared" si="124"/>
        <v>0.56199413083885563</v>
      </c>
      <c r="M195" s="566">
        <f t="shared" si="125"/>
        <v>0.7051657507677388</v>
      </c>
      <c r="N195" s="567">
        <f t="shared" si="126"/>
        <v>0.975703137627283</v>
      </c>
      <c r="O195" s="419"/>
      <c r="P195" s="456">
        <f t="shared" ref="P195" si="167">SUM(P186:P194)</f>
        <v>0</v>
      </c>
      <c r="Q195" s="417">
        <f t="shared" ref="Q195" si="168">SUM(Q186:Q194)</f>
        <v>0</v>
      </c>
      <c r="R195" s="417">
        <f t="shared" ref="R195" si="169">SUM(R186:R194)</f>
        <v>0</v>
      </c>
      <c r="S195" s="418">
        <f t="shared" ref="S195" si="170">SUM(S186:S194)</f>
        <v>0</v>
      </c>
      <c r="T195" s="579">
        <f t="shared" si="149"/>
        <v>0</v>
      </c>
    </row>
    <row r="196" spans="1:20" x14ac:dyDescent="0.2">
      <c r="A196" s="433"/>
      <c r="C196" s="433"/>
      <c r="F196" s="476"/>
      <c r="H196" s="433"/>
      <c r="J196" s="487"/>
      <c r="L196" s="562"/>
      <c r="M196" s="562"/>
      <c r="N196" s="563"/>
      <c r="P196" s="433"/>
      <c r="T196" s="580"/>
    </row>
    <row r="197" spans="1:20" ht="13.5" thickBot="1" x14ac:dyDescent="0.25">
      <c r="A197" s="436"/>
      <c r="B197" s="437" t="s">
        <v>463</v>
      </c>
      <c r="C197" s="458">
        <f>+C195-C184</f>
        <v>0</v>
      </c>
      <c r="D197" s="438">
        <f>+D195-D184</f>
        <v>0</v>
      </c>
      <c r="E197" s="438">
        <f>+E195-E184</f>
        <v>0</v>
      </c>
      <c r="F197" s="475">
        <f>+F195-F184</f>
        <v>0</v>
      </c>
      <c r="G197" s="438"/>
      <c r="H197" s="458">
        <f>+H195-H184</f>
        <v>4845587</v>
      </c>
      <c r="I197" s="438">
        <f>+I195-I184</f>
        <v>4058404</v>
      </c>
      <c r="J197" s="440">
        <f>+J195-J184</f>
        <v>5548999</v>
      </c>
      <c r="K197" s="439"/>
      <c r="L197" s="568" t="e">
        <f t="shared" si="124"/>
        <v>#DIV/0!</v>
      </c>
      <c r="M197" s="568" t="e">
        <f t="shared" si="125"/>
        <v>#DIV/0!</v>
      </c>
      <c r="N197" s="569" t="e">
        <f t="shared" si="126"/>
        <v>#DIV/0!</v>
      </c>
      <c r="O197" s="439"/>
      <c r="P197" s="458">
        <f>+P195-P184</f>
        <v>0</v>
      </c>
      <c r="Q197" s="438">
        <f>+Q195-Q184</f>
        <v>0</v>
      </c>
      <c r="R197" s="438">
        <f>+R195-R184</f>
        <v>0</v>
      </c>
      <c r="S197" s="440">
        <f>+S195-S184</f>
        <v>0</v>
      </c>
      <c r="T197" s="581"/>
    </row>
    <row r="198" spans="1:20" ht="13.5" thickBot="1" x14ac:dyDescent="0.25">
      <c r="C198" s="460"/>
      <c r="D198" s="466"/>
      <c r="E198" s="466"/>
      <c r="F198" s="479"/>
      <c r="H198" s="460"/>
      <c r="I198" s="466"/>
      <c r="J198" s="492"/>
      <c r="K198" s="466"/>
      <c r="L198" s="576"/>
      <c r="M198" s="576"/>
      <c r="N198" s="577"/>
      <c r="P198" s="460"/>
      <c r="Q198" s="461"/>
      <c r="R198" s="461"/>
      <c r="S198" s="461"/>
      <c r="T198" s="581"/>
    </row>
    <row r="199" spans="1:20" x14ac:dyDescent="0.2">
      <c r="L199" s="562"/>
      <c r="M199" s="562"/>
      <c r="N199" s="562"/>
      <c r="T199" s="583"/>
    </row>
    <row r="200" spans="1:20" x14ac:dyDescent="0.2">
      <c r="T200" s="58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35433070866141736" bottom="0.35433070866141736" header="0.31496062992125984" footer="0.31496062992125984"/>
  <pageSetup paperSize="9" scale="54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70" zoomScaleNormal="70" workbookViewId="0">
      <selection activeCell="J32" sqref="J32"/>
    </sheetView>
  </sheetViews>
  <sheetFormatPr defaultRowHeight="12.75" x14ac:dyDescent="0.2"/>
  <cols>
    <col min="1" max="1" width="6.140625" style="13" bestFit="1" customWidth="1"/>
    <col min="2" max="2" width="47.85546875" style="13" bestFit="1" customWidth="1"/>
    <col min="3" max="4" width="18.5703125" style="17" customWidth="1"/>
    <col min="5" max="6" width="18.5703125" style="13" customWidth="1"/>
    <col min="7" max="7" width="1.5703125" style="13" customWidth="1"/>
    <col min="8" max="9" width="16.140625" style="13" customWidth="1"/>
    <col min="10" max="10" width="17.85546875" style="13" customWidth="1"/>
    <col min="11" max="11" width="1.5703125" style="13" customWidth="1"/>
    <col min="12" max="12" width="14.5703125" style="13" customWidth="1"/>
    <col min="13" max="13" width="13.85546875" style="13" customWidth="1"/>
    <col min="14" max="14" width="14.85546875" style="13" customWidth="1"/>
    <col min="15" max="15" width="1.5703125" style="13" customWidth="1"/>
    <col min="16" max="19" width="18.5703125" style="13" customWidth="1"/>
    <col min="20" max="20" width="10.5703125" customWidth="1"/>
    <col min="21" max="21" width="1.5703125" style="13" customWidth="1"/>
    <col min="22" max="22" width="2.42578125" customWidth="1"/>
  </cols>
  <sheetData>
    <row r="1" spans="1:22" ht="26.25" x14ac:dyDescent="0.4">
      <c r="A1" s="628" t="s">
        <v>425</v>
      </c>
      <c r="B1" s="629"/>
      <c r="C1" s="629"/>
      <c r="D1" s="629"/>
      <c r="E1" s="629"/>
      <c r="F1" s="629"/>
      <c r="G1" s="65"/>
      <c r="H1" s="65"/>
      <c r="J1" s="602" t="s">
        <v>520</v>
      </c>
      <c r="K1" s="246"/>
      <c r="L1" s="246"/>
      <c r="M1" s="65"/>
      <c r="N1" s="65"/>
      <c r="O1" s="65"/>
      <c r="Q1" s="65"/>
      <c r="R1" s="65"/>
      <c r="S1" s="65"/>
      <c r="U1" s="65"/>
    </row>
    <row r="2" spans="1:22" x14ac:dyDescent="0.2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U2" s="65"/>
    </row>
    <row r="3" spans="1:22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U3" s="65"/>
    </row>
    <row r="4" spans="1:22" x14ac:dyDescent="0.2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U4" s="65"/>
    </row>
    <row r="5" spans="1:22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U5" s="65"/>
    </row>
    <row r="6" spans="1:22" ht="16.350000000000001" customHeight="1" x14ac:dyDescent="0.2">
      <c r="A6" s="648" t="s">
        <v>374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50"/>
      <c r="O6" s="650"/>
      <c r="P6" s="650"/>
      <c r="Q6" s="650"/>
      <c r="R6" s="650"/>
      <c r="S6" s="650"/>
      <c r="T6" s="650"/>
      <c r="U6" s="650"/>
      <c r="V6" s="651"/>
    </row>
    <row r="7" spans="1:22" ht="16.350000000000001" customHeight="1" x14ac:dyDescent="0.25">
      <c r="A7" s="180"/>
      <c r="B7" s="181"/>
      <c r="C7" s="642" t="s">
        <v>408</v>
      </c>
      <c r="D7" s="643"/>
      <c r="E7" s="643"/>
      <c r="F7" s="644"/>
      <c r="G7" s="182"/>
      <c r="H7" s="642" t="s">
        <v>419</v>
      </c>
      <c r="I7" s="652"/>
      <c r="J7" s="652"/>
      <c r="K7" s="652"/>
      <c r="L7" s="652"/>
      <c r="M7" s="652"/>
      <c r="N7" s="653"/>
      <c r="O7" s="182"/>
      <c r="P7" s="642" t="s">
        <v>404</v>
      </c>
      <c r="Q7" s="643"/>
      <c r="R7" s="643"/>
      <c r="S7" s="643"/>
      <c r="T7" s="644"/>
      <c r="U7" s="183"/>
      <c r="V7" s="623" t="s">
        <v>410</v>
      </c>
    </row>
    <row r="8" spans="1:22" ht="16.350000000000001" customHeight="1" x14ac:dyDescent="0.2">
      <c r="A8" s="184"/>
      <c r="B8" s="136"/>
      <c r="C8" s="160"/>
      <c r="D8" s="160"/>
      <c r="E8" s="167"/>
      <c r="F8" s="167"/>
      <c r="G8" s="167"/>
      <c r="H8" s="645" t="s">
        <v>421</v>
      </c>
      <c r="I8" s="646"/>
      <c r="J8" s="647"/>
      <c r="K8" s="185"/>
      <c r="L8" s="645" t="s">
        <v>420</v>
      </c>
      <c r="M8" s="646"/>
      <c r="N8" s="647"/>
      <c r="O8" s="167"/>
      <c r="P8" s="399">
        <v>1</v>
      </c>
      <c r="Q8" s="400">
        <v>1</v>
      </c>
      <c r="R8" s="400">
        <v>1</v>
      </c>
      <c r="S8" s="186"/>
      <c r="T8" s="186"/>
      <c r="U8" s="174"/>
      <c r="V8" s="626"/>
    </row>
    <row r="9" spans="1:22" ht="56.25" x14ac:dyDescent="0.2">
      <c r="A9" s="194" t="s">
        <v>423</v>
      </c>
      <c r="B9" s="200" t="s">
        <v>371</v>
      </c>
      <c r="C9" s="195" t="s">
        <v>479</v>
      </c>
      <c r="D9" s="196" t="s">
        <v>480</v>
      </c>
      <c r="E9" s="196" t="s">
        <v>481</v>
      </c>
      <c r="F9" s="196" t="s">
        <v>482</v>
      </c>
      <c r="G9" s="196"/>
      <c r="H9" s="197" t="s">
        <v>492</v>
      </c>
      <c r="I9" s="197" t="s">
        <v>493</v>
      </c>
      <c r="J9" s="197" t="s">
        <v>494</v>
      </c>
      <c r="K9" s="196"/>
      <c r="L9" s="198" t="s">
        <v>495</v>
      </c>
      <c r="M9" s="198" t="s">
        <v>496</v>
      </c>
      <c r="N9" s="198" t="s">
        <v>497</v>
      </c>
      <c r="O9" s="197"/>
      <c r="P9" s="197" t="s">
        <v>487</v>
      </c>
      <c r="Q9" s="197" t="s">
        <v>489</v>
      </c>
      <c r="R9" s="197" t="s">
        <v>488</v>
      </c>
      <c r="S9" s="197" t="s">
        <v>405</v>
      </c>
      <c r="T9" s="198" t="s">
        <v>406</v>
      </c>
      <c r="U9" s="199" t="s">
        <v>410</v>
      </c>
      <c r="V9" s="627"/>
    </row>
    <row r="10" spans="1:22" x14ac:dyDescent="0.2">
      <c r="A10" s="35" t="s">
        <v>241</v>
      </c>
      <c r="B10" s="18" t="s">
        <v>242</v>
      </c>
      <c r="C10" s="172">
        <f>+'bevételi segédtábla'!C13</f>
        <v>577146258</v>
      </c>
      <c r="D10" s="172">
        <f>+'bevételi segédtábla'!D13</f>
        <v>588969848</v>
      </c>
      <c r="E10" s="172">
        <f>+'bevételi segédtábla'!E13</f>
        <v>588969848</v>
      </c>
      <c r="F10" s="172">
        <f>+'bevételi segédtábla'!F13</f>
        <v>649437930</v>
      </c>
      <c r="G10" s="172"/>
      <c r="H10" s="172">
        <f>+'bevételi segédtábla'!H13</f>
        <v>310504756</v>
      </c>
      <c r="I10" s="172">
        <f>+'bevételi segédtábla'!I13</f>
        <v>489594945</v>
      </c>
      <c r="J10" s="172">
        <f>+'bevételi segédtábla'!J13</f>
        <v>649226081</v>
      </c>
      <c r="K10" s="172"/>
      <c r="L10" s="36">
        <f>H10/D10</f>
        <v>0.52719974894198662</v>
      </c>
      <c r="M10" s="36">
        <f>I10/E10</f>
        <v>0.83127336087330572</v>
      </c>
      <c r="N10" s="36">
        <f>J10/F10</f>
        <v>0.99967379638574549</v>
      </c>
      <c r="O10" s="172"/>
      <c r="P10" s="172">
        <f>+'bevételi segédtábla'!P13</f>
        <v>11823590</v>
      </c>
      <c r="Q10" s="172">
        <f>+'bevételi segédtábla'!Q13</f>
        <v>0</v>
      </c>
      <c r="R10" s="172">
        <f>+'bevételi segédtábla'!R13</f>
        <v>60468082</v>
      </c>
      <c r="S10" s="172">
        <f>+'bevételi segédtábla'!S13</f>
        <v>72291672</v>
      </c>
      <c r="T10" s="188">
        <f>IF(C10=0,0,+S10/C10)</f>
        <v>0.12525710943793383</v>
      </c>
      <c r="U10" s="172"/>
      <c r="V10" s="191">
        <f>+S10-E10+C10</f>
        <v>60468082</v>
      </c>
    </row>
    <row r="11" spans="1:22" ht="25.5" x14ac:dyDescent="0.2">
      <c r="A11" s="35" t="s">
        <v>262</v>
      </c>
      <c r="B11" s="18" t="s">
        <v>263</v>
      </c>
      <c r="C11" s="172">
        <f>+'bevételi segédtábla'!C14</f>
        <v>175000000</v>
      </c>
      <c r="D11" s="172">
        <f>+'bevételi segédtábla'!D14</f>
        <v>580968123</v>
      </c>
      <c r="E11" s="172">
        <f>+'bevételi segédtábla'!E14</f>
        <v>759461472</v>
      </c>
      <c r="F11" s="172">
        <f>+'bevételi segédtábla'!F14</f>
        <v>675688584</v>
      </c>
      <c r="G11" s="172"/>
      <c r="H11" s="172">
        <f>+'bevételi segédtábla'!H14</f>
        <v>505968123</v>
      </c>
      <c r="I11" s="172">
        <f>+'bevételi segédtábla'!I14</f>
        <v>607324056</v>
      </c>
      <c r="J11" s="172">
        <f>+'bevételi segédtábla'!J14</f>
        <v>702735950</v>
      </c>
      <c r="K11" s="172"/>
      <c r="L11" s="36">
        <f t="shared" ref="L11:N17" si="0">H11/D11</f>
        <v>0.87090513742352094</v>
      </c>
      <c r="M11" s="36">
        <f t="shared" si="0"/>
        <v>0.79967724287664721</v>
      </c>
      <c r="N11" s="36">
        <f t="shared" si="0"/>
        <v>1.0400293369467375</v>
      </c>
      <c r="O11" s="172"/>
      <c r="P11" s="172">
        <f>+'bevételi segédtábla'!P14</f>
        <v>405968123</v>
      </c>
      <c r="Q11" s="172">
        <f>+'bevételi segédtábla'!Q14</f>
        <v>178493349</v>
      </c>
      <c r="R11" s="172">
        <f>+'bevételi segédtábla'!R14</f>
        <v>-83772888</v>
      </c>
      <c r="S11" s="172">
        <f>+'bevételi segédtábla'!S14</f>
        <v>500688584</v>
      </c>
      <c r="T11" s="188">
        <f t="shared" ref="T11:T19" si="1">IF(C11=0,0,+S11/C11)</f>
        <v>2.8610776228571431</v>
      </c>
      <c r="U11" s="172"/>
      <c r="V11" s="191">
        <f t="shared" ref="V11:V19" si="2">+S11-E11+C11</f>
        <v>-83772888</v>
      </c>
    </row>
    <row r="12" spans="1:22" x14ac:dyDescent="0.2">
      <c r="A12" s="35" t="s">
        <v>270</v>
      </c>
      <c r="B12" s="18" t="s">
        <v>271</v>
      </c>
      <c r="C12" s="172">
        <f>+'bevételi segédtábla'!C15</f>
        <v>198244647</v>
      </c>
      <c r="D12" s="172">
        <f>+'bevételi segédtábla'!D15</f>
        <v>198244647</v>
      </c>
      <c r="E12" s="172">
        <f>+'bevételi segédtábla'!E15</f>
        <v>198244647</v>
      </c>
      <c r="F12" s="172">
        <f>+'bevételi segédtábla'!F15</f>
        <v>202101569</v>
      </c>
      <c r="G12" s="172"/>
      <c r="H12" s="172">
        <f>+'bevételi segédtábla'!H15</f>
        <v>110800513</v>
      </c>
      <c r="I12" s="172">
        <f>+'bevételi segédtábla'!I15</f>
        <v>168764227</v>
      </c>
      <c r="J12" s="172">
        <f>+'bevételi segédtábla'!J15</f>
        <v>219393130</v>
      </c>
      <c r="K12" s="172"/>
      <c r="L12" s="36">
        <f t="shared" si="0"/>
        <v>0.55890796889965966</v>
      </c>
      <c r="M12" s="36">
        <f t="shared" si="0"/>
        <v>0.85129273124837512</v>
      </c>
      <c r="N12" s="36">
        <f t="shared" si="0"/>
        <v>1.0855587667406976</v>
      </c>
      <c r="O12" s="172"/>
      <c r="P12" s="172">
        <f>+'bevételi segédtábla'!P15</f>
        <v>0</v>
      </c>
      <c r="Q12" s="172">
        <f>+'bevételi segédtábla'!Q15</f>
        <v>0</v>
      </c>
      <c r="R12" s="172">
        <f>+'bevételi segédtábla'!R15</f>
        <v>3856922</v>
      </c>
      <c r="S12" s="172">
        <f>+'bevételi segédtábla'!S15</f>
        <v>3856922</v>
      </c>
      <c r="T12" s="188">
        <f t="shared" si="1"/>
        <v>1.9455365168069332E-2</v>
      </c>
      <c r="U12" s="172"/>
      <c r="V12" s="191">
        <f t="shared" si="2"/>
        <v>3856922</v>
      </c>
    </row>
    <row r="13" spans="1:22" x14ac:dyDescent="0.2">
      <c r="A13" s="35" t="s">
        <v>284</v>
      </c>
      <c r="B13" s="18" t="s">
        <v>285</v>
      </c>
      <c r="C13" s="172">
        <f>+'bevételi segédtábla'!C16</f>
        <v>112396000</v>
      </c>
      <c r="D13" s="172">
        <f>+'bevételi segédtábla'!D16</f>
        <v>111902000</v>
      </c>
      <c r="E13" s="172">
        <f>+'bevételi segédtábla'!E16</f>
        <v>112173276</v>
      </c>
      <c r="F13" s="172">
        <f>+'bevételi segédtábla'!F16</f>
        <v>114459954</v>
      </c>
      <c r="G13" s="172"/>
      <c r="H13" s="172">
        <f>+'bevételi segédtábla'!H16</f>
        <v>77405545</v>
      </c>
      <c r="I13" s="172">
        <f>+'bevételi segédtábla'!I16</f>
        <v>106141511</v>
      </c>
      <c r="J13" s="172">
        <f>+'bevételi segédtábla'!J16</f>
        <v>135557922</v>
      </c>
      <c r="K13" s="172"/>
      <c r="L13" s="36">
        <f t="shared" si="0"/>
        <v>0.6917261979231828</v>
      </c>
      <c r="M13" s="36">
        <f t="shared" si="0"/>
        <v>0.94622814617627826</v>
      </c>
      <c r="N13" s="36">
        <f t="shared" si="0"/>
        <v>1.1843261967412637</v>
      </c>
      <c r="O13" s="172"/>
      <c r="P13" s="172">
        <f>+'bevételi segédtábla'!P16</f>
        <v>-494000</v>
      </c>
      <c r="Q13" s="172">
        <f>+'bevételi segédtábla'!Q16</f>
        <v>271276</v>
      </c>
      <c r="R13" s="172">
        <f>+'bevételi segédtábla'!R16</f>
        <v>2286678</v>
      </c>
      <c r="S13" s="172">
        <f>+'bevételi segédtábla'!S16</f>
        <v>2063954</v>
      </c>
      <c r="T13" s="188">
        <f t="shared" si="1"/>
        <v>1.8363233567030856E-2</v>
      </c>
      <c r="U13" s="172"/>
      <c r="V13" s="191">
        <f t="shared" si="2"/>
        <v>2286678</v>
      </c>
    </row>
    <row r="14" spans="1:22" x14ac:dyDescent="0.2">
      <c r="A14" s="35" t="s">
        <v>311</v>
      </c>
      <c r="B14" s="18" t="s">
        <v>312</v>
      </c>
      <c r="C14" s="172">
        <f>+'bevételi segédtábla'!C17</f>
        <v>72638000</v>
      </c>
      <c r="D14" s="172">
        <f>+'bevételi segédtábla'!D17</f>
        <v>72638000</v>
      </c>
      <c r="E14" s="172">
        <f>+'bevételi segédtábla'!E17</f>
        <v>72638000</v>
      </c>
      <c r="F14" s="172">
        <f>+'bevételi segédtábla'!F17</f>
        <v>52199487</v>
      </c>
      <c r="G14" s="172"/>
      <c r="H14" s="172">
        <f>+'bevételi segédtábla'!H17</f>
        <v>16435054</v>
      </c>
      <c r="I14" s="172">
        <f>+'bevételi segédtábla'!I17</f>
        <v>29416266</v>
      </c>
      <c r="J14" s="172">
        <f>+'bevételi segédtábla'!J17</f>
        <v>35127563</v>
      </c>
      <c r="K14" s="172"/>
      <c r="L14" s="36">
        <f t="shared" si="0"/>
        <v>0.2262597263140505</v>
      </c>
      <c r="M14" s="36">
        <f t="shared" si="0"/>
        <v>0.40497075910680358</v>
      </c>
      <c r="N14" s="36">
        <f t="shared" si="0"/>
        <v>0.67294843338211352</v>
      </c>
      <c r="O14" s="172"/>
      <c r="P14" s="172">
        <f>+'bevételi segédtábla'!P17</f>
        <v>0</v>
      </c>
      <c r="Q14" s="172">
        <f>+'bevételi segédtábla'!Q17</f>
        <v>0</v>
      </c>
      <c r="R14" s="172">
        <f>+'bevételi segédtábla'!R17</f>
        <v>-20438513</v>
      </c>
      <c r="S14" s="172">
        <f>+'bevételi segédtábla'!S17</f>
        <v>-20438513</v>
      </c>
      <c r="T14" s="188">
        <f t="shared" si="1"/>
        <v>-0.28137494149067982</v>
      </c>
      <c r="U14" s="172"/>
      <c r="V14" s="191">
        <f t="shared" si="2"/>
        <v>-20438513</v>
      </c>
    </row>
    <row r="15" spans="1:22" x14ac:dyDescent="0.2">
      <c r="A15" s="35" t="s">
        <v>321</v>
      </c>
      <c r="B15" s="18" t="s">
        <v>322</v>
      </c>
      <c r="C15" s="172">
        <f>+'bevételi segédtábla'!C18</f>
        <v>0</v>
      </c>
      <c r="D15" s="172">
        <f>+'bevételi segédtábla'!D18</f>
        <v>0</v>
      </c>
      <c r="E15" s="172">
        <f>+'bevételi segédtábla'!E18</f>
        <v>15000000</v>
      </c>
      <c r="F15" s="172">
        <f>+'bevételi segédtábla'!F18</f>
        <v>16000000</v>
      </c>
      <c r="G15" s="172"/>
      <c r="H15" s="172">
        <f>+'bevételi segédtábla'!H18</f>
        <v>100000</v>
      </c>
      <c r="I15" s="172">
        <f>+'bevételi segédtábla'!I18</f>
        <v>100000</v>
      </c>
      <c r="J15" s="172">
        <f>+'bevételi segédtábla'!J18</f>
        <v>16140000</v>
      </c>
      <c r="K15" s="172"/>
      <c r="L15" s="36" t="e">
        <f t="shared" si="0"/>
        <v>#DIV/0!</v>
      </c>
      <c r="M15" s="36">
        <f t="shared" si="0"/>
        <v>6.6666666666666671E-3</v>
      </c>
      <c r="N15" s="36">
        <f t="shared" si="0"/>
        <v>1.00875</v>
      </c>
      <c r="O15" s="172"/>
      <c r="P15" s="172">
        <f>+'bevételi segédtábla'!P18</f>
        <v>0</v>
      </c>
      <c r="Q15" s="172">
        <f>+'bevételi segédtábla'!Q18</f>
        <v>15000000</v>
      </c>
      <c r="R15" s="172">
        <f>+'bevételi segédtábla'!R18</f>
        <v>1000000</v>
      </c>
      <c r="S15" s="172">
        <f>+'bevételi segédtábla'!S18</f>
        <v>16000000</v>
      </c>
      <c r="T15" s="188">
        <f t="shared" si="1"/>
        <v>0</v>
      </c>
      <c r="U15" s="172"/>
      <c r="V15" s="191">
        <f t="shared" si="2"/>
        <v>1000000</v>
      </c>
    </row>
    <row r="16" spans="1:22" x14ac:dyDescent="0.2">
      <c r="A16" s="35" t="s">
        <v>326</v>
      </c>
      <c r="B16" s="18" t="s">
        <v>327</v>
      </c>
      <c r="C16" s="172">
        <f>+'bevételi segédtábla'!C19</f>
        <v>0</v>
      </c>
      <c r="D16" s="172">
        <f>+'bevételi segédtábla'!D19</f>
        <v>0</v>
      </c>
      <c r="E16" s="172">
        <f>+'bevételi segédtábla'!E19</f>
        <v>0</v>
      </c>
      <c r="F16" s="172">
        <f>+'bevételi segédtábla'!F19</f>
        <v>377000</v>
      </c>
      <c r="G16" s="172"/>
      <c r="H16" s="172">
        <f>+'bevételi segédtábla'!H19</f>
        <v>102000</v>
      </c>
      <c r="I16" s="172">
        <f>+'bevételi segédtábla'!I19</f>
        <v>277000</v>
      </c>
      <c r="J16" s="172">
        <f>+'bevételi segédtábla'!J19</f>
        <v>397000</v>
      </c>
      <c r="K16" s="172"/>
      <c r="L16" s="36" t="e">
        <f t="shared" si="0"/>
        <v>#DIV/0!</v>
      </c>
      <c r="M16" s="36" t="e">
        <f t="shared" si="0"/>
        <v>#DIV/0!</v>
      </c>
      <c r="N16" s="36">
        <f t="shared" si="0"/>
        <v>1.0530503978779842</v>
      </c>
      <c r="O16" s="172"/>
      <c r="P16" s="172">
        <f>+'bevételi segédtábla'!P19</f>
        <v>0</v>
      </c>
      <c r="Q16" s="172">
        <f>+'bevételi segédtábla'!Q19</f>
        <v>0</v>
      </c>
      <c r="R16" s="172">
        <f>+'bevételi segédtábla'!R19</f>
        <v>377000</v>
      </c>
      <c r="S16" s="172">
        <f>+'bevételi segédtábla'!S19</f>
        <v>377000</v>
      </c>
      <c r="T16" s="188">
        <f t="shared" si="1"/>
        <v>0</v>
      </c>
      <c r="U16" s="172"/>
      <c r="V16" s="191">
        <f t="shared" si="2"/>
        <v>377000</v>
      </c>
    </row>
    <row r="17" spans="1:22" x14ac:dyDescent="0.2">
      <c r="A17" s="35" t="s">
        <v>333</v>
      </c>
      <c r="B17" s="18" t="s">
        <v>334</v>
      </c>
      <c r="C17" s="172">
        <f>+'bevételi segédtábla'!C20</f>
        <v>575059181</v>
      </c>
      <c r="D17" s="172">
        <f>+'bevételi segédtábla'!D20</f>
        <v>595512181</v>
      </c>
      <c r="E17" s="172">
        <f>+'bevételi segédtábla'!E20</f>
        <v>597172181</v>
      </c>
      <c r="F17" s="172">
        <f>+'bevételi segédtábla'!F20</f>
        <v>605966018</v>
      </c>
      <c r="G17" s="172"/>
      <c r="H17" s="172">
        <f>+'bevételi segédtábla'!H20</f>
        <v>347273157</v>
      </c>
      <c r="I17" s="172">
        <f>+'bevételi segédtábla'!I20</f>
        <v>456478629</v>
      </c>
      <c r="J17" s="172">
        <f>+'bevételi segédtábla'!J20</f>
        <v>597025779</v>
      </c>
      <c r="K17" s="172"/>
      <c r="L17" s="36">
        <f t="shared" si="0"/>
        <v>0.58315038395495056</v>
      </c>
      <c r="M17" s="36">
        <f t="shared" si="0"/>
        <v>0.76440035809370699</v>
      </c>
      <c r="N17" s="36">
        <f t="shared" si="0"/>
        <v>0.98524630303608873</v>
      </c>
      <c r="O17" s="172"/>
      <c r="P17" s="172">
        <f>+'bevételi segédtábla'!P20</f>
        <v>20453000</v>
      </c>
      <c r="Q17" s="172">
        <f>+'bevételi segédtábla'!Q20</f>
        <v>1660000</v>
      </c>
      <c r="R17" s="172">
        <f>+'bevételi segédtábla'!R20</f>
        <v>8793837</v>
      </c>
      <c r="S17" s="172">
        <f>+'bevételi segédtábla'!S20</f>
        <v>30906837</v>
      </c>
      <c r="T17" s="188">
        <f t="shared" si="1"/>
        <v>5.3745489196876245E-2</v>
      </c>
      <c r="U17" s="172"/>
      <c r="V17" s="191">
        <f t="shared" si="2"/>
        <v>8793837</v>
      </c>
    </row>
    <row r="18" spans="1:22" ht="25.5" x14ac:dyDescent="0.2">
      <c r="A18" s="35"/>
      <c r="B18" s="398" t="s">
        <v>447</v>
      </c>
      <c r="C18" s="172">
        <f>+'bevételi segédtábla'!C21</f>
        <v>-454166162</v>
      </c>
      <c r="D18" s="172">
        <f>+'bevételi segédtábla'!D21</f>
        <v>-457619162</v>
      </c>
      <c r="E18" s="172">
        <f>+'bevételi segédtábla'!E21</f>
        <v>-459279162</v>
      </c>
      <c r="F18" s="172">
        <f>+'bevételi segédtábla'!F21</f>
        <v>-468072999</v>
      </c>
      <c r="G18" s="172"/>
      <c r="H18" s="172">
        <f>+'bevételi segédtábla'!H21</f>
        <v>-237712975</v>
      </c>
      <c r="I18" s="172">
        <f>+'bevételi segédtábla'!I21</f>
        <v>-346918447</v>
      </c>
      <c r="J18" s="172">
        <f>+'bevételi segédtábla'!J21</f>
        <v>-457470132</v>
      </c>
      <c r="K18" s="172"/>
      <c r="L18" s="36">
        <f t="shared" ref="L18" si="3">H18/D18</f>
        <v>0.51945590294140698</v>
      </c>
      <c r="M18" s="36">
        <f t="shared" ref="M18" si="4">I18/E18</f>
        <v>0.75535420655553276</v>
      </c>
      <c r="N18" s="36">
        <f t="shared" ref="N18" si="5">J18/F18</f>
        <v>0.97734783458423757</v>
      </c>
      <c r="O18" s="172"/>
      <c r="P18" s="172">
        <f>+'bevételi segédtábla'!P21</f>
        <v>-3453000</v>
      </c>
      <c r="Q18" s="172">
        <f>+'bevételi segédtábla'!Q21</f>
        <v>-1660000</v>
      </c>
      <c r="R18" s="172">
        <f>+'bevételi segédtábla'!R21</f>
        <v>-8793837</v>
      </c>
      <c r="S18" s="172">
        <f>+'bevételi segédtábla'!S21</f>
        <v>-13906837</v>
      </c>
      <c r="T18" s="188"/>
      <c r="U18" s="172"/>
      <c r="V18" s="191">
        <f t="shared" si="2"/>
        <v>-8793837</v>
      </c>
    </row>
    <row r="19" spans="1:22" x14ac:dyDescent="0.2">
      <c r="A19" s="79"/>
      <c r="B19" s="80" t="s">
        <v>377</v>
      </c>
      <c r="C19" s="173">
        <f>SUM(C10:C18)</f>
        <v>1256317924</v>
      </c>
      <c r="D19" s="173">
        <f t="shared" ref="D19:E19" si="6">SUM(D10:D18)</f>
        <v>1690615637</v>
      </c>
      <c r="E19" s="173">
        <f t="shared" si="6"/>
        <v>1884380262</v>
      </c>
      <c r="F19" s="173">
        <f>SUM(F10:F18)</f>
        <v>1848157543</v>
      </c>
      <c r="G19" s="173"/>
      <c r="H19" s="173">
        <f>SUM(H10:H18)</f>
        <v>1130876173</v>
      </c>
      <c r="I19" s="173">
        <f t="shared" ref="I19:J19" si="7">SUM(I10:I18)</f>
        <v>1511178187</v>
      </c>
      <c r="J19" s="173">
        <f t="shared" si="7"/>
        <v>1898133293</v>
      </c>
      <c r="K19" s="173"/>
      <c r="L19" s="34">
        <f>H19/D19</f>
        <v>0.66891382538419053</v>
      </c>
      <c r="M19" s="34">
        <f>I19/E19</f>
        <v>0.80194970063850091</v>
      </c>
      <c r="N19" s="34">
        <f>J19/F19</f>
        <v>1.0270408495148511</v>
      </c>
      <c r="O19" s="173"/>
      <c r="P19" s="173">
        <f>SUM(P10:P18)</f>
        <v>434297713</v>
      </c>
      <c r="Q19" s="173">
        <f t="shared" ref="Q19:S19" si="8">SUM(Q10:Q18)</f>
        <v>193764625</v>
      </c>
      <c r="R19" s="173">
        <f t="shared" si="8"/>
        <v>-36222719</v>
      </c>
      <c r="S19" s="173">
        <f t="shared" si="8"/>
        <v>591839619</v>
      </c>
      <c r="T19" s="188">
        <f t="shared" si="1"/>
        <v>0.47109064329484168</v>
      </c>
      <c r="U19" s="173"/>
      <c r="V19" s="191">
        <f t="shared" si="2"/>
        <v>-36222719</v>
      </c>
    </row>
    <row r="20" spans="1:22" x14ac:dyDescent="0.2">
      <c r="A20" s="193"/>
      <c r="B20" s="193"/>
      <c r="C20" s="193"/>
      <c r="D20" s="193"/>
      <c r="E20" s="193"/>
      <c r="F20" s="193"/>
      <c r="G20" s="193"/>
      <c r="H20" s="409"/>
      <c r="I20" s="409"/>
      <c r="J20" s="410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</row>
    <row r="21" spans="1:22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U21"/>
    </row>
    <row r="22" spans="1:22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U22"/>
    </row>
    <row r="23" spans="1:22" ht="16.350000000000001" customHeight="1" x14ac:dyDescent="0.2">
      <c r="A23" s="648" t="s">
        <v>375</v>
      </c>
      <c r="B23" s="649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50"/>
      <c r="O23" s="650"/>
      <c r="P23" s="650"/>
      <c r="Q23" s="650"/>
      <c r="R23" s="650"/>
      <c r="S23" s="650"/>
      <c r="T23" s="650"/>
      <c r="U23" s="650"/>
      <c r="V23" s="651"/>
    </row>
    <row r="24" spans="1:22" ht="16.350000000000001" customHeight="1" x14ac:dyDescent="0.2">
      <c r="A24" s="170"/>
      <c r="B24" s="171"/>
      <c r="C24" s="636" t="s">
        <v>408</v>
      </c>
      <c r="D24" s="637"/>
      <c r="E24" s="637"/>
      <c r="F24" s="638"/>
      <c r="G24" s="70"/>
      <c r="H24" s="630" t="s">
        <v>407</v>
      </c>
      <c r="I24" s="631"/>
      <c r="J24" s="631"/>
      <c r="K24" s="631"/>
      <c r="L24" s="631"/>
      <c r="M24" s="631"/>
      <c r="N24" s="632"/>
      <c r="O24" s="177"/>
      <c r="P24" s="636" t="s">
        <v>404</v>
      </c>
      <c r="Q24" s="637"/>
      <c r="R24" s="637"/>
      <c r="S24" s="637"/>
      <c r="T24" s="638"/>
      <c r="U24" s="175"/>
      <c r="V24" s="623" t="s">
        <v>410</v>
      </c>
    </row>
    <row r="25" spans="1:22" ht="13.35" customHeight="1" x14ac:dyDescent="0.2">
      <c r="A25" s="66"/>
      <c r="B25" s="67"/>
      <c r="C25" s="639"/>
      <c r="D25" s="640"/>
      <c r="E25" s="640"/>
      <c r="F25" s="641"/>
      <c r="G25" s="167"/>
      <c r="H25" s="633" t="s">
        <v>421</v>
      </c>
      <c r="I25" s="634"/>
      <c r="J25" s="635"/>
      <c r="K25" s="168"/>
      <c r="L25" s="633" t="s">
        <v>420</v>
      </c>
      <c r="M25" s="634"/>
      <c r="N25" s="635"/>
      <c r="O25" s="167"/>
      <c r="P25" s="639"/>
      <c r="Q25" s="640"/>
      <c r="R25" s="640"/>
      <c r="S25" s="640"/>
      <c r="T25" s="641"/>
      <c r="U25" s="174"/>
      <c r="V25" s="624"/>
    </row>
    <row r="26" spans="1:22" ht="57" x14ac:dyDescent="0.2">
      <c r="A26" s="194" t="s">
        <v>423</v>
      </c>
      <c r="B26" s="200" t="s">
        <v>371</v>
      </c>
      <c r="C26" s="195" t="s">
        <v>479</v>
      </c>
      <c r="D26" s="196" t="s">
        <v>480</v>
      </c>
      <c r="E26" s="196" t="s">
        <v>481</v>
      </c>
      <c r="F26" s="196" t="s">
        <v>482</v>
      </c>
      <c r="G26" s="196"/>
      <c r="H26" s="197" t="s">
        <v>483</v>
      </c>
      <c r="I26" s="197" t="s">
        <v>484</v>
      </c>
      <c r="J26" s="197" t="s">
        <v>485</v>
      </c>
      <c r="K26" s="201"/>
      <c r="L26" s="198" t="s">
        <v>486</v>
      </c>
      <c r="M26" s="198" t="s">
        <v>499</v>
      </c>
      <c r="N26" s="198" t="s">
        <v>491</v>
      </c>
      <c r="O26" s="201"/>
      <c r="P26" s="197" t="s">
        <v>487</v>
      </c>
      <c r="Q26" s="197" t="s">
        <v>489</v>
      </c>
      <c r="R26" s="197" t="s">
        <v>488</v>
      </c>
      <c r="S26" s="197" t="s">
        <v>405</v>
      </c>
      <c r="T26" s="198" t="s">
        <v>422</v>
      </c>
      <c r="U26" s="201"/>
      <c r="V26" s="625"/>
    </row>
    <row r="27" spans="1:22" x14ac:dyDescent="0.2">
      <c r="A27" s="14" t="s">
        <v>0</v>
      </c>
      <c r="B27" s="18" t="s">
        <v>3</v>
      </c>
      <c r="C27" s="145">
        <f>+'kiadási segédtábla'!C13</f>
        <v>419583100</v>
      </c>
      <c r="D27" s="145">
        <f>+'kiadási segédtábla'!D13</f>
        <v>419631100</v>
      </c>
      <c r="E27" s="172">
        <f>+'kiadási segédtábla'!E13</f>
        <v>420708303</v>
      </c>
      <c r="F27" s="145">
        <f>+'kiadási segédtábla'!F13</f>
        <v>416511227</v>
      </c>
      <c r="G27" s="145"/>
      <c r="H27" s="145">
        <f>+'kiadási segédtábla'!H13</f>
        <v>196211923</v>
      </c>
      <c r="I27" s="145">
        <f>+'kiadási segédtábla'!I13</f>
        <v>304691603</v>
      </c>
      <c r="J27" s="145">
        <f>+'kiadási segédtábla'!J13</f>
        <v>407945093</v>
      </c>
      <c r="K27" s="146"/>
      <c r="L27" s="31">
        <f t="shared" ref="L27:N33" si="9">H27/D27</f>
        <v>0.46758193804034065</v>
      </c>
      <c r="M27" s="31">
        <f t="shared" si="9"/>
        <v>0.72423482214944546</v>
      </c>
      <c r="N27" s="31">
        <f t="shared" si="9"/>
        <v>0.97943360599977292</v>
      </c>
      <c r="O27" s="146"/>
      <c r="P27" s="150">
        <f t="shared" ref="P27:P35" si="10">+(D27-C27)*P$8</f>
        <v>48000</v>
      </c>
      <c r="Q27" s="150">
        <f t="shared" ref="Q27:Q35" si="11">+(E27-D27)*Q$8</f>
        <v>1077203</v>
      </c>
      <c r="R27" s="150">
        <f t="shared" ref="R27:R35" si="12">+(F27-E27)*R$8</f>
        <v>-4197076</v>
      </c>
      <c r="S27" s="150">
        <f t="shared" ref="S27:S35" si="13">SUM(P27:R27)</f>
        <v>-3071873</v>
      </c>
      <c r="T27" s="169">
        <f t="shared" ref="T27:T41" si="14">IF(C27=0,0,+S27/C27)</f>
        <v>-7.3212505460777616E-3</v>
      </c>
      <c r="U27" s="172"/>
      <c r="V27" s="178">
        <f t="shared" ref="V27:V41" si="15">+S27-E27+C27</f>
        <v>-4197076</v>
      </c>
    </row>
    <row r="28" spans="1:22" ht="15" customHeight="1" x14ac:dyDescent="0.2">
      <c r="A28" s="14" t="s">
        <v>26</v>
      </c>
      <c r="B28" s="18" t="s">
        <v>27</v>
      </c>
      <c r="C28" s="145">
        <f>+'kiadási segédtábla'!C14</f>
        <v>83972000</v>
      </c>
      <c r="D28" s="145">
        <f>+'kiadási segédtábla'!D14</f>
        <v>83972000</v>
      </c>
      <c r="E28" s="172">
        <f>+'kiadási segédtábla'!E14</f>
        <v>83972000</v>
      </c>
      <c r="F28" s="145">
        <f>+'kiadási segédtábla'!F14</f>
        <v>91007335</v>
      </c>
      <c r="G28" s="145"/>
      <c r="H28" s="145">
        <f>+'kiadási segédtábla'!H14</f>
        <v>45860944</v>
      </c>
      <c r="I28" s="145">
        <f>+'kiadási segédtábla'!I14</f>
        <v>69073185</v>
      </c>
      <c r="J28" s="145">
        <f>+'kiadási segédtábla'!J14</f>
        <v>89071156</v>
      </c>
      <c r="K28" s="146"/>
      <c r="L28" s="31">
        <f t="shared" si="9"/>
        <v>0.54614566760348693</v>
      </c>
      <c r="M28" s="31">
        <f t="shared" si="9"/>
        <v>0.82257401276616016</v>
      </c>
      <c r="N28" s="31">
        <f t="shared" si="9"/>
        <v>0.97872502254900662</v>
      </c>
      <c r="O28" s="146"/>
      <c r="P28" s="150">
        <f t="shared" si="10"/>
        <v>0</v>
      </c>
      <c r="Q28" s="150">
        <f t="shared" si="11"/>
        <v>0</v>
      </c>
      <c r="R28" s="150">
        <f t="shared" si="12"/>
        <v>7035335</v>
      </c>
      <c r="S28" s="150">
        <f t="shared" si="13"/>
        <v>7035335</v>
      </c>
      <c r="T28" s="169">
        <f t="shared" si="14"/>
        <v>8.3781915400371554E-2</v>
      </c>
      <c r="U28" s="172"/>
      <c r="V28" s="178">
        <f t="shared" si="15"/>
        <v>7035335</v>
      </c>
    </row>
    <row r="29" spans="1:22" x14ac:dyDescent="0.2">
      <c r="A29" s="14" t="s">
        <v>29</v>
      </c>
      <c r="B29" s="18" t="s">
        <v>30</v>
      </c>
      <c r="C29" s="145">
        <f>+'kiadási segédtábla'!C15</f>
        <v>235214999</v>
      </c>
      <c r="D29" s="401">
        <f>+'kiadási segédtábla'!D15</f>
        <v>280010999</v>
      </c>
      <c r="E29" s="403">
        <f>+'kiadási segédtábla'!E15</f>
        <v>338927535</v>
      </c>
      <c r="F29" s="401">
        <f>+'kiadási segédtábla'!F15</f>
        <v>329872645</v>
      </c>
      <c r="G29" s="145"/>
      <c r="H29" s="145">
        <f>+'kiadási segédtábla'!H15</f>
        <v>151106445</v>
      </c>
      <c r="I29" s="145">
        <f>+'kiadási segédtábla'!I15</f>
        <v>236485134</v>
      </c>
      <c r="J29" s="145">
        <f>+'kiadási segédtábla'!J15</f>
        <v>308067633</v>
      </c>
      <c r="K29" s="146"/>
      <c r="L29" s="47">
        <f t="shared" si="9"/>
        <v>0.53964467660072168</v>
      </c>
      <c r="M29" s="47">
        <f t="shared" si="9"/>
        <v>0.69774541628787989</v>
      </c>
      <c r="N29" s="47">
        <f t="shared" si="9"/>
        <v>0.93389869596492303</v>
      </c>
      <c r="O29" s="146"/>
      <c r="P29" s="150">
        <f t="shared" si="10"/>
        <v>44796000</v>
      </c>
      <c r="Q29" s="150">
        <f t="shared" si="11"/>
        <v>58916536</v>
      </c>
      <c r="R29" s="150">
        <f t="shared" si="12"/>
        <v>-9054890</v>
      </c>
      <c r="S29" s="150">
        <f t="shared" si="13"/>
        <v>94657646</v>
      </c>
      <c r="T29" s="169">
        <f t="shared" si="14"/>
        <v>0.40243031440354704</v>
      </c>
      <c r="U29" s="172"/>
      <c r="V29" s="178">
        <f t="shared" si="15"/>
        <v>-9054890</v>
      </c>
    </row>
    <row r="30" spans="1:22" x14ac:dyDescent="0.2">
      <c r="A30" s="14" t="s">
        <v>111</v>
      </c>
      <c r="B30" s="18" t="s">
        <v>112</v>
      </c>
      <c r="C30" s="145">
        <f>+'kiadási segédtábla'!C16</f>
        <v>19500000</v>
      </c>
      <c r="D30" s="145">
        <f>+'kiadási segédtábla'!D16</f>
        <v>20000000</v>
      </c>
      <c r="E30" s="172">
        <f>+'kiadási segédtábla'!E16</f>
        <v>22040000</v>
      </c>
      <c r="F30" s="145">
        <f>+'kiadási segédtábla'!F16</f>
        <v>22398000</v>
      </c>
      <c r="G30" s="145"/>
      <c r="H30" s="145">
        <f>+'kiadási segédtábla'!H16</f>
        <v>8657425</v>
      </c>
      <c r="I30" s="145">
        <f>+'kiadási segédtábla'!I16</f>
        <v>14557125</v>
      </c>
      <c r="J30" s="145">
        <f>+'kiadási segédtábla'!J16</f>
        <v>21198245</v>
      </c>
      <c r="K30" s="145"/>
      <c r="L30" s="31">
        <f t="shared" si="9"/>
        <v>0.43287124999999999</v>
      </c>
      <c r="M30" s="31">
        <f t="shared" si="9"/>
        <v>0.66048661524500907</v>
      </c>
      <c r="N30" s="31">
        <f t="shared" si="9"/>
        <v>0.94643472631484959</v>
      </c>
      <c r="O30" s="145"/>
      <c r="P30" s="150">
        <f t="shared" si="10"/>
        <v>500000</v>
      </c>
      <c r="Q30" s="150">
        <f t="shared" si="11"/>
        <v>2040000</v>
      </c>
      <c r="R30" s="150">
        <f t="shared" si="12"/>
        <v>358000</v>
      </c>
      <c r="S30" s="150">
        <f t="shared" si="13"/>
        <v>2898000</v>
      </c>
      <c r="T30" s="169">
        <f t="shared" si="14"/>
        <v>0.14861538461538462</v>
      </c>
      <c r="U30" s="172"/>
      <c r="V30" s="178">
        <f t="shared" si="15"/>
        <v>358000</v>
      </c>
    </row>
    <row r="31" spans="1:22" x14ac:dyDescent="0.2">
      <c r="A31" s="14" t="s">
        <v>376</v>
      </c>
      <c r="B31" s="18" t="s">
        <v>141</v>
      </c>
      <c r="C31" s="145">
        <f>+'kiadási segédtábla'!C17</f>
        <v>174456925</v>
      </c>
      <c r="D31" s="145">
        <f>+'kiadási segédtábla'!D17</f>
        <v>144494000</v>
      </c>
      <c r="E31" s="172">
        <f>+'kiadási segédtábla'!E17</f>
        <v>144625000</v>
      </c>
      <c r="F31" s="145">
        <f>+'kiadási segédtábla'!F17</f>
        <v>142311000</v>
      </c>
      <c r="G31" s="145"/>
      <c r="H31" s="145">
        <f>+'kiadási segédtábla'!H17</f>
        <v>97482764</v>
      </c>
      <c r="I31" s="145">
        <f>+'kiadási segédtábla'!I17</f>
        <v>117252118</v>
      </c>
      <c r="J31" s="145">
        <f>+'kiadási segédtábla'!J17</f>
        <v>138791262</v>
      </c>
      <c r="K31" s="145"/>
      <c r="L31" s="31">
        <f t="shared" si="9"/>
        <v>0.6746492172685371</v>
      </c>
      <c r="M31" s="31">
        <f t="shared" si="9"/>
        <v>0.81073201728608468</v>
      </c>
      <c r="N31" s="31">
        <f t="shared" si="9"/>
        <v>0.97526728081455405</v>
      </c>
      <c r="O31" s="145"/>
      <c r="P31" s="150">
        <f t="shared" si="10"/>
        <v>-29962925</v>
      </c>
      <c r="Q31" s="150">
        <f t="shared" si="11"/>
        <v>131000</v>
      </c>
      <c r="R31" s="150">
        <f t="shared" si="12"/>
        <v>-2314000</v>
      </c>
      <c r="S31" s="150">
        <f t="shared" si="13"/>
        <v>-32145925</v>
      </c>
      <c r="T31" s="169">
        <f t="shared" si="14"/>
        <v>-0.18426282017753093</v>
      </c>
      <c r="U31" s="172"/>
      <c r="V31" s="178">
        <f t="shared" si="15"/>
        <v>-2314000</v>
      </c>
    </row>
    <row r="32" spans="1:22" x14ac:dyDescent="0.2">
      <c r="A32" s="14" t="s">
        <v>158</v>
      </c>
      <c r="B32" s="18" t="s">
        <v>159</v>
      </c>
      <c r="C32" s="145">
        <f>+'kiadási segédtábla'!C18</f>
        <v>215110900</v>
      </c>
      <c r="D32" s="145">
        <f>+'kiadási segédtábla'!D18</f>
        <v>428699652</v>
      </c>
      <c r="E32" s="172">
        <f>+'kiadási segédtábla'!E18</f>
        <v>235323989</v>
      </c>
      <c r="F32" s="145">
        <f>+'kiadási segédtábla'!F18</f>
        <v>214904965</v>
      </c>
      <c r="G32" s="401"/>
      <c r="H32" s="145">
        <f>+'kiadási segédtábla'!H18</f>
        <v>8380363</v>
      </c>
      <c r="I32" s="145">
        <f>+'kiadási segédtábla'!I18</f>
        <v>18554736</v>
      </c>
      <c r="J32" s="145">
        <f>+'kiadási segédtábla'!J18</f>
        <v>68002783</v>
      </c>
      <c r="K32" s="145"/>
      <c r="L32" s="31">
        <f t="shared" si="9"/>
        <v>1.954833170706656E-2</v>
      </c>
      <c r="M32" s="31">
        <f t="shared" si="9"/>
        <v>7.8847618038635242E-2</v>
      </c>
      <c r="N32" s="31">
        <f t="shared" si="9"/>
        <v>0.31643188420518809</v>
      </c>
      <c r="O32" s="145"/>
      <c r="P32" s="150">
        <f t="shared" si="10"/>
        <v>213588752</v>
      </c>
      <c r="Q32" s="150">
        <f t="shared" si="11"/>
        <v>-193375663</v>
      </c>
      <c r="R32" s="150">
        <f t="shared" si="12"/>
        <v>-20419024</v>
      </c>
      <c r="S32" s="150">
        <f t="shared" si="13"/>
        <v>-205935</v>
      </c>
      <c r="T32" s="169">
        <f t="shared" si="14"/>
        <v>-9.5734339821924408E-4</v>
      </c>
      <c r="U32" s="172"/>
      <c r="V32" s="178">
        <f t="shared" si="15"/>
        <v>-20419024</v>
      </c>
    </row>
    <row r="33" spans="1:22" x14ac:dyDescent="0.2">
      <c r="A33" s="14" t="s">
        <v>173</v>
      </c>
      <c r="B33" s="18" t="s">
        <v>174</v>
      </c>
      <c r="C33" s="145">
        <f>+'kiadási segédtábla'!C19</f>
        <v>108480000</v>
      </c>
      <c r="D33" s="145">
        <f>+'kiadási segédtábla'!D19</f>
        <v>296686866</v>
      </c>
      <c r="E33" s="172">
        <f>+'kiadási segédtábla'!E19</f>
        <v>606662415</v>
      </c>
      <c r="F33" s="145">
        <f>+'kiadási segédtábla'!F19</f>
        <v>599031351</v>
      </c>
      <c r="G33" s="145"/>
      <c r="H33" s="145">
        <f>+'kiadási segédtábla'!H19</f>
        <v>3723918</v>
      </c>
      <c r="I33" s="145">
        <f>+'kiadási segédtábla'!I19</f>
        <v>167101844</v>
      </c>
      <c r="J33" s="145">
        <f>+'kiadási segédtábla'!J19</f>
        <v>376257702</v>
      </c>
      <c r="K33" s="145"/>
      <c r="L33" s="31">
        <f t="shared" si="9"/>
        <v>1.2551677970132995E-2</v>
      </c>
      <c r="M33" s="31">
        <f t="shared" si="9"/>
        <v>0.2754445303818599</v>
      </c>
      <c r="N33" s="31">
        <f t="shared" si="9"/>
        <v>0.6281102005293876</v>
      </c>
      <c r="O33" s="145"/>
      <c r="P33" s="150">
        <f t="shared" si="10"/>
        <v>188206866</v>
      </c>
      <c r="Q33" s="150">
        <f t="shared" si="11"/>
        <v>309975549</v>
      </c>
      <c r="R33" s="150">
        <f t="shared" si="12"/>
        <v>-7631064</v>
      </c>
      <c r="S33" s="150">
        <f t="shared" si="13"/>
        <v>490551351</v>
      </c>
      <c r="T33" s="169">
        <f t="shared" si="14"/>
        <v>4.5220441648230087</v>
      </c>
      <c r="U33" s="172"/>
      <c r="V33" s="178">
        <f t="shared" si="15"/>
        <v>-7631064</v>
      </c>
    </row>
    <row r="34" spans="1:22" x14ac:dyDescent="0.2">
      <c r="A34" s="14" t="s">
        <v>183</v>
      </c>
      <c r="B34" s="18" t="s">
        <v>184</v>
      </c>
      <c r="C34" s="145">
        <f>+'kiadási segédtábla'!C20</f>
        <v>0</v>
      </c>
      <c r="D34" s="145">
        <f>+'kiadási segédtábla'!D20</f>
        <v>0</v>
      </c>
      <c r="E34" s="145">
        <f>+'kiadási segédtábla'!E20</f>
        <v>15000000</v>
      </c>
      <c r="F34" s="145">
        <f>+'kiadási segédtábla'!F20</f>
        <v>15000000</v>
      </c>
      <c r="G34" s="145"/>
      <c r="H34" s="145">
        <f>+'kiadási segédtábla'!H20</f>
        <v>0</v>
      </c>
      <c r="I34" s="145">
        <f>+'kiadási segédtábla'!I20</f>
        <v>15000000</v>
      </c>
      <c r="J34" s="145">
        <f>+'kiadási segédtábla'!J20</f>
        <v>15000000</v>
      </c>
      <c r="K34" s="145"/>
      <c r="L34" s="31">
        <v>0</v>
      </c>
      <c r="M34" s="31">
        <v>0</v>
      </c>
      <c r="N34" s="31">
        <v>0</v>
      </c>
      <c r="O34" s="145"/>
      <c r="P34" s="150">
        <f t="shared" si="10"/>
        <v>0</v>
      </c>
      <c r="Q34" s="150">
        <f t="shared" si="11"/>
        <v>15000000</v>
      </c>
      <c r="R34" s="150">
        <f t="shared" si="12"/>
        <v>0</v>
      </c>
      <c r="S34" s="150">
        <f t="shared" si="13"/>
        <v>15000000</v>
      </c>
      <c r="T34" s="169">
        <f t="shared" si="14"/>
        <v>0</v>
      </c>
      <c r="U34" s="172"/>
      <c r="V34" s="178">
        <f t="shared" si="15"/>
        <v>0</v>
      </c>
    </row>
    <row r="35" spans="1:22" x14ac:dyDescent="0.2">
      <c r="A35" s="14" t="s">
        <v>201</v>
      </c>
      <c r="B35" s="18" t="s">
        <v>202</v>
      </c>
      <c r="C35" s="145">
        <f>+'kiadási segédtábla'!C21</f>
        <v>454166162</v>
      </c>
      <c r="D35" s="145">
        <f>+'kiadási segédtábla'!D21</f>
        <v>474740182</v>
      </c>
      <c r="E35" s="145">
        <f>+'kiadási segédtábla'!E21</f>
        <v>476400182</v>
      </c>
      <c r="F35" s="145">
        <f>+'kiadási segédtábla'!F21</f>
        <v>485194019</v>
      </c>
      <c r="G35" s="145"/>
      <c r="H35" s="145">
        <f>+'kiadási segédtábla'!H21</f>
        <v>254833995</v>
      </c>
      <c r="I35" s="145">
        <f>+'kiadási segédtábla'!I21</f>
        <v>364039467</v>
      </c>
      <c r="J35" s="145">
        <f>+'kiadási segédtábla'!J21</f>
        <v>474591152</v>
      </c>
      <c r="K35" s="145"/>
      <c r="L35" s="31">
        <f t="shared" ref="L35:N37" si="16">+H35/D35</f>
        <v>0.53678623521275892</v>
      </c>
      <c r="M35" s="31">
        <f t="shared" si="16"/>
        <v>0.76414636424299265</v>
      </c>
      <c r="N35" s="31">
        <f t="shared" si="16"/>
        <v>0.9781471605485722</v>
      </c>
      <c r="O35" s="145"/>
      <c r="P35" s="150">
        <f t="shared" si="10"/>
        <v>20574020</v>
      </c>
      <c r="Q35" s="150">
        <f t="shared" si="11"/>
        <v>1660000</v>
      </c>
      <c r="R35" s="150">
        <f t="shared" si="12"/>
        <v>8793837</v>
      </c>
      <c r="S35" s="150">
        <f t="shared" si="13"/>
        <v>31027857</v>
      </c>
      <c r="T35" s="169">
        <f t="shared" si="14"/>
        <v>6.8318293162492369E-2</v>
      </c>
      <c r="U35" s="172"/>
      <c r="V35" s="178">
        <f t="shared" si="15"/>
        <v>8793837</v>
      </c>
    </row>
    <row r="36" spans="1:22" ht="25.5" x14ac:dyDescent="0.2">
      <c r="A36" s="14"/>
      <c r="B36" s="398" t="s">
        <v>447</v>
      </c>
      <c r="C36" s="145">
        <f>+'kiadási segédtábla'!C22</f>
        <v>-454166162</v>
      </c>
      <c r="D36" s="145">
        <f>+'kiadási segédtábla'!D22</f>
        <v>-457619162</v>
      </c>
      <c r="E36" s="145">
        <f>+'kiadási segédtábla'!E22</f>
        <v>-459279162</v>
      </c>
      <c r="F36" s="145">
        <f>-'kiadási segédtábla'!F145</f>
        <v>-468072999</v>
      </c>
      <c r="G36" s="145"/>
      <c r="H36" s="145">
        <f>-'kiadási segédtábla'!H145</f>
        <v>-237712975</v>
      </c>
      <c r="I36" s="145">
        <f>-'kiadási segédtábla'!I145</f>
        <v>-346918447</v>
      </c>
      <c r="J36" s="145">
        <f>-'kiadási segédtábla'!J145</f>
        <v>-457470132</v>
      </c>
      <c r="K36" s="145"/>
      <c r="L36" s="31">
        <f t="shared" si="16"/>
        <v>0.51945590294140698</v>
      </c>
      <c r="M36" s="31">
        <f t="shared" si="16"/>
        <v>0.75535420655553276</v>
      </c>
      <c r="N36" s="31">
        <f t="shared" si="16"/>
        <v>0.97734783458423757</v>
      </c>
      <c r="O36" s="145"/>
      <c r="P36" s="150">
        <f t="shared" ref="P36" si="17">+(D36-C36)*P$8</f>
        <v>-3453000</v>
      </c>
      <c r="Q36" s="150">
        <f t="shared" ref="Q36" si="18">+(E36-D36)*Q$8</f>
        <v>-1660000</v>
      </c>
      <c r="R36" s="150">
        <f t="shared" ref="R36" si="19">+(F36-E36)*R$8</f>
        <v>-8793837</v>
      </c>
      <c r="S36" s="150">
        <f t="shared" ref="S36" si="20">SUM(P36:R36)</f>
        <v>-13906837</v>
      </c>
      <c r="T36" s="169"/>
      <c r="U36" s="172"/>
      <c r="V36" s="178"/>
    </row>
    <row r="37" spans="1:22" x14ac:dyDescent="0.2">
      <c r="A37" s="7"/>
      <c r="B37" s="3" t="s">
        <v>378</v>
      </c>
      <c r="C37" s="82">
        <f>SUM(C27:C36)</f>
        <v>1256317924</v>
      </c>
      <c r="D37" s="82">
        <f t="shared" ref="D37:F37" si="21">SUM(D27:D36)</f>
        <v>1690615637</v>
      </c>
      <c r="E37" s="82">
        <f t="shared" si="21"/>
        <v>1884380262</v>
      </c>
      <c r="F37" s="82">
        <f t="shared" si="21"/>
        <v>1848157543</v>
      </c>
      <c r="G37" s="82"/>
      <c r="H37" s="82">
        <f t="shared" ref="H37" si="22">SUM(H27:H36)</f>
        <v>528544802</v>
      </c>
      <c r="I37" s="82">
        <f t="shared" ref="I37" si="23">SUM(I27:I36)</f>
        <v>959836765</v>
      </c>
      <c r="J37" s="82">
        <f t="shared" ref="J37" si="24">SUM(J27:J36)</f>
        <v>1441454894</v>
      </c>
      <c r="K37" s="82"/>
      <c r="L37" s="32">
        <f t="shared" si="16"/>
        <v>0.31263451634571626</v>
      </c>
      <c r="M37" s="32">
        <f t="shared" si="16"/>
        <v>0.50936468841022065</v>
      </c>
      <c r="N37" s="32">
        <f t="shared" si="16"/>
        <v>0.77994156908299894</v>
      </c>
      <c r="O37" s="82"/>
      <c r="P37" s="82">
        <f>SUM(P27:P36)</f>
        <v>434297713</v>
      </c>
      <c r="Q37" s="82">
        <f t="shared" ref="Q37:S37" si="25">SUM(Q27:Q36)</f>
        <v>193764625</v>
      </c>
      <c r="R37" s="82">
        <f t="shared" si="25"/>
        <v>-36222719</v>
      </c>
      <c r="S37" s="82">
        <f t="shared" si="25"/>
        <v>591839619</v>
      </c>
      <c r="T37" s="169">
        <f t="shared" si="14"/>
        <v>0.47109064329484168</v>
      </c>
      <c r="U37" s="176"/>
      <c r="V37" s="179">
        <f t="shared" si="15"/>
        <v>-36222719</v>
      </c>
    </row>
    <row r="38" spans="1:2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">
      <c r="A41" s="35"/>
      <c r="B41" s="189" t="s">
        <v>410</v>
      </c>
      <c r="C41" s="166">
        <f>+C19-C37</f>
        <v>0</v>
      </c>
      <c r="D41" s="166">
        <f>+D19-D37</f>
        <v>0</v>
      </c>
      <c r="E41" s="166">
        <f>+E19-E37</f>
        <v>0</v>
      </c>
      <c r="F41" s="166">
        <f>+F19-F37</f>
        <v>0</v>
      </c>
      <c r="G41" s="166"/>
      <c r="H41" s="166">
        <f>+H19-H37</f>
        <v>602331371</v>
      </c>
      <c r="I41" s="166">
        <f>+I19-I37</f>
        <v>551341422</v>
      </c>
      <c r="J41" s="166">
        <f>+J19-J37</f>
        <v>456678399</v>
      </c>
      <c r="K41" s="166"/>
      <c r="L41" s="166">
        <f>+L19-L37</f>
        <v>0.35627930903847427</v>
      </c>
      <c r="M41" s="166">
        <f>+M19-M37</f>
        <v>0.29258501222828026</v>
      </c>
      <c r="N41" s="166">
        <f>+N19-N37</f>
        <v>0.24709928043185214</v>
      </c>
      <c r="O41" s="166"/>
      <c r="P41" s="166">
        <f>+P19-P37</f>
        <v>0</v>
      </c>
      <c r="Q41" s="166">
        <f>+Q19-Q37</f>
        <v>0</v>
      </c>
      <c r="R41" s="166">
        <f>+R19-R37</f>
        <v>0</v>
      </c>
      <c r="S41" s="166">
        <f>+S19-S37</f>
        <v>0</v>
      </c>
      <c r="T41" s="188">
        <f t="shared" si="14"/>
        <v>0</v>
      </c>
      <c r="U41" s="190"/>
      <c r="V41" s="192">
        <f t="shared" si="15"/>
        <v>0</v>
      </c>
    </row>
    <row r="45" spans="1:22" x14ac:dyDescent="0.2">
      <c r="E45" s="19"/>
      <c r="F45" s="19"/>
      <c r="G45" s="19"/>
      <c r="K45" s="19"/>
      <c r="O45" s="19"/>
      <c r="P45" s="19"/>
      <c r="Q45" s="19"/>
      <c r="R45" s="19"/>
      <c r="S45" s="19"/>
      <c r="U45" s="19"/>
    </row>
    <row r="46" spans="1:22" x14ac:dyDescent="0.2">
      <c r="E46" s="19"/>
      <c r="F46" s="19"/>
      <c r="G46" s="19"/>
      <c r="H46" s="19"/>
      <c r="I46" s="19"/>
      <c r="J46" s="19"/>
      <c r="K46" s="19"/>
      <c r="O46" s="19"/>
      <c r="P46" s="19"/>
      <c r="Q46" s="19"/>
      <c r="R46" s="19"/>
      <c r="S46" s="19"/>
      <c r="U46" s="19"/>
    </row>
    <row r="49" spans="2:21" x14ac:dyDescent="0.2">
      <c r="H49" s="19"/>
      <c r="I49" s="19"/>
      <c r="J49" s="19"/>
    </row>
    <row r="51" spans="2:21" x14ac:dyDescent="0.2">
      <c r="H51" s="19"/>
      <c r="I51" s="19"/>
      <c r="J51" s="19"/>
    </row>
    <row r="52" spans="2:21" x14ac:dyDescent="0.2">
      <c r="H52" s="19"/>
      <c r="I52" s="19"/>
      <c r="J52" s="19"/>
    </row>
    <row r="53" spans="2:21" x14ac:dyDescent="0.2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46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="85" zoomScaleNormal="50" zoomScaleSheetLayoutView="85" workbookViewId="0">
      <pane ySplit="11" topLeftCell="A84" activePane="bottomLeft" state="frozen"/>
      <selection pane="bottomLeft" activeCell="J80" sqref="J80"/>
    </sheetView>
  </sheetViews>
  <sheetFormatPr defaultRowHeight="12.75" x14ac:dyDescent="0.2"/>
  <cols>
    <col min="1" max="1" width="8.42578125" style="13" customWidth="1"/>
    <col min="2" max="2" width="36.42578125" style="13" customWidth="1"/>
    <col min="3" max="3" width="19.42578125" style="13" customWidth="1"/>
    <col min="4" max="4" width="16.7109375" style="17" bestFit="1" customWidth="1"/>
    <col min="5" max="5" width="16.7109375" bestFit="1" customWidth="1"/>
    <col min="6" max="6" width="15.5703125" customWidth="1"/>
    <col min="7" max="7" width="0.85546875" customWidth="1"/>
    <col min="8" max="8" width="16.85546875" style="17" customWidth="1"/>
    <col min="9" max="9" width="17.28515625" style="17" customWidth="1"/>
    <col min="10" max="10" width="15.5703125" customWidth="1"/>
    <col min="11" max="11" width="0.85546875" customWidth="1"/>
    <col min="12" max="12" width="13.140625" customWidth="1"/>
    <col min="13" max="13" width="14.5703125" customWidth="1"/>
    <col min="14" max="14" width="14.7109375" customWidth="1"/>
    <col min="15" max="15" width="0.85546875" customWidth="1"/>
    <col min="16" max="19" width="15.5703125" style="17" customWidth="1"/>
    <col min="21" max="21" width="0.85546875" customWidth="1"/>
    <col min="22" max="22" width="9.5703125" customWidth="1"/>
  </cols>
  <sheetData>
    <row r="1" spans="1:27" ht="26.25" x14ac:dyDescent="0.4">
      <c r="A1" s="250" t="s">
        <v>424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 t="s">
        <v>426</v>
      </c>
      <c r="L1" s="251" t="s">
        <v>426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x14ac:dyDescent="0.2">
      <c r="A2" s="65"/>
      <c r="B2" s="65"/>
      <c r="C2" s="65"/>
      <c r="D2" s="65"/>
      <c r="H2" s="65">
        <f>'1. Sülysáp összesen'!H2</f>
        <v>0</v>
      </c>
      <c r="I2" s="65"/>
      <c r="L2" s="65"/>
      <c r="M2" s="65"/>
      <c r="N2" s="65"/>
      <c r="P2" s="65"/>
      <c r="Q2" s="65"/>
      <c r="R2" s="65"/>
      <c r="S2" s="65"/>
    </row>
    <row r="3" spans="1:27" x14ac:dyDescent="0.2">
      <c r="A3" s="65"/>
      <c r="B3" s="65"/>
      <c r="C3" s="589"/>
      <c r="D3" s="65"/>
      <c r="H3" s="65"/>
      <c r="I3" s="65"/>
      <c r="L3" s="65"/>
      <c r="M3" s="65"/>
      <c r="N3" s="65"/>
      <c r="P3" s="65"/>
      <c r="Q3" s="65"/>
      <c r="R3" s="65"/>
      <c r="S3" s="65"/>
    </row>
    <row r="4" spans="1:27" hidden="1" x14ac:dyDescent="0.2">
      <c r="A4" s="65"/>
      <c r="B4" s="65"/>
      <c r="C4" s="65"/>
      <c r="D4" s="65"/>
      <c r="H4" s="65"/>
      <c r="I4" s="65"/>
      <c r="L4" s="65"/>
      <c r="M4" s="65"/>
      <c r="N4" s="65"/>
      <c r="P4" s="65"/>
      <c r="Q4" s="65"/>
      <c r="R4" s="65"/>
      <c r="S4" s="65"/>
    </row>
    <row r="5" spans="1:27" hidden="1" x14ac:dyDescent="0.2">
      <c r="A5" s="65"/>
      <c r="B5" s="65"/>
      <c r="C5" s="65"/>
      <c r="D5" s="65"/>
      <c r="H5" s="65"/>
      <c r="I5" s="65"/>
      <c r="L5" s="65"/>
      <c r="M5" s="65"/>
      <c r="N5" s="65"/>
      <c r="P5" s="65"/>
      <c r="Q5" s="65"/>
      <c r="R5" s="65"/>
      <c r="S5" s="65"/>
    </row>
    <row r="6" spans="1:27" x14ac:dyDescent="0.2">
      <c r="A6" s="67"/>
      <c r="B6" s="67"/>
      <c r="C6" s="67"/>
      <c r="D6" s="67"/>
      <c r="E6" s="48"/>
      <c r="F6" s="48"/>
      <c r="G6" s="48"/>
      <c r="H6" s="67"/>
      <c r="I6" s="67"/>
      <c r="J6" s="48"/>
      <c r="K6" s="48"/>
      <c r="L6" s="67"/>
      <c r="M6" s="67"/>
      <c r="N6" s="67"/>
      <c r="O6" s="48"/>
      <c r="P6" s="65"/>
      <c r="Q6" s="65"/>
      <c r="R6" s="65"/>
      <c r="S6" s="65"/>
      <c r="T6" s="48"/>
      <c r="U6" s="48"/>
      <c r="V6" s="48"/>
    </row>
    <row r="7" spans="1:27" ht="15.75" x14ac:dyDescent="0.25">
      <c r="A7" s="243"/>
      <c r="B7" s="244"/>
      <c r="C7" s="657" t="s">
        <v>408</v>
      </c>
      <c r="D7" s="660"/>
      <c r="E7" s="660"/>
      <c r="F7" s="661"/>
      <c r="G7" s="70"/>
      <c r="H7" s="657" t="s">
        <v>419</v>
      </c>
      <c r="I7" s="658"/>
      <c r="J7" s="658"/>
      <c r="K7" s="658"/>
      <c r="L7" s="658"/>
      <c r="M7" s="658"/>
      <c r="N7" s="659"/>
      <c r="O7" s="70"/>
      <c r="P7" s="657" t="s">
        <v>404</v>
      </c>
      <c r="Q7" s="660"/>
      <c r="R7" s="660"/>
      <c r="S7" s="660"/>
      <c r="T7" s="661"/>
      <c r="U7" s="48"/>
      <c r="V7" s="48"/>
    </row>
    <row r="8" spans="1:27" x14ac:dyDescent="0.2">
      <c r="A8" s="35"/>
      <c r="B8" s="80"/>
      <c r="C8" s="160"/>
      <c r="D8" s="160"/>
      <c r="E8" s="160"/>
      <c r="F8" s="160"/>
      <c r="G8" s="160"/>
      <c r="H8" s="654" t="s">
        <v>421</v>
      </c>
      <c r="I8" s="655"/>
      <c r="J8" s="656"/>
      <c r="K8" s="140"/>
      <c r="L8" s="654" t="s">
        <v>420</v>
      </c>
      <c r="M8" s="655"/>
      <c r="N8" s="656"/>
      <c r="O8" s="160"/>
      <c r="P8" s="134">
        <f>+'1. Sülysáp összesen'!P8</f>
        <v>1</v>
      </c>
      <c r="Q8" s="134">
        <f>+'1. Sülysáp összesen'!Q8</f>
        <v>1</v>
      </c>
      <c r="R8" s="134">
        <f>+'1. Sülysáp összesen'!R8</f>
        <v>1</v>
      </c>
      <c r="S8" s="83"/>
      <c r="T8" s="83"/>
      <c r="U8" s="48"/>
      <c r="V8" s="48"/>
    </row>
    <row r="9" spans="1:27" ht="20.100000000000001" customHeight="1" x14ac:dyDescent="0.2">
      <c r="A9" s="252"/>
      <c r="B9" s="266" t="s">
        <v>372</v>
      </c>
      <c r="C9" s="267">
        <f>+C96</f>
        <v>1203415087</v>
      </c>
      <c r="D9" s="267">
        <f>+D96</f>
        <v>1637706800</v>
      </c>
      <c r="E9" s="267">
        <f>+E96</f>
        <v>1831200149</v>
      </c>
      <c r="F9" s="267">
        <f>+F96</f>
        <v>1790500986</v>
      </c>
      <c r="G9" s="267"/>
      <c r="H9" s="267">
        <f>+H96</f>
        <v>1106942512</v>
      </c>
      <c r="I9" s="267">
        <f>+I96</f>
        <v>1478486784</v>
      </c>
      <c r="J9" s="267">
        <f>+J96</f>
        <v>1839930102</v>
      </c>
      <c r="K9" s="253"/>
      <c r="L9" s="268">
        <f>H9/C9</f>
        <v>0.91983433144377724</v>
      </c>
      <c r="M9" s="268">
        <f>I9/D9</f>
        <v>0.90277868053060539</v>
      </c>
      <c r="N9" s="268">
        <f>J9/E9</f>
        <v>1.0047673396077252</v>
      </c>
      <c r="O9" s="253"/>
      <c r="P9" s="267">
        <f>+P96</f>
        <v>434291713</v>
      </c>
      <c r="Q9" s="267">
        <f>+Q96</f>
        <v>193493349</v>
      </c>
      <c r="R9" s="267">
        <f>+R96</f>
        <v>-40699163</v>
      </c>
      <c r="S9" s="267">
        <f>+S96</f>
        <v>587085899</v>
      </c>
      <c r="T9" s="269">
        <f>IF(C9=0,0,+S9/C9)</f>
        <v>0.48784987436342486</v>
      </c>
      <c r="U9" s="254" t="e">
        <f>+R9-D9+B9</f>
        <v>#VALUE!</v>
      </c>
      <c r="V9" s="254">
        <f>+S9-E9+C9</f>
        <v>-40699163</v>
      </c>
    </row>
    <row r="10" spans="1:27" x14ac:dyDescent="0.2">
      <c r="A10" s="35"/>
      <c r="B10" s="80"/>
      <c r="C10" s="160"/>
      <c r="D10" s="160"/>
      <c r="E10" s="160"/>
      <c r="F10" s="160"/>
      <c r="G10" s="160"/>
      <c r="H10" s="218"/>
      <c r="I10" s="131"/>
      <c r="J10" s="132"/>
      <c r="K10" s="140"/>
      <c r="L10" s="218"/>
      <c r="M10" s="131"/>
      <c r="N10" s="132"/>
      <c r="O10" s="160"/>
      <c r="P10" s="264"/>
      <c r="Q10" s="264"/>
      <c r="R10" s="264"/>
      <c r="S10" s="186"/>
      <c r="T10" s="186"/>
      <c r="U10" s="265"/>
      <c r="V10" s="265"/>
      <c r="W10" s="8"/>
    </row>
    <row r="11" spans="1:27" ht="71.099999999999994" customHeight="1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8"/>
      <c r="V11" s="138" t="s">
        <v>410</v>
      </c>
    </row>
    <row r="12" spans="1:27" x14ac:dyDescent="0.2">
      <c r="A12" s="158"/>
      <c r="B12" s="155"/>
      <c r="C12" s="73"/>
      <c r="D12" s="73"/>
      <c r="E12" s="70"/>
      <c r="F12" s="70"/>
      <c r="G12" s="70"/>
      <c r="H12" s="70"/>
      <c r="I12" s="70"/>
      <c r="J12" s="70"/>
      <c r="K12" s="70"/>
      <c r="L12" s="143"/>
      <c r="M12" s="143"/>
      <c r="N12" s="143"/>
      <c r="O12" s="70"/>
      <c r="P12" s="83"/>
      <c r="Q12" s="83"/>
      <c r="R12" s="83"/>
      <c r="S12" s="83"/>
      <c r="T12" s="161"/>
      <c r="U12" s="70"/>
      <c r="V12" s="208"/>
    </row>
    <row r="13" spans="1:27" ht="25.5" x14ac:dyDescent="0.2">
      <c r="A13" s="4" t="s">
        <v>241</v>
      </c>
      <c r="B13" s="3" t="s">
        <v>242</v>
      </c>
      <c r="C13" s="68">
        <f>+C14+C21+C22+C23+C24+C25</f>
        <v>577146258</v>
      </c>
      <c r="D13" s="68">
        <f>+D14+D21+D22+D23+D24+D25</f>
        <v>588469848</v>
      </c>
      <c r="E13" s="68">
        <f>+E14+E21+E22+E23+E24+E25</f>
        <v>588469848</v>
      </c>
      <c r="F13" s="68">
        <f>+F14+F21+F22+F23+F24+F25</f>
        <v>647637164</v>
      </c>
      <c r="G13" s="68"/>
      <c r="H13" s="68">
        <f>+H14+H21+H22+H23+H24+H25</f>
        <v>310092946</v>
      </c>
      <c r="I13" s="68">
        <f>I14+I25</f>
        <v>487769287</v>
      </c>
      <c r="J13" s="68">
        <f>+J14+J21+J22+J23+J24+J25</f>
        <v>646582727</v>
      </c>
      <c r="K13" s="68"/>
      <c r="L13" s="89">
        <f>H13/C13</f>
        <v>0.53728659191965167</v>
      </c>
      <c r="M13" s="89">
        <f>I13/D13</f>
        <v>0.82887728004715033</v>
      </c>
      <c r="N13" s="89">
        <f>J13/E13</f>
        <v>1.0987525175631427</v>
      </c>
      <c r="O13" s="68"/>
      <c r="P13" s="68">
        <f t="shared" ref="P13" si="0">+(D13-C13)*P$8</f>
        <v>11323590</v>
      </c>
      <c r="Q13" s="68">
        <f t="shared" ref="Q13" si="1">+(E13-D13)*Q$8</f>
        <v>0</v>
      </c>
      <c r="R13" s="68">
        <f t="shared" ref="R13" si="2">+(F13-E13)*R$8</f>
        <v>59167316</v>
      </c>
      <c r="S13" s="68">
        <f t="shared" ref="S13" si="3">SUM(P13:R13)</f>
        <v>70490906</v>
      </c>
      <c r="T13" s="89">
        <f t="shared" ref="T13" si="4">IF(C13=0,0,+S13/C13)</f>
        <v>0.12213698871456601</v>
      </c>
      <c r="U13" s="160"/>
      <c r="V13" s="208">
        <f t="shared" ref="V13" si="5">+S13-E13+C13</f>
        <v>59167316</v>
      </c>
    </row>
    <row r="14" spans="1:27" ht="25.5" x14ac:dyDescent="0.2">
      <c r="A14" s="39" t="s">
        <v>243</v>
      </c>
      <c r="B14" s="40" t="s">
        <v>244</v>
      </c>
      <c r="C14" s="147">
        <f>SUM(C15:C20)</f>
        <v>487376258</v>
      </c>
      <c r="D14" s="147">
        <f t="shared" ref="D14:F14" si="6">SUM(D15:D20)</f>
        <v>498699848</v>
      </c>
      <c r="E14" s="147">
        <f>SUM(E15:E19)</f>
        <v>498699848</v>
      </c>
      <c r="F14" s="147">
        <f t="shared" si="6"/>
        <v>550676618</v>
      </c>
      <c r="G14" s="101"/>
      <c r="H14" s="147">
        <f t="shared" ref="H14" si="7">SUM(H15:H20)</f>
        <v>262074521</v>
      </c>
      <c r="I14" s="147">
        <f t="shared" ref="I14" si="8">SUM(I15:I20)</f>
        <v>414326490</v>
      </c>
      <c r="J14" s="147">
        <f t="shared" ref="J14" si="9">SUM(J15:J20)</f>
        <v>550237148</v>
      </c>
      <c r="K14" s="101"/>
      <c r="L14" s="143">
        <f t="shared" ref="L14:N19" si="10">+H14/C14</f>
        <v>0.5377252516883988</v>
      </c>
      <c r="M14" s="143">
        <f t="shared" si="10"/>
        <v>0.83081334727015999</v>
      </c>
      <c r="N14" s="143">
        <f t="shared" si="10"/>
        <v>1.1033433240589237</v>
      </c>
      <c r="O14" s="101"/>
      <c r="P14" s="101">
        <f t="shared" ref="P14:P24" si="11">+(D14-C14)*P$8</f>
        <v>11323590</v>
      </c>
      <c r="Q14" s="101">
        <f t="shared" ref="Q14:Q24" si="12">+(E14-D14)*Q$8</f>
        <v>0</v>
      </c>
      <c r="R14" s="101">
        <f t="shared" ref="R14:R24" si="13">+(F14-E14)*R$8</f>
        <v>51976770</v>
      </c>
      <c r="S14" s="101">
        <f t="shared" ref="S14" si="14">SUM(P14:R14)</f>
        <v>63300360</v>
      </c>
      <c r="T14" s="89">
        <f t="shared" ref="T14:T50" si="15">IF(C14=0,0,+S14/C14)</f>
        <v>0.12987985967917215</v>
      </c>
      <c r="U14" s="101"/>
      <c r="V14" s="208">
        <f t="shared" ref="V14:V50" si="16">+S14-E14+C14</f>
        <v>51976770</v>
      </c>
    </row>
    <row r="15" spans="1:27" ht="25.5" x14ac:dyDescent="0.2">
      <c r="A15" s="158" t="s">
        <v>245</v>
      </c>
      <c r="B15" s="156" t="s">
        <v>383</v>
      </c>
      <c r="C15" s="73">
        <v>168441241</v>
      </c>
      <c r="D15" s="70">
        <v>168441241</v>
      </c>
      <c r="E15" s="70">
        <v>168441241</v>
      </c>
      <c r="F15" s="70">
        <v>169441241</v>
      </c>
      <c r="G15" s="70"/>
      <c r="H15" s="70">
        <v>87668312</v>
      </c>
      <c r="I15" s="70">
        <v>129054778</v>
      </c>
      <c r="J15" s="70">
        <v>169441241</v>
      </c>
      <c r="K15" s="70"/>
      <c r="L15" s="143">
        <f t="shared" si="10"/>
        <v>0.52046821478832495</v>
      </c>
      <c r="M15" s="143">
        <f t="shared" si="10"/>
        <v>0.76617090466579973</v>
      </c>
      <c r="N15" s="143">
        <f t="shared" si="10"/>
        <v>1.0059367883664547</v>
      </c>
      <c r="O15" s="70"/>
      <c r="P15" s="83">
        <f t="shared" si="11"/>
        <v>0</v>
      </c>
      <c r="Q15" s="83">
        <f t="shared" si="12"/>
        <v>0</v>
      </c>
      <c r="R15" s="83">
        <f t="shared" si="13"/>
        <v>1000000</v>
      </c>
      <c r="S15" s="83">
        <f>SUM(P15:R15)</f>
        <v>1000000</v>
      </c>
      <c r="T15" s="89">
        <f t="shared" si="15"/>
        <v>5.9367883664547452E-3</v>
      </c>
      <c r="U15" s="70"/>
      <c r="V15" s="208">
        <f t="shared" si="16"/>
        <v>1000000</v>
      </c>
    </row>
    <row r="16" spans="1:27" ht="25.5" x14ac:dyDescent="0.2">
      <c r="A16" s="158" t="s">
        <v>246</v>
      </c>
      <c r="B16" s="155" t="s">
        <v>411</v>
      </c>
      <c r="C16" s="73">
        <v>167733010</v>
      </c>
      <c r="D16" s="73">
        <v>171136101</v>
      </c>
      <c r="E16" s="70">
        <v>171136101</v>
      </c>
      <c r="F16" s="70">
        <v>179574524</v>
      </c>
      <c r="G16" s="70"/>
      <c r="H16" s="70">
        <v>87890840</v>
      </c>
      <c r="I16" s="70">
        <v>131850947</v>
      </c>
      <c r="J16" s="70">
        <v>179574524</v>
      </c>
      <c r="K16" s="70"/>
      <c r="L16" s="143">
        <f t="shared" si="10"/>
        <v>0.52399250451655277</v>
      </c>
      <c r="M16" s="143">
        <f t="shared" si="10"/>
        <v>0.77044496298300025</v>
      </c>
      <c r="N16" s="143">
        <f t="shared" si="10"/>
        <v>1.0493082578759931</v>
      </c>
      <c r="O16" s="70"/>
      <c r="P16" s="83">
        <f t="shared" si="11"/>
        <v>3403091</v>
      </c>
      <c r="Q16" s="83">
        <f t="shared" si="12"/>
        <v>0</v>
      </c>
      <c r="R16" s="83">
        <f t="shared" si="13"/>
        <v>8438423</v>
      </c>
      <c r="S16" s="83">
        <f t="shared" ref="S16:S19" si="17">SUM(P16:R16)</f>
        <v>11841514</v>
      </c>
      <c r="T16" s="89">
        <f t="shared" si="15"/>
        <v>7.0597397614220361E-2</v>
      </c>
      <c r="U16" s="70"/>
      <c r="V16" s="208">
        <f t="shared" si="16"/>
        <v>8438423</v>
      </c>
    </row>
    <row r="17" spans="1:22" ht="25.5" x14ac:dyDescent="0.2">
      <c r="A17" s="158" t="s">
        <v>247</v>
      </c>
      <c r="B17" s="155" t="s">
        <v>412</v>
      </c>
      <c r="C17" s="73">
        <v>141808407</v>
      </c>
      <c r="D17" s="70">
        <v>145093205</v>
      </c>
      <c r="E17" s="70">
        <v>145093205</v>
      </c>
      <c r="F17" s="70">
        <v>175264926</v>
      </c>
      <c r="G17" s="70"/>
      <c r="H17" s="70">
        <v>76994996</v>
      </c>
      <c r="I17" s="70">
        <v>131877911</v>
      </c>
      <c r="J17" s="70">
        <v>175264926</v>
      </c>
      <c r="K17" s="70"/>
      <c r="L17" s="143">
        <f t="shared" si="10"/>
        <v>0.5429508562210984</v>
      </c>
      <c r="M17" s="143">
        <f t="shared" si="10"/>
        <v>0.90891858788287161</v>
      </c>
      <c r="N17" s="143">
        <f t="shared" si="10"/>
        <v>1.2079471674776223</v>
      </c>
      <c r="O17" s="70"/>
      <c r="P17" s="83">
        <f t="shared" si="11"/>
        <v>3284798</v>
      </c>
      <c r="Q17" s="83">
        <f t="shared" si="12"/>
        <v>0</v>
      </c>
      <c r="R17" s="83">
        <f t="shared" si="13"/>
        <v>30171721</v>
      </c>
      <c r="S17" s="83">
        <f t="shared" si="17"/>
        <v>33456519</v>
      </c>
      <c r="T17" s="89">
        <f t="shared" si="15"/>
        <v>0.23592761323381906</v>
      </c>
      <c r="U17" s="70"/>
      <c r="V17" s="208">
        <f t="shared" si="16"/>
        <v>30171721</v>
      </c>
    </row>
    <row r="18" spans="1:22" ht="25.5" x14ac:dyDescent="0.2">
      <c r="A18" s="158" t="s">
        <v>248</v>
      </c>
      <c r="B18" s="155" t="s">
        <v>413</v>
      </c>
      <c r="C18" s="73">
        <v>9393600</v>
      </c>
      <c r="D18" s="73">
        <v>10535554</v>
      </c>
      <c r="E18" s="148">
        <v>10535554</v>
      </c>
      <c r="F18" s="148">
        <v>11613649</v>
      </c>
      <c r="G18" s="148"/>
      <c r="H18" s="70">
        <v>6026626</v>
      </c>
      <c r="I18" s="148">
        <v>8601704</v>
      </c>
      <c r="J18" s="148">
        <v>11174179</v>
      </c>
      <c r="K18" s="148"/>
      <c r="L18" s="143">
        <f t="shared" si="10"/>
        <v>0.64156723726792708</v>
      </c>
      <c r="M18" s="143">
        <f t="shared" si="10"/>
        <v>0.81644534307355832</v>
      </c>
      <c r="N18" s="143">
        <f t="shared" si="10"/>
        <v>1.0606161764250841</v>
      </c>
      <c r="O18" s="148"/>
      <c r="P18" s="83">
        <f t="shared" si="11"/>
        <v>1141954</v>
      </c>
      <c r="Q18" s="83">
        <f t="shared" si="12"/>
        <v>0</v>
      </c>
      <c r="R18" s="83">
        <f t="shared" si="13"/>
        <v>1078095</v>
      </c>
      <c r="S18" s="83">
        <f t="shared" si="17"/>
        <v>2220049</v>
      </c>
      <c r="T18" s="89">
        <f t="shared" si="15"/>
        <v>0.23633633537727813</v>
      </c>
      <c r="U18" s="148"/>
      <c r="V18" s="208">
        <f t="shared" si="16"/>
        <v>1078095</v>
      </c>
    </row>
    <row r="19" spans="1:22" ht="25.5" x14ac:dyDescent="0.2">
      <c r="A19" s="158" t="s">
        <v>249</v>
      </c>
      <c r="B19" s="156" t="s">
        <v>250</v>
      </c>
      <c r="C19" s="73">
        <v>0</v>
      </c>
      <c r="D19" s="70">
        <v>3493747</v>
      </c>
      <c r="E19" s="70">
        <v>3493747</v>
      </c>
      <c r="F19" s="70">
        <v>6877955</v>
      </c>
      <c r="G19" s="70"/>
      <c r="H19" s="70">
        <v>3493747</v>
      </c>
      <c r="I19" s="70">
        <v>5036827</v>
      </c>
      <c r="J19" s="70">
        <v>6877955</v>
      </c>
      <c r="K19" s="70"/>
      <c r="L19" s="143" t="e">
        <f t="shared" si="10"/>
        <v>#DIV/0!</v>
      </c>
      <c r="M19" s="143">
        <f t="shared" si="10"/>
        <v>1.4416690733473259</v>
      </c>
      <c r="N19" s="143">
        <f t="shared" si="10"/>
        <v>1.968647128713098</v>
      </c>
      <c r="O19" s="70"/>
      <c r="P19" s="83">
        <f t="shared" si="11"/>
        <v>3493747</v>
      </c>
      <c r="Q19" s="83">
        <f t="shared" si="12"/>
        <v>0</v>
      </c>
      <c r="R19" s="83">
        <f t="shared" si="13"/>
        <v>3384208</v>
      </c>
      <c r="S19" s="83">
        <f t="shared" si="17"/>
        <v>6877955</v>
      </c>
      <c r="T19" s="89">
        <f t="shared" si="15"/>
        <v>0</v>
      </c>
      <c r="U19" s="70"/>
      <c r="V19" s="208">
        <f t="shared" si="16"/>
        <v>3384208</v>
      </c>
    </row>
    <row r="20" spans="1:22" ht="26.45" customHeight="1" x14ac:dyDescent="0.2">
      <c r="A20" s="158" t="s">
        <v>251</v>
      </c>
      <c r="B20" s="156" t="s">
        <v>252</v>
      </c>
      <c r="C20" s="73">
        <v>0</v>
      </c>
      <c r="D20" s="70"/>
      <c r="E20" s="70"/>
      <c r="F20" s="70">
        <v>7904323</v>
      </c>
      <c r="G20" s="70"/>
      <c r="H20" s="70"/>
      <c r="I20" s="70">
        <v>7904323</v>
      </c>
      <c r="J20" s="70">
        <v>7904323</v>
      </c>
      <c r="K20" s="70"/>
      <c r="L20" s="143"/>
      <c r="M20" s="144"/>
      <c r="N20" s="144"/>
      <c r="O20" s="70"/>
      <c r="P20" s="83">
        <f t="shared" si="11"/>
        <v>0</v>
      </c>
      <c r="Q20" s="83">
        <f t="shared" si="12"/>
        <v>0</v>
      </c>
      <c r="R20" s="83">
        <f t="shared" si="13"/>
        <v>7904323</v>
      </c>
      <c r="S20" s="83">
        <f t="shared" ref="S20:S24" si="18">SUM(P20:R20)</f>
        <v>7904323</v>
      </c>
      <c r="T20" s="89">
        <f t="shared" si="15"/>
        <v>0</v>
      </c>
      <c r="U20" s="70"/>
      <c r="V20" s="208">
        <f t="shared" si="16"/>
        <v>7904323</v>
      </c>
    </row>
    <row r="21" spans="1:22" x14ac:dyDescent="0.2">
      <c r="A21" s="39" t="s">
        <v>253</v>
      </c>
      <c r="B21" s="40" t="s">
        <v>254</v>
      </c>
      <c r="C21" s="147"/>
      <c r="D21" s="101"/>
      <c r="E21" s="101"/>
      <c r="F21" s="101"/>
      <c r="G21" s="101"/>
      <c r="H21" s="101"/>
      <c r="I21" s="101"/>
      <c r="J21" s="101"/>
      <c r="K21" s="101"/>
      <c r="L21" s="144"/>
      <c r="M21" s="144"/>
      <c r="N21" s="144"/>
      <c r="O21" s="101"/>
      <c r="P21" s="83">
        <f t="shared" si="11"/>
        <v>0</v>
      </c>
      <c r="Q21" s="83">
        <f t="shared" si="12"/>
        <v>0</v>
      </c>
      <c r="R21" s="83">
        <f t="shared" si="13"/>
        <v>0</v>
      </c>
      <c r="S21" s="83">
        <f t="shared" si="18"/>
        <v>0</v>
      </c>
      <c r="T21" s="89">
        <f t="shared" si="15"/>
        <v>0</v>
      </c>
      <c r="U21" s="101"/>
      <c r="V21" s="208">
        <f t="shared" si="16"/>
        <v>0</v>
      </c>
    </row>
    <row r="22" spans="1:22" ht="51" x14ac:dyDescent="0.2">
      <c r="A22" s="39" t="s">
        <v>255</v>
      </c>
      <c r="B22" s="40" t="s">
        <v>256</v>
      </c>
      <c r="C22" s="147"/>
      <c r="D22" s="101"/>
      <c r="E22" s="101"/>
      <c r="F22" s="101"/>
      <c r="G22" s="101"/>
      <c r="H22" s="101"/>
      <c r="I22" s="101"/>
      <c r="J22" s="101"/>
      <c r="K22" s="101"/>
      <c r="L22" s="144"/>
      <c r="M22" s="144"/>
      <c r="N22" s="144"/>
      <c r="O22" s="101"/>
      <c r="P22" s="83">
        <f t="shared" si="11"/>
        <v>0</v>
      </c>
      <c r="Q22" s="83">
        <f t="shared" si="12"/>
        <v>0</v>
      </c>
      <c r="R22" s="83">
        <f t="shared" si="13"/>
        <v>0</v>
      </c>
      <c r="S22" s="83">
        <f t="shared" si="18"/>
        <v>0</v>
      </c>
      <c r="T22" s="89">
        <f t="shared" si="15"/>
        <v>0</v>
      </c>
      <c r="U22" s="101"/>
      <c r="V22" s="208">
        <f t="shared" si="16"/>
        <v>0</v>
      </c>
    </row>
    <row r="23" spans="1:22" ht="51" x14ac:dyDescent="0.2">
      <c r="A23" s="39" t="s">
        <v>257</v>
      </c>
      <c r="B23" s="40" t="s">
        <v>258</v>
      </c>
      <c r="C23" s="147"/>
      <c r="D23" s="101"/>
      <c r="E23" s="101"/>
      <c r="F23" s="101"/>
      <c r="G23" s="101"/>
      <c r="H23" s="101"/>
      <c r="I23" s="101"/>
      <c r="J23" s="101"/>
      <c r="K23" s="101"/>
      <c r="L23" s="144"/>
      <c r="M23" s="144"/>
      <c r="N23" s="144"/>
      <c r="O23" s="101"/>
      <c r="P23" s="83">
        <f t="shared" si="11"/>
        <v>0</v>
      </c>
      <c r="Q23" s="83">
        <f t="shared" si="12"/>
        <v>0</v>
      </c>
      <c r="R23" s="83">
        <f t="shared" si="13"/>
        <v>0</v>
      </c>
      <c r="S23" s="83">
        <f t="shared" si="18"/>
        <v>0</v>
      </c>
      <c r="T23" s="89">
        <f t="shared" si="15"/>
        <v>0</v>
      </c>
      <c r="U23" s="101"/>
      <c r="V23" s="208">
        <f t="shared" si="16"/>
        <v>0</v>
      </c>
    </row>
    <row r="24" spans="1:22" ht="38.25" x14ac:dyDescent="0.2">
      <c r="A24" s="39" t="s">
        <v>259</v>
      </c>
      <c r="B24" s="40" t="s">
        <v>260</v>
      </c>
      <c r="C24" s="147"/>
      <c r="D24" s="101"/>
      <c r="E24" s="101"/>
      <c r="F24" s="101"/>
      <c r="G24" s="101"/>
      <c r="H24" s="101"/>
      <c r="I24" s="101"/>
      <c r="J24" s="101"/>
      <c r="K24" s="101"/>
      <c r="L24" s="144"/>
      <c r="M24" s="144"/>
      <c r="N24" s="144"/>
      <c r="O24" s="101"/>
      <c r="P24" s="83">
        <f t="shared" si="11"/>
        <v>0</v>
      </c>
      <c r="Q24" s="83">
        <f t="shared" si="12"/>
        <v>0</v>
      </c>
      <c r="R24" s="83">
        <f t="shared" si="13"/>
        <v>0</v>
      </c>
      <c r="S24" s="83">
        <f t="shared" si="18"/>
        <v>0</v>
      </c>
      <c r="T24" s="89">
        <f t="shared" si="15"/>
        <v>0</v>
      </c>
      <c r="U24" s="101"/>
      <c r="V24" s="208">
        <f t="shared" si="16"/>
        <v>0</v>
      </c>
    </row>
    <row r="25" spans="1:22" ht="38.25" x14ac:dyDescent="0.2">
      <c r="A25" s="39" t="s">
        <v>261</v>
      </c>
      <c r="B25" s="40" t="s">
        <v>384</v>
      </c>
      <c r="C25" s="101">
        <f>SUM(C26:C29)</f>
        <v>89770000</v>
      </c>
      <c r="D25" s="101">
        <f>SUM(D26:D29)</f>
        <v>89770000</v>
      </c>
      <c r="E25" s="101">
        <f>SUM(E26:E29)</f>
        <v>89770000</v>
      </c>
      <c r="F25" s="101">
        <v>96960546</v>
      </c>
      <c r="G25" s="101"/>
      <c r="H25" s="101">
        <f>SUM(H26:H29)</f>
        <v>48018425</v>
      </c>
      <c r="I25" s="101">
        <f>SUM(I26:I29)</f>
        <v>73442797</v>
      </c>
      <c r="J25" s="101">
        <v>96345579</v>
      </c>
      <c r="K25" s="101"/>
      <c r="L25" s="143">
        <f t="shared" ref="L25:N29" si="19">+H25/C25</f>
        <v>0.53490503508967358</v>
      </c>
      <c r="M25" s="143">
        <f t="shared" si="19"/>
        <v>0.81812183357469093</v>
      </c>
      <c r="N25" s="143">
        <f t="shared" si="19"/>
        <v>1.073249181240949</v>
      </c>
      <c r="O25" s="101"/>
      <c r="P25" s="101">
        <f t="shared" ref="P25:S25" si="20">+P26+P27+P28+P29</f>
        <v>0</v>
      </c>
      <c r="Q25" s="101">
        <f t="shared" si="20"/>
        <v>0</v>
      </c>
      <c r="R25" s="101">
        <f t="shared" si="20"/>
        <v>-89770000</v>
      </c>
      <c r="S25" s="101">
        <f t="shared" si="20"/>
        <v>-89770000</v>
      </c>
      <c r="T25" s="89">
        <f t="shared" si="15"/>
        <v>-1</v>
      </c>
      <c r="U25" s="101"/>
      <c r="V25" s="208">
        <f t="shared" si="16"/>
        <v>-89770000</v>
      </c>
    </row>
    <row r="26" spans="1:22" ht="36.75" x14ac:dyDescent="0.2">
      <c r="A26" s="159" t="s">
        <v>391</v>
      </c>
      <c r="B26" s="155" t="s">
        <v>505</v>
      </c>
      <c r="C26" s="147">
        <v>20200000</v>
      </c>
      <c r="D26" s="147">
        <v>20200000</v>
      </c>
      <c r="E26" s="148">
        <v>20200000</v>
      </c>
      <c r="F26" s="148"/>
      <c r="G26" s="148"/>
      <c r="H26" s="148">
        <f>11070600+364627</f>
        <v>11435227</v>
      </c>
      <c r="I26" s="148">
        <v>16602000</v>
      </c>
      <c r="J26" s="148"/>
      <c r="K26" s="148"/>
      <c r="L26" s="143">
        <f t="shared" si="19"/>
        <v>0.56610034653465346</v>
      </c>
      <c r="M26" s="143">
        <f t="shared" si="19"/>
        <v>0.82188118811881183</v>
      </c>
      <c r="N26" s="143">
        <f t="shared" si="19"/>
        <v>0</v>
      </c>
      <c r="O26" s="148"/>
      <c r="P26" s="83">
        <f t="shared" ref="P26:R29" si="21">+(D26-C26)*P$8</f>
        <v>0</v>
      </c>
      <c r="Q26" s="83">
        <f t="shared" si="21"/>
        <v>0</v>
      </c>
      <c r="R26" s="83">
        <f t="shared" si="21"/>
        <v>-20200000</v>
      </c>
      <c r="S26" s="83">
        <f t="shared" ref="S26:S29" si="22">SUM(P26:R26)</f>
        <v>-20200000</v>
      </c>
      <c r="T26" s="89">
        <f t="shared" si="15"/>
        <v>-1</v>
      </c>
      <c r="U26" s="148"/>
      <c r="V26" s="208">
        <f t="shared" si="16"/>
        <v>-20200000</v>
      </c>
    </row>
    <row r="27" spans="1:22" ht="25.5" x14ac:dyDescent="0.2">
      <c r="A27" s="159" t="s">
        <v>393</v>
      </c>
      <c r="B27" s="155" t="s">
        <v>414</v>
      </c>
      <c r="C27" s="147">
        <f>540000*4</f>
        <v>2160000</v>
      </c>
      <c r="D27" s="147">
        <f>540000*4</f>
        <v>2160000</v>
      </c>
      <c r="E27" s="148">
        <v>2160000</v>
      </c>
      <c r="F27" s="148"/>
      <c r="G27" s="148"/>
      <c r="H27" s="148">
        <v>1080000</v>
      </c>
      <c r="I27" s="148">
        <v>2117297</v>
      </c>
      <c r="J27" s="148"/>
      <c r="K27" s="148"/>
      <c r="L27" s="143">
        <f t="shared" si="19"/>
        <v>0.5</v>
      </c>
      <c r="M27" s="143">
        <f t="shared" si="19"/>
        <v>0.98023009259259264</v>
      </c>
      <c r="N27" s="143">
        <f t="shared" si="19"/>
        <v>0</v>
      </c>
      <c r="O27" s="148"/>
      <c r="P27" s="83">
        <f t="shared" si="21"/>
        <v>0</v>
      </c>
      <c r="Q27" s="83">
        <f t="shared" si="21"/>
        <v>0</v>
      </c>
      <c r="R27" s="83">
        <f t="shared" si="21"/>
        <v>-2160000</v>
      </c>
      <c r="S27" s="83">
        <f t="shared" si="22"/>
        <v>-2160000</v>
      </c>
      <c r="T27" s="89">
        <f t="shared" si="15"/>
        <v>-1</v>
      </c>
      <c r="U27" s="148"/>
      <c r="V27" s="208">
        <f t="shared" si="16"/>
        <v>-2160000</v>
      </c>
    </row>
    <row r="28" spans="1:22" x14ac:dyDescent="0.2">
      <c r="A28" s="159" t="s">
        <v>394</v>
      </c>
      <c r="B28" s="155" t="s">
        <v>415</v>
      </c>
      <c r="C28" s="147">
        <v>0</v>
      </c>
      <c r="D28" s="147">
        <v>0</v>
      </c>
      <c r="E28" s="148"/>
      <c r="F28" s="148"/>
      <c r="G28" s="148"/>
      <c r="H28" s="148"/>
      <c r="I28" s="148"/>
      <c r="J28" s="148"/>
      <c r="K28" s="148"/>
      <c r="L28" s="143" t="e">
        <f t="shared" si="19"/>
        <v>#DIV/0!</v>
      </c>
      <c r="M28" s="143" t="e">
        <f t="shared" si="19"/>
        <v>#DIV/0!</v>
      </c>
      <c r="N28" s="143" t="e">
        <f t="shared" si="19"/>
        <v>#DIV/0!</v>
      </c>
      <c r="O28" s="148"/>
      <c r="P28" s="83">
        <f t="shared" si="21"/>
        <v>0</v>
      </c>
      <c r="Q28" s="83">
        <f t="shared" si="21"/>
        <v>0</v>
      </c>
      <c r="R28" s="83">
        <f t="shared" si="21"/>
        <v>0</v>
      </c>
      <c r="S28" s="83">
        <f t="shared" si="22"/>
        <v>0</v>
      </c>
      <c r="T28" s="89">
        <f t="shared" si="15"/>
        <v>0</v>
      </c>
      <c r="U28" s="148"/>
      <c r="V28" s="208">
        <f t="shared" si="16"/>
        <v>0</v>
      </c>
    </row>
    <row r="29" spans="1:22" ht="24" x14ac:dyDescent="0.2">
      <c r="A29" s="159" t="s">
        <v>395</v>
      </c>
      <c r="B29" s="155" t="s">
        <v>416</v>
      </c>
      <c r="C29" s="147">
        <v>67410000</v>
      </c>
      <c r="D29" s="147">
        <v>67410000</v>
      </c>
      <c r="E29" s="148">
        <v>67410000</v>
      </c>
      <c r="F29" s="148"/>
      <c r="G29" s="148"/>
      <c r="H29" s="148">
        <v>35503198</v>
      </c>
      <c r="I29" s="148">
        <f>51030032+3693468</f>
        <v>54723500</v>
      </c>
      <c r="J29" s="148"/>
      <c r="K29" s="148"/>
      <c r="L29" s="143">
        <f t="shared" si="19"/>
        <v>0.52667553775404241</v>
      </c>
      <c r="M29" s="143">
        <f t="shared" si="19"/>
        <v>0.81180091974484503</v>
      </c>
      <c r="N29" s="143">
        <f t="shared" si="19"/>
        <v>0</v>
      </c>
      <c r="O29" s="148"/>
      <c r="P29" s="83">
        <f t="shared" si="21"/>
        <v>0</v>
      </c>
      <c r="Q29" s="83">
        <f t="shared" si="21"/>
        <v>0</v>
      </c>
      <c r="R29" s="83">
        <f t="shared" si="21"/>
        <v>-67410000</v>
      </c>
      <c r="S29" s="83">
        <f t="shared" si="22"/>
        <v>-67410000</v>
      </c>
      <c r="T29" s="89">
        <f t="shared" si="15"/>
        <v>-1</v>
      </c>
      <c r="U29" s="148"/>
      <c r="V29" s="208">
        <f t="shared" si="16"/>
        <v>-67410000</v>
      </c>
    </row>
    <row r="30" spans="1:22" ht="34.5" customHeight="1" x14ac:dyDescent="0.2">
      <c r="A30" s="4" t="s">
        <v>262</v>
      </c>
      <c r="B30" s="3" t="s">
        <v>263</v>
      </c>
      <c r="C30" s="68">
        <f>SUM(C31:C35)</f>
        <v>175000000</v>
      </c>
      <c r="D30" s="68">
        <f>SUM(D31:D35)</f>
        <v>580968123</v>
      </c>
      <c r="E30" s="68">
        <f>SUM(E31:E35)</f>
        <v>759461472</v>
      </c>
      <c r="F30" s="68">
        <f>SUM(F31:F35)</f>
        <v>675428584</v>
      </c>
      <c r="G30" s="68"/>
      <c r="H30" s="68">
        <f>SUM(H31:H35)</f>
        <v>505968123</v>
      </c>
      <c r="I30" s="68">
        <f>SUM(I31:I35)</f>
        <v>607324056</v>
      </c>
      <c r="J30" s="68">
        <f>SUM(J31:J35)</f>
        <v>702475950</v>
      </c>
      <c r="K30" s="68"/>
      <c r="L30" s="89">
        <f>H30/C30</f>
        <v>2.8912464171428574</v>
      </c>
      <c r="M30" s="89">
        <f>I30/D30</f>
        <v>1.0453655406494653</v>
      </c>
      <c r="N30" s="89">
        <f>J30/E30</f>
        <v>0.92496588161354421</v>
      </c>
      <c r="O30" s="68"/>
      <c r="P30" s="68">
        <f t="shared" ref="P30:S30" si="23">SUM(P31:P35)</f>
        <v>405968123</v>
      </c>
      <c r="Q30" s="68">
        <f t="shared" si="23"/>
        <v>178493349</v>
      </c>
      <c r="R30" s="68">
        <f t="shared" si="23"/>
        <v>-84032888</v>
      </c>
      <c r="S30" s="68">
        <f t="shared" si="23"/>
        <v>500428584</v>
      </c>
      <c r="T30" s="89">
        <f t="shared" si="15"/>
        <v>2.8595919085714288</v>
      </c>
      <c r="U30" s="68"/>
      <c r="V30" s="208">
        <f t="shared" si="16"/>
        <v>-84032888</v>
      </c>
    </row>
    <row r="31" spans="1:22" s="43" customFormat="1" ht="25.5" x14ac:dyDescent="0.2">
      <c r="A31" s="39" t="s">
        <v>264</v>
      </c>
      <c r="B31" s="40" t="s">
        <v>478</v>
      </c>
      <c r="C31" s="147">
        <v>175000000</v>
      </c>
      <c r="D31" s="101">
        <v>76600200</v>
      </c>
      <c r="E31" s="101">
        <v>55909658</v>
      </c>
      <c r="F31" s="101">
        <v>55909658</v>
      </c>
      <c r="G31" s="101"/>
      <c r="H31" s="101">
        <v>1600200</v>
      </c>
      <c r="I31" s="101">
        <v>39945815</v>
      </c>
      <c r="J31" s="101">
        <v>135097709</v>
      </c>
      <c r="K31" s="101"/>
      <c r="L31" s="144">
        <f>+H31/C31</f>
        <v>9.1439999999999994E-3</v>
      </c>
      <c r="M31" s="144">
        <f>+I31/D31</f>
        <v>0.52148447393087749</v>
      </c>
      <c r="N31" s="144">
        <f>+J31/E31</f>
        <v>2.4163572776639057</v>
      </c>
      <c r="O31" s="101"/>
      <c r="P31" s="101">
        <f t="shared" ref="P31:R38" si="24">+(D31-C31)*P$8</f>
        <v>-98399800</v>
      </c>
      <c r="Q31" s="101">
        <f t="shared" si="24"/>
        <v>-20690542</v>
      </c>
      <c r="R31" s="101">
        <f t="shared" si="24"/>
        <v>0</v>
      </c>
      <c r="S31" s="101">
        <f t="shared" ref="S31" si="25">SUM(P31:R31)</f>
        <v>-119090342</v>
      </c>
      <c r="T31" s="89">
        <f t="shared" si="15"/>
        <v>-0.68051623999999999</v>
      </c>
      <c r="U31" s="101"/>
      <c r="V31" s="208">
        <f t="shared" si="16"/>
        <v>0</v>
      </c>
    </row>
    <row r="32" spans="1:22" s="43" customFormat="1" ht="51" customHeight="1" x14ac:dyDescent="0.2">
      <c r="A32" s="39" t="s">
        <v>265</v>
      </c>
      <c r="B32" s="588" t="s">
        <v>498</v>
      </c>
      <c r="C32" s="147"/>
      <c r="D32" s="101"/>
      <c r="E32" s="147"/>
      <c r="F32" s="147"/>
      <c r="G32" s="147"/>
      <c r="H32" s="147"/>
      <c r="I32" s="147"/>
      <c r="J32" s="147"/>
      <c r="K32" s="147"/>
      <c r="L32" s="153"/>
      <c r="M32" s="153"/>
      <c r="N32" s="153"/>
      <c r="O32" s="147"/>
      <c r="P32" s="83">
        <f t="shared" si="24"/>
        <v>0</v>
      </c>
      <c r="Q32" s="83">
        <f t="shared" si="24"/>
        <v>0</v>
      </c>
      <c r="R32" s="83">
        <f t="shared" si="24"/>
        <v>0</v>
      </c>
      <c r="S32" s="83">
        <f t="shared" ref="S32:S35" si="26">SUM(P32:R32)</f>
        <v>0</v>
      </c>
      <c r="T32" s="89">
        <f t="shared" si="15"/>
        <v>0</v>
      </c>
      <c r="U32" s="147"/>
      <c r="V32" s="208">
        <f t="shared" si="16"/>
        <v>0</v>
      </c>
    </row>
    <row r="33" spans="1:22" s="43" customFormat="1" ht="51" x14ac:dyDescent="0.2">
      <c r="A33" s="39" t="s">
        <v>266</v>
      </c>
      <c r="B33" s="588" t="s">
        <v>267</v>
      </c>
      <c r="C33" s="147"/>
      <c r="D33" s="101"/>
      <c r="E33" s="147"/>
      <c r="F33" s="147"/>
      <c r="G33" s="147"/>
      <c r="H33" s="147"/>
      <c r="I33" s="147"/>
      <c r="J33" s="147"/>
      <c r="K33" s="147"/>
      <c r="L33" s="153"/>
      <c r="M33" s="153"/>
      <c r="N33" s="153"/>
      <c r="O33" s="147"/>
      <c r="P33" s="83">
        <f t="shared" si="24"/>
        <v>0</v>
      </c>
      <c r="Q33" s="83">
        <f t="shared" si="24"/>
        <v>0</v>
      </c>
      <c r="R33" s="83">
        <f t="shared" si="24"/>
        <v>0</v>
      </c>
      <c r="S33" s="83">
        <f t="shared" si="26"/>
        <v>0</v>
      </c>
      <c r="T33" s="89">
        <f t="shared" si="15"/>
        <v>0</v>
      </c>
      <c r="U33" s="147"/>
      <c r="V33" s="208">
        <f t="shared" si="16"/>
        <v>0</v>
      </c>
    </row>
    <row r="34" spans="1:22" s="43" customFormat="1" ht="40.35" customHeight="1" x14ac:dyDescent="0.2">
      <c r="A34" s="39" t="s">
        <v>268</v>
      </c>
      <c r="B34" s="40" t="s">
        <v>417</v>
      </c>
      <c r="C34" s="147"/>
      <c r="D34" s="101"/>
      <c r="E34" s="147"/>
      <c r="F34" s="147"/>
      <c r="G34" s="147"/>
      <c r="H34" s="147"/>
      <c r="I34" s="147"/>
      <c r="J34" s="147"/>
      <c r="K34" s="147"/>
      <c r="L34" s="153"/>
      <c r="M34" s="153"/>
      <c r="N34" s="153"/>
      <c r="O34" s="147"/>
      <c r="P34" s="83">
        <f t="shared" si="24"/>
        <v>0</v>
      </c>
      <c r="Q34" s="83">
        <f t="shared" si="24"/>
        <v>0</v>
      </c>
      <c r="R34" s="83">
        <f t="shared" si="24"/>
        <v>0</v>
      </c>
      <c r="S34" s="83">
        <f t="shared" si="26"/>
        <v>0</v>
      </c>
      <c r="T34" s="89">
        <f t="shared" si="15"/>
        <v>0</v>
      </c>
      <c r="U34" s="147"/>
      <c r="V34" s="208">
        <f t="shared" si="16"/>
        <v>0</v>
      </c>
    </row>
    <row r="35" spans="1:22" s="43" customFormat="1" ht="36.75" x14ac:dyDescent="0.2">
      <c r="A35" s="39" t="s">
        <v>269</v>
      </c>
      <c r="B35" s="40" t="s">
        <v>418</v>
      </c>
      <c r="C35" s="147">
        <v>0</v>
      </c>
      <c r="D35" s="101">
        <v>504367923</v>
      </c>
      <c r="E35" s="101">
        <v>703551814</v>
      </c>
      <c r="F35" s="101">
        <v>619518926</v>
      </c>
      <c r="G35" s="101"/>
      <c r="H35" s="101">
        <v>504367923</v>
      </c>
      <c r="I35" s="101">
        <v>567378241</v>
      </c>
      <c r="J35" s="101">
        <v>567378241</v>
      </c>
      <c r="K35" s="101"/>
      <c r="L35" s="144" t="e">
        <f>+H35/C35</f>
        <v>#DIV/0!</v>
      </c>
      <c r="M35" s="144">
        <f>+I35/D35</f>
        <v>1.124929273109226</v>
      </c>
      <c r="N35" s="144">
        <f>+J35/E35</f>
        <v>0.80644840892983616</v>
      </c>
      <c r="O35" s="101"/>
      <c r="P35" s="101">
        <f t="shared" si="24"/>
        <v>504367923</v>
      </c>
      <c r="Q35" s="101">
        <f t="shared" si="24"/>
        <v>199183891</v>
      </c>
      <c r="R35" s="101">
        <f t="shared" si="24"/>
        <v>-84032888</v>
      </c>
      <c r="S35" s="101">
        <f t="shared" si="26"/>
        <v>619518926</v>
      </c>
      <c r="T35" s="89">
        <f t="shared" si="15"/>
        <v>0</v>
      </c>
      <c r="U35" s="101"/>
      <c r="V35" s="208">
        <f t="shared" si="16"/>
        <v>-84032888</v>
      </c>
    </row>
    <row r="36" spans="1:22" x14ac:dyDescent="0.2">
      <c r="A36" s="14"/>
      <c r="B36" s="155" t="s">
        <v>506</v>
      </c>
      <c r="C36" s="73"/>
      <c r="D36" s="70"/>
      <c r="E36" s="70"/>
      <c r="F36" s="70"/>
      <c r="G36" s="70"/>
      <c r="H36" s="70"/>
      <c r="I36" s="70">
        <v>0</v>
      </c>
      <c r="J36" s="70"/>
      <c r="K36" s="70"/>
      <c r="L36" s="143"/>
      <c r="M36" s="143"/>
      <c r="N36" s="143"/>
      <c r="O36" s="70"/>
      <c r="P36" s="83">
        <f t="shared" si="24"/>
        <v>0</v>
      </c>
      <c r="Q36" s="83">
        <f t="shared" si="24"/>
        <v>0</v>
      </c>
      <c r="R36" s="83">
        <f t="shared" si="24"/>
        <v>0</v>
      </c>
      <c r="S36" s="83">
        <f t="shared" ref="S36:S38" si="27">SUM(P36:R36)</f>
        <v>0</v>
      </c>
      <c r="T36" s="89">
        <f t="shared" si="15"/>
        <v>0</v>
      </c>
      <c r="U36" s="70"/>
      <c r="V36" s="208">
        <f t="shared" si="16"/>
        <v>0</v>
      </c>
    </row>
    <row r="37" spans="1:22" x14ac:dyDescent="0.2">
      <c r="A37" s="14"/>
      <c r="B37" s="155" t="s">
        <v>507</v>
      </c>
      <c r="C37" s="73"/>
      <c r="D37" s="70"/>
      <c r="E37" s="70"/>
      <c r="F37" s="70"/>
      <c r="G37" s="70"/>
      <c r="H37" s="70"/>
      <c r="I37" s="70"/>
      <c r="J37" s="70"/>
      <c r="K37" s="70"/>
      <c r="L37" s="143"/>
      <c r="M37" s="143"/>
      <c r="N37" s="143"/>
      <c r="O37" s="70"/>
      <c r="P37" s="83">
        <f t="shared" si="24"/>
        <v>0</v>
      </c>
      <c r="Q37" s="83">
        <f t="shared" si="24"/>
        <v>0</v>
      </c>
      <c r="R37" s="83">
        <f t="shared" si="24"/>
        <v>0</v>
      </c>
      <c r="S37" s="83">
        <f t="shared" si="27"/>
        <v>0</v>
      </c>
      <c r="T37" s="89">
        <f t="shared" si="15"/>
        <v>0</v>
      </c>
      <c r="U37" s="70"/>
      <c r="V37" s="208">
        <f t="shared" si="16"/>
        <v>0</v>
      </c>
    </row>
    <row r="38" spans="1:22" x14ac:dyDescent="0.2">
      <c r="A38" s="14"/>
      <c r="B38" s="157"/>
      <c r="C38" s="73"/>
      <c r="D38" s="70"/>
      <c r="E38" s="70"/>
      <c r="F38" s="70"/>
      <c r="G38" s="70"/>
      <c r="H38" s="70"/>
      <c r="I38" s="70"/>
      <c r="J38" s="70"/>
      <c r="K38" s="70"/>
      <c r="L38" s="143"/>
      <c r="M38" s="143"/>
      <c r="N38" s="143"/>
      <c r="O38" s="70"/>
      <c r="P38" s="83">
        <f t="shared" si="24"/>
        <v>0</v>
      </c>
      <c r="Q38" s="83">
        <f t="shared" si="24"/>
        <v>0</v>
      </c>
      <c r="R38" s="83">
        <f t="shared" si="24"/>
        <v>0</v>
      </c>
      <c r="S38" s="83">
        <f t="shared" si="27"/>
        <v>0</v>
      </c>
      <c r="T38" s="89">
        <f t="shared" si="15"/>
        <v>0</v>
      </c>
      <c r="U38" s="70"/>
      <c r="V38" s="208">
        <f t="shared" si="16"/>
        <v>0</v>
      </c>
    </row>
    <row r="39" spans="1:22" x14ac:dyDescent="0.2">
      <c r="A39" s="4" t="s">
        <v>270</v>
      </c>
      <c r="B39" s="3" t="s">
        <v>271</v>
      </c>
      <c r="C39" s="68">
        <f>+C40+C42+C47</f>
        <v>198244647</v>
      </c>
      <c r="D39" s="68">
        <f>+D40+D42+D47</f>
        <v>198244647</v>
      </c>
      <c r="E39" s="68">
        <f>+E40+E42+E47</f>
        <v>198244647</v>
      </c>
      <c r="F39" s="68">
        <f>+F40+F42+F47</f>
        <v>202101569</v>
      </c>
      <c r="G39" s="68"/>
      <c r="H39" s="68">
        <f>+H40+H42+H47</f>
        <v>110800513</v>
      </c>
      <c r="I39" s="68">
        <f>+I40+I42+I47</f>
        <v>168764227</v>
      </c>
      <c r="J39" s="68">
        <f>+J40+J42+J47</f>
        <v>219393130</v>
      </c>
      <c r="K39" s="68"/>
      <c r="L39" s="89">
        <f>H39/C39</f>
        <v>0.55890796889965966</v>
      </c>
      <c r="M39" s="89">
        <f>I39/D39</f>
        <v>0.85129273124837512</v>
      </c>
      <c r="N39" s="89">
        <f>J39/E39</f>
        <v>1.1066787089590369</v>
      </c>
      <c r="O39" s="68"/>
      <c r="P39" s="68">
        <f t="shared" ref="P39:S39" si="28">+P40+P42+P47</f>
        <v>0</v>
      </c>
      <c r="Q39" s="68">
        <f t="shared" si="28"/>
        <v>0</v>
      </c>
      <c r="R39" s="68">
        <f t="shared" si="28"/>
        <v>3856922</v>
      </c>
      <c r="S39" s="68">
        <f t="shared" si="28"/>
        <v>3856922</v>
      </c>
      <c r="T39" s="89">
        <f t="shared" si="15"/>
        <v>1.9455365168069332E-2</v>
      </c>
      <c r="U39" s="68"/>
      <c r="V39" s="208">
        <f t="shared" si="16"/>
        <v>3856922</v>
      </c>
    </row>
    <row r="40" spans="1:22" x14ac:dyDescent="0.2">
      <c r="A40" s="39" t="s">
        <v>272</v>
      </c>
      <c r="B40" s="40" t="s">
        <v>273</v>
      </c>
      <c r="C40" s="147">
        <f>SUM(C41)</f>
        <v>16000000</v>
      </c>
      <c r="D40" s="147">
        <f t="shared" ref="D40:F40" si="29">SUM(D41)</f>
        <v>16000000</v>
      </c>
      <c r="E40" s="147">
        <f t="shared" si="29"/>
        <v>16000000</v>
      </c>
      <c r="F40" s="147">
        <f t="shared" si="29"/>
        <v>18000000</v>
      </c>
      <c r="G40" s="101"/>
      <c r="H40" s="147">
        <f t="shared" ref="H40" si="30">SUM(H41)</f>
        <v>13305509</v>
      </c>
      <c r="I40" s="147">
        <f t="shared" ref="I40" si="31">SUM(I41)</f>
        <v>17574483</v>
      </c>
      <c r="J40" s="147">
        <f t="shared" ref="J40" si="32">SUM(J41)</f>
        <v>18523534</v>
      </c>
      <c r="K40" s="101"/>
      <c r="L40" s="143">
        <f>+H40/C40</f>
        <v>0.83159431250000004</v>
      </c>
      <c r="M40" s="143">
        <f>+I40/D40</f>
        <v>1.0984051875</v>
      </c>
      <c r="N40" s="143">
        <f>+J40/E40</f>
        <v>1.1577208750000001</v>
      </c>
      <c r="O40" s="101"/>
      <c r="P40" s="101">
        <f t="shared" ref="P40:S40" si="33">SUM(P41)</f>
        <v>0</v>
      </c>
      <c r="Q40" s="101">
        <f t="shared" si="33"/>
        <v>0</v>
      </c>
      <c r="R40" s="101">
        <f t="shared" si="33"/>
        <v>2000000</v>
      </c>
      <c r="S40" s="101">
        <f t="shared" si="33"/>
        <v>2000000</v>
      </c>
      <c r="T40" s="89">
        <f t="shared" si="15"/>
        <v>0.125</v>
      </c>
      <c r="U40" s="101"/>
      <c r="V40" s="208">
        <f t="shared" si="16"/>
        <v>2000000</v>
      </c>
    </row>
    <row r="41" spans="1:22" x14ac:dyDescent="0.2">
      <c r="A41" s="39"/>
      <c r="B41" s="155" t="s">
        <v>274</v>
      </c>
      <c r="C41" s="149">
        <v>16000000</v>
      </c>
      <c r="D41" s="150">
        <v>16000000</v>
      </c>
      <c r="E41" s="150">
        <v>16000000</v>
      </c>
      <c r="F41" s="150">
        <v>18000000</v>
      </c>
      <c r="G41" s="150"/>
      <c r="H41" s="150">
        <f>12185749+1119760</f>
        <v>13305509</v>
      </c>
      <c r="I41" s="150">
        <f>16002747+1571736</f>
        <v>17574483</v>
      </c>
      <c r="J41" s="150">
        <v>18523534</v>
      </c>
      <c r="K41" s="150"/>
      <c r="L41" s="144"/>
      <c r="M41" s="144"/>
      <c r="N41" s="144"/>
      <c r="O41" s="150"/>
      <c r="P41" s="83">
        <f>+(D41-C41)*P$8</f>
        <v>0</v>
      </c>
      <c r="Q41" s="83">
        <f>+(E41-D41)*Q$8</f>
        <v>0</v>
      </c>
      <c r="R41" s="83">
        <f>+(F41-E41)*R$8</f>
        <v>2000000</v>
      </c>
      <c r="S41" s="83">
        <f t="shared" ref="S41" si="34">SUM(P41:R41)</f>
        <v>2000000</v>
      </c>
      <c r="T41" s="89">
        <f t="shared" si="15"/>
        <v>0.125</v>
      </c>
      <c r="U41" s="150"/>
      <c r="V41" s="208">
        <f t="shared" si="16"/>
        <v>2000000</v>
      </c>
    </row>
    <row r="42" spans="1:22" x14ac:dyDescent="0.2">
      <c r="A42" s="39" t="s">
        <v>275</v>
      </c>
      <c r="B42" s="40" t="s">
        <v>276</v>
      </c>
      <c r="C42" s="101">
        <f t="shared" ref="C42" si="35">SUM(C43+C46)</f>
        <v>171544647</v>
      </c>
      <c r="D42" s="101">
        <f>SUM(D43+D46)</f>
        <v>171544647</v>
      </c>
      <c r="E42" s="101">
        <f>SUM(E43+E46)</f>
        <v>171544647</v>
      </c>
      <c r="F42" s="101">
        <f>SUM(F43+F46)</f>
        <v>172401569</v>
      </c>
      <c r="G42" s="101"/>
      <c r="H42" s="101">
        <f>SUM(H43+H46)</f>
        <v>89951864</v>
      </c>
      <c r="I42" s="101">
        <f>SUM(I43+I46)</f>
        <v>141533958</v>
      </c>
      <c r="J42" s="101">
        <f>SUM(J43+J46)</f>
        <v>188500525</v>
      </c>
      <c r="K42" s="101"/>
      <c r="L42" s="143">
        <f>+H42/C42</f>
        <v>0.5243641557640677</v>
      </c>
      <c r="M42" s="143">
        <f>+I42/D42</f>
        <v>0.82505610332451818</v>
      </c>
      <c r="N42" s="143">
        <f>+J42/E42</f>
        <v>1.0988423614290921</v>
      </c>
      <c r="O42" s="101"/>
      <c r="P42" s="101">
        <f t="shared" ref="P42:S42" si="36">SUM(P43+P46)</f>
        <v>0</v>
      </c>
      <c r="Q42" s="101">
        <f t="shared" si="36"/>
        <v>0</v>
      </c>
      <c r="R42" s="101">
        <f t="shared" si="36"/>
        <v>856922</v>
      </c>
      <c r="S42" s="101">
        <f t="shared" si="36"/>
        <v>856922</v>
      </c>
      <c r="T42" s="89">
        <f t="shared" si="15"/>
        <v>4.9953292917382609E-3</v>
      </c>
      <c r="U42" s="101"/>
      <c r="V42" s="208">
        <f t="shared" si="16"/>
        <v>856922</v>
      </c>
    </row>
    <row r="43" spans="1:22" x14ac:dyDescent="0.2">
      <c r="A43" s="14" t="s">
        <v>277</v>
      </c>
      <c r="B43" s="513" t="s">
        <v>278</v>
      </c>
      <c r="C43" s="73">
        <f t="shared" ref="C43" si="37">SUM(C44:C45)</f>
        <v>143544647</v>
      </c>
      <c r="D43" s="73">
        <f t="shared" ref="D43:E43" si="38">SUM(D44:D45)</f>
        <v>143544647</v>
      </c>
      <c r="E43" s="73">
        <f t="shared" si="38"/>
        <v>143544647</v>
      </c>
      <c r="F43" s="73">
        <f>SUM(F44:F45)</f>
        <v>143901569</v>
      </c>
      <c r="G43" s="73"/>
      <c r="H43" s="73">
        <f t="shared" ref="H43:J43" si="39">SUM(H44:H45)</f>
        <v>72303353</v>
      </c>
      <c r="I43" s="73">
        <f t="shared" si="39"/>
        <v>108812866</v>
      </c>
      <c r="J43" s="73">
        <f t="shared" si="39"/>
        <v>159560777</v>
      </c>
      <c r="K43" s="73"/>
      <c r="L43" s="142"/>
      <c r="M43" s="142"/>
      <c r="N43" s="142"/>
      <c r="O43" s="73"/>
      <c r="P43" s="83">
        <f t="shared" ref="P43:R46" si="40">+(D43-C43)*P$8</f>
        <v>0</v>
      </c>
      <c r="Q43" s="83">
        <f t="shared" si="40"/>
        <v>0</v>
      </c>
      <c r="R43" s="83">
        <f t="shared" si="40"/>
        <v>356922</v>
      </c>
      <c r="S43" s="83">
        <f t="shared" ref="S43:S44" si="41">SUM(P43:R43)</f>
        <v>356922</v>
      </c>
      <c r="T43" s="89">
        <f t="shared" si="15"/>
        <v>2.486487705807657E-3</v>
      </c>
      <c r="U43" s="73"/>
      <c r="V43" s="208">
        <f t="shared" si="16"/>
        <v>356922</v>
      </c>
    </row>
    <row r="44" spans="1:22" x14ac:dyDescent="0.2">
      <c r="A44" s="14"/>
      <c r="B44" s="156" t="s">
        <v>279</v>
      </c>
      <c r="C44" s="73">
        <v>0</v>
      </c>
      <c r="D44" s="70">
        <v>0</v>
      </c>
      <c r="E44" s="70">
        <v>0</v>
      </c>
      <c r="F44" s="70">
        <v>0</v>
      </c>
      <c r="G44" s="70"/>
      <c r="H44" s="70">
        <v>0</v>
      </c>
      <c r="I44" s="70"/>
      <c r="J44" s="70"/>
      <c r="K44" s="70"/>
      <c r="L44" s="142"/>
      <c r="M44" s="142"/>
      <c r="N44" s="142"/>
      <c r="O44" s="70"/>
      <c r="P44" s="83">
        <f t="shared" si="40"/>
        <v>0</v>
      </c>
      <c r="Q44" s="83">
        <f t="shared" si="40"/>
        <v>0</v>
      </c>
      <c r="R44" s="83">
        <f t="shared" si="40"/>
        <v>0</v>
      </c>
      <c r="S44" s="83">
        <f t="shared" si="41"/>
        <v>0</v>
      </c>
      <c r="T44" s="89">
        <f t="shared" si="15"/>
        <v>0</v>
      </c>
      <c r="U44" s="70"/>
      <c r="V44" s="208">
        <f t="shared" si="16"/>
        <v>0</v>
      </c>
    </row>
    <row r="45" spans="1:22" x14ac:dyDescent="0.2">
      <c r="A45" s="14"/>
      <c r="B45" s="157" t="s">
        <v>400</v>
      </c>
      <c r="C45" s="73">
        <v>143544647</v>
      </c>
      <c r="D45" s="70">
        <v>143544647</v>
      </c>
      <c r="E45" s="70">
        <v>143544647</v>
      </c>
      <c r="F45" s="70">
        <v>143901569</v>
      </c>
      <c r="G45" s="70"/>
      <c r="H45" s="70">
        <v>72303353</v>
      </c>
      <c r="I45" s="70">
        <v>108812866</v>
      </c>
      <c r="J45" s="70">
        <v>159560777</v>
      </c>
      <c r="K45" s="70"/>
      <c r="L45" s="143">
        <f t="shared" ref="L45:N48" si="42">+H45/C45</f>
        <v>0.50369940301570426</v>
      </c>
      <c r="M45" s="143">
        <f t="shared" si="42"/>
        <v>0.7580419630695111</v>
      </c>
      <c r="N45" s="143">
        <f t="shared" si="42"/>
        <v>1.1115759475168725</v>
      </c>
      <c r="O45" s="70"/>
      <c r="P45" s="83">
        <f t="shared" si="40"/>
        <v>0</v>
      </c>
      <c r="Q45" s="83">
        <f t="shared" si="40"/>
        <v>0</v>
      </c>
      <c r="R45" s="83">
        <f t="shared" si="40"/>
        <v>356922</v>
      </c>
      <c r="S45" s="83">
        <f t="shared" ref="S45:S46" si="43">SUM(P45:R45)</f>
        <v>356922</v>
      </c>
      <c r="T45" s="89">
        <f t="shared" si="15"/>
        <v>2.486487705807657E-3</v>
      </c>
      <c r="U45" s="70"/>
      <c r="V45" s="208">
        <f t="shared" si="16"/>
        <v>356922</v>
      </c>
    </row>
    <row r="46" spans="1:22" x14ac:dyDescent="0.2">
      <c r="A46" s="14" t="s">
        <v>280</v>
      </c>
      <c r="B46" s="45" t="s">
        <v>401</v>
      </c>
      <c r="C46" s="73">
        <v>28000000</v>
      </c>
      <c r="D46" s="70">
        <v>28000000</v>
      </c>
      <c r="E46" s="70">
        <v>28000000</v>
      </c>
      <c r="F46" s="70">
        <v>28500000</v>
      </c>
      <c r="G46" s="70"/>
      <c r="H46" s="599">
        <v>17648511</v>
      </c>
      <c r="I46" s="70">
        <v>32721092</v>
      </c>
      <c r="J46" s="70">
        <v>28939748</v>
      </c>
      <c r="K46" s="70"/>
      <c r="L46" s="143">
        <f t="shared" si="42"/>
        <v>0.63030396428571434</v>
      </c>
      <c r="M46" s="143">
        <f t="shared" si="42"/>
        <v>1.1686104285714285</v>
      </c>
      <c r="N46" s="143">
        <f t="shared" si="42"/>
        <v>1.0335624285714287</v>
      </c>
      <c r="O46" s="70"/>
      <c r="P46" s="83">
        <f t="shared" si="40"/>
        <v>0</v>
      </c>
      <c r="Q46" s="83">
        <f t="shared" si="40"/>
        <v>0</v>
      </c>
      <c r="R46" s="83">
        <f t="shared" si="40"/>
        <v>500000</v>
      </c>
      <c r="S46" s="83">
        <f t="shared" si="43"/>
        <v>500000</v>
      </c>
      <c r="T46" s="89">
        <f t="shared" si="15"/>
        <v>1.7857142857142856E-2</v>
      </c>
      <c r="U46" s="70"/>
      <c r="V46" s="208">
        <f t="shared" si="16"/>
        <v>500000</v>
      </c>
    </row>
    <row r="47" spans="1:22" x14ac:dyDescent="0.2">
      <c r="A47" s="39" t="s">
        <v>281</v>
      </c>
      <c r="B47" s="40" t="s">
        <v>282</v>
      </c>
      <c r="C47" s="101">
        <f t="shared" ref="C47" si="44">SUM(C48:C49)</f>
        <v>10700000</v>
      </c>
      <c r="D47" s="101">
        <f>SUM(D48:D49)</f>
        <v>10700000</v>
      </c>
      <c r="E47" s="101">
        <f>SUM(E48:E49)</f>
        <v>10700000</v>
      </c>
      <c r="F47" s="101">
        <f>SUM(F48:F49)</f>
        <v>11700000</v>
      </c>
      <c r="G47" s="101"/>
      <c r="H47" s="101">
        <f>SUM(H48:H49)</f>
        <v>7543140</v>
      </c>
      <c r="I47" s="101">
        <f>SUM(I48:I49)</f>
        <v>9655786</v>
      </c>
      <c r="J47" s="101">
        <f>SUM(J48:J49)</f>
        <v>12369071</v>
      </c>
      <c r="K47" s="101"/>
      <c r="L47" s="143">
        <f t="shared" si="42"/>
        <v>0.70496635514018691</v>
      </c>
      <c r="M47" s="143">
        <f t="shared" si="42"/>
        <v>0.90240990654205611</v>
      </c>
      <c r="N47" s="143">
        <f t="shared" si="42"/>
        <v>1.1559879439252336</v>
      </c>
      <c r="O47" s="101"/>
      <c r="P47" s="101">
        <f t="shared" ref="P47:S47" si="45">SUM(P48:P49)</f>
        <v>0</v>
      </c>
      <c r="Q47" s="101">
        <f t="shared" si="45"/>
        <v>0</v>
      </c>
      <c r="R47" s="101">
        <f t="shared" si="45"/>
        <v>1000000</v>
      </c>
      <c r="S47" s="101">
        <f t="shared" si="45"/>
        <v>1000000</v>
      </c>
      <c r="T47" s="89">
        <f t="shared" si="15"/>
        <v>9.3457943925233641E-2</v>
      </c>
      <c r="U47" s="101"/>
      <c r="V47" s="208">
        <f t="shared" si="16"/>
        <v>1000000</v>
      </c>
    </row>
    <row r="48" spans="1:22" ht="67.900000000000006" customHeight="1" x14ac:dyDescent="0.2">
      <c r="A48" s="14"/>
      <c r="B48" s="155" t="s">
        <v>508</v>
      </c>
      <c r="C48" s="73">
        <v>10700000</v>
      </c>
      <c r="D48" s="70">
        <v>10700000</v>
      </c>
      <c r="E48" s="70">
        <v>10700000</v>
      </c>
      <c r="F48" s="70">
        <v>11700000</v>
      </c>
      <c r="G48" s="70"/>
      <c r="H48" s="70">
        <v>7543140</v>
      </c>
      <c r="I48" s="70">
        <v>4551000</v>
      </c>
      <c r="J48" s="70">
        <v>12369071</v>
      </c>
      <c r="K48" s="70"/>
      <c r="L48" s="143">
        <f t="shared" si="42"/>
        <v>0.70496635514018691</v>
      </c>
      <c r="M48" s="143">
        <f t="shared" si="42"/>
        <v>0.42532710280373831</v>
      </c>
      <c r="N48" s="143">
        <f t="shared" si="42"/>
        <v>1.1559879439252336</v>
      </c>
      <c r="O48" s="70"/>
      <c r="P48" s="83">
        <f t="shared" ref="P48:R49" si="46">+(D48-C48)*P$8</f>
        <v>0</v>
      </c>
      <c r="Q48" s="83">
        <f t="shared" si="46"/>
        <v>0</v>
      </c>
      <c r="R48" s="83">
        <f t="shared" si="46"/>
        <v>1000000</v>
      </c>
      <c r="S48" s="83">
        <f t="shared" ref="S48:S49" si="47">SUM(P48:R48)</f>
        <v>1000000</v>
      </c>
      <c r="T48" s="89">
        <f t="shared" si="15"/>
        <v>9.3457943925233641E-2</v>
      </c>
      <c r="U48" s="70"/>
      <c r="V48" s="208">
        <f t="shared" si="16"/>
        <v>1000000</v>
      </c>
    </row>
    <row r="49" spans="1:22" ht="61.15" customHeight="1" x14ac:dyDescent="0.2">
      <c r="A49" s="14"/>
      <c r="B49" s="156" t="s">
        <v>283</v>
      </c>
      <c r="C49" s="73">
        <v>0</v>
      </c>
      <c r="D49" s="70">
        <f>+C49</f>
        <v>0</v>
      </c>
      <c r="E49" s="70"/>
      <c r="F49" s="70"/>
      <c r="G49" s="70"/>
      <c r="H49" s="70">
        <v>0</v>
      </c>
      <c r="I49" s="70">
        <f>3034142+1948000+20000+102644</f>
        <v>5104786</v>
      </c>
      <c r="J49" s="70"/>
      <c r="K49" s="70"/>
      <c r="L49" s="143"/>
      <c r="M49" s="143"/>
      <c r="N49" s="143"/>
      <c r="O49" s="70"/>
      <c r="P49" s="83">
        <f t="shared" si="46"/>
        <v>0</v>
      </c>
      <c r="Q49" s="83">
        <f t="shared" si="46"/>
        <v>0</v>
      </c>
      <c r="R49" s="83">
        <f t="shared" si="46"/>
        <v>0</v>
      </c>
      <c r="S49" s="83">
        <f t="shared" si="47"/>
        <v>0</v>
      </c>
      <c r="T49" s="89">
        <f t="shared" si="15"/>
        <v>0</v>
      </c>
      <c r="U49" s="70"/>
      <c r="V49" s="208">
        <f t="shared" si="16"/>
        <v>0</v>
      </c>
    </row>
    <row r="50" spans="1:22" x14ac:dyDescent="0.2">
      <c r="A50" s="4" t="s">
        <v>284</v>
      </c>
      <c r="B50" s="3" t="s">
        <v>285</v>
      </c>
      <c r="C50" s="69">
        <f t="shared" ref="C50" si="48">SUM(C51:C66)</f>
        <v>70826000</v>
      </c>
      <c r="D50" s="69">
        <f>SUM(D51:D66)</f>
        <v>70826000</v>
      </c>
      <c r="E50" s="69">
        <f>SUM(E51:E66)</f>
        <v>70826000</v>
      </c>
      <c r="F50" s="69">
        <f>SUM(F51:F66)</f>
        <v>71197000</v>
      </c>
      <c r="G50" s="69"/>
      <c r="H50" s="69">
        <f>SUM(H51:H66)</f>
        <v>53883694</v>
      </c>
      <c r="I50" s="69">
        <f>SUM(I51:I66)</f>
        <v>75275766</v>
      </c>
      <c r="J50" s="69">
        <f>SUM(J51:J66)</f>
        <v>92590922</v>
      </c>
      <c r="K50" s="69"/>
      <c r="L50" s="143">
        <f>+H50/C50</f>
        <v>0.7607897382317228</v>
      </c>
      <c r="M50" s="143">
        <f>+I50/D50</f>
        <v>1.0628267302967838</v>
      </c>
      <c r="N50" s="143">
        <f>+J50/E50</f>
        <v>1.3073013017818316</v>
      </c>
      <c r="O50" s="69"/>
      <c r="P50" s="69">
        <f t="shared" ref="P50:S50" si="49">SUM(P51:P66)</f>
        <v>0</v>
      </c>
      <c r="Q50" s="69">
        <f t="shared" si="49"/>
        <v>0</v>
      </c>
      <c r="R50" s="69">
        <f t="shared" si="49"/>
        <v>371000</v>
      </c>
      <c r="S50" s="69">
        <f t="shared" si="49"/>
        <v>371000</v>
      </c>
      <c r="T50" s="89">
        <f t="shared" si="15"/>
        <v>5.2381893654872506E-3</v>
      </c>
      <c r="U50" s="69"/>
      <c r="V50" s="208">
        <f t="shared" si="16"/>
        <v>371000</v>
      </c>
    </row>
    <row r="51" spans="1:22" x14ac:dyDescent="0.2">
      <c r="A51" s="14" t="s">
        <v>286</v>
      </c>
      <c r="B51" s="20" t="s">
        <v>287</v>
      </c>
      <c r="C51" s="73">
        <f>SUM(D51:D51)</f>
        <v>0</v>
      </c>
      <c r="D51" s="70"/>
      <c r="E51" s="73">
        <v>0</v>
      </c>
      <c r="F51" s="73"/>
      <c r="G51" s="73"/>
      <c r="H51" s="73">
        <v>19772</v>
      </c>
      <c r="I51" s="73">
        <v>19772</v>
      </c>
      <c r="J51" s="73">
        <v>20382</v>
      </c>
      <c r="K51" s="73"/>
      <c r="L51" s="142"/>
      <c r="M51" s="142"/>
      <c r="N51" s="142"/>
      <c r="O51" s="73"/>
      <c r="P51" s="73"/>
      <c r="Q51" s="83">
        <f t="shared" ref="Q51:Q66" si="50">+(E51-D51)*Q$8</f>
        <v>0</v>
      </c>
      <c r="R51" s="73"/>
      <c r="S51" s="83">
        <f t="shared" ref="S51:S66" si="51">SUM(P51:R51)</f>
        <v>0</v>
      </c>
      <c r="U51" s="73"/>
      <c r="V51" s="210"/>
    </row>
    <row r="52" spans="1:22" x14ac:dyDescent="0.2">
      <c r="A52" s="14" t="s">
        <v>288</v>
      </c>
      <c r="B52" s="20" t="s">
        <v>289</v>
      </c>
      <c r="C52" s="73">
        <v>20000000</v>
      </c>
      <c r="D52" s="70">
        <v>20000000</v>
      </c>
      <c r="E52" s="70">
        <v>20000000</v>
      </c>
      <c r="F52" s="70">
        <v>20000000</v>
      </c>
      <c r="G52" s="70"/>
      <c r="H52" s="70">
        <v>14691153</v>
      </c>
      <c r="I52" s="70">
        <v>21935871</v>
      </c>
      <c r="J52" s="70">
        <v>30369719</v>
      </c>
      <c r="K52" s="70"/>
      <c r="L52" s="143">
        <f t="shared" ref="L52:N53" si="52">+H52/C52</f>
        <v>0.73455764999999995</v>
      </c>
      <c r="M52" s="143">
        <f t="shared" si="52"/>
        <v>1.0967935499999999</v>
      </c>
      <c r="N52" s="143">
        <f t="shared" si="52"/>
        <v>1.5184859500000001</v>
      </c>
      <c r="O52" s="70"/>
      <c r="P52" s="83">
        <f t="shared" ref="P52:P66" si="53">+(D52-C52)*P$8</f>
        <v>0</v>
      </c>
      <c r="Q52" s="83">
        <f t="shared" si="50"/>
        <v>0</v>
      </c>
      <c r="R52" s="83">
        <f t="shared" ref="R52:R66" si="54">+(F52-E52)*R$8</f>
        <v>0</v>
      </c>
      <c r="S52" s="83">
        <f t="shared" si="51"/>
        <v>0</v>
      </c>
      <c r="T52" s="89">
        <f t="shared" ref="T52:T96" si="55">IF(C52=0,0,+S52/C52)</f>
        <v>0</v>
      </c>
      <c r="U52" s="70"/>
      <c r="V52" s="208">
        <f t="shared" ref="V52:V96" si="56">+S52-E52+C52</f>
        <v>0</v>
      </c>
    </row>
    <row r="53" spans="1:22" x14ac:dyDescent="0.2">
      <c r="A53" s="14" t="s">
        <v>290</v>
      </c>
      <c r="B53" s="20" t="s">
        <v>291</v>
      </c>
      <c r="C53" s="73">
        <v>16000000</v>
      </c>
      <c r="D53" s="70">
        <v>16000000</v>
      </c>
      <c r="E53" s="70">
        <v>16000000</v>
      </c>
      <c r="F53" s="70">
        <v>16000000</v>
      </c>
      <c r="G53" s="70"/>
      <c r="H53" s="70">
        <v>5843510</v>
      </c>
      <c r="I53" s="70">
        <v>13837555</v>
      </c>
      <c r="J53" s="70">
        <v>20003766</v>
      </c>
      <c r="K53" s="70"/>
      <c r="L53" s="143">
        <f t="shared" si="52"/>
        <v>0.36521937500000001</v>
      </c>
      <c r="M53" s="143">
        <f t="shared" si="52"/>
        <v>0.8648471875</v>
      </c>
      <c r="N53" s="143">
        <f t="shared" si="52"/>
        <v>1.2502353749999999</v>
      </c>
      <c r="O53" s="70"/>
      <c r="P53" s="83">
        <f t="shared" si="53"/>
        <v>0</v>
      </c>
      <c r="Q53" s="83">
        <f t="shared" si="50"/>
        <v>0</v>
      </c>
      <c r="R53" s="83">
        <f t="shared" si="54"/>
        <v>0</v>
      </c>
      <c r="S53" s="83">
        <f t="shared" si="51"/>
        <v>0</v>
      </c>
      <c r="T53" s="89">
        <f t="shared" si="55"/>
        <v>0</v>
      </c>
      <c r="U53" s="70"/>
      <c r="V53" s="208">
        <f t="shared" si="56"/>
        <v>0</v>
      </c>
    </row>
    <row r="54" spans="1:22" x14ac:dyDescent="0.2">
      <c r="A54" s="14"/>
      <c r="B54" s="20" t="s">
        <v>292</v>
      </c>
      <c r="C54" s="73"/>
      <c r="D54" s="70"/>
      <c r="E54" s="70"/>
      <c r="F54" s="70"/>
      <c r="G54" s="70"/>
      <c r="H54" s="70"/>
      <c r="I54" s="70"/>
      <c r="J54" s="70"/>
      <c r="K54" s="70"/>
      <c r="L54" s="142"/>
      <c r="M54" s="142"/>
      <c r="N54" s="142"/>
      <c r="O54" s="70"/>
      <c r="P54" s="83">
        <f t="shared" si="53"/>
        <v>0</v>
      </c>
      <c r="Q54" s="83">
        <f t="shared" si="50"/>
        <v>0</v>
      </c>
      <c r="R54" s="83">
        <f t="shared" si="54"/>
        <v>0</v>
      </c>
      <c r="S54" s="83">
        <f t="shared" si="51"/>
        <v>0</v>
      </c>
      <c r="T54" s="89">
        <f t="shared" si="55"/>
        <v>0</v>
      </c>
      <c r="U54" s="70"/>
      <c r="V54" s="208">
        <f t="shared" si="56"/>
        <v>0</v>
      </c>
    </row>
    <row r="55" spans="1:22" x14ac:dyDescent="0.2">
      <c r="A55" s="14" t="s">
        <v>293</v>
      </c>
      <c r="B55" s="20" t="s">
        <v>294</v>
      </c>
      <c r="C55" s="73">
        <v>0</v>
      </c>
      <c r="D55" s="70">
        <v>0</v>
      </c>
      <c r="E55" s="70">
        <v>0</v>
      </c>
      <c r="F55" s="70">
        <v>0</v>
      </c>
      <c r="G55" s="70"/>
      <c r="H55" s="70">
        <v>0</v>
      </c>
      <c r="I55" s="70">
        <v>188860</v>
      </c>
      <c r="J55" s="70">
        <v>188860</v>
      </c>
      <c r="K55" s="70"/>
      <c r="L55" s="142"/>
      <c r="M55" s="142"/>
      <c r="N55" s="142"/>
      <c r="O55" s="70"/>
      <c r="P55" s="83">
        <f t="shared" si="53"/>
        <v>0</v>
      </c>
      <c r="Q55" s="83">
        <f t="shared" si="50"/>
        <v>0</v>
      </c>
      <c r="R55" s="83">
        <f t="shared" si="54"/>
        <v>0</v>
      </c>
      <c r="S55" s="83">
        <f t="shared" si="51"/>
        <v>0</v>
      </c>
      <c r="T55" s="89">
        <f t="shared" si="55"/>
        <v>0</v>
      </c>
      <c r="U55" s="70"/>
      <c r="V55" s="208">
        <f t="shared" si="56"/>
        <v>0</v>
      </c>
    </row>
    <row r="56" spans="1:22" ht="39.6" customHeight="1" x14ac:dyDescent="0.2">
      <c r="A56" s="14"/>
      <c r="B56" s="20" t="s">
        <v>295</v>
      </c>
      <c r="C56" s="73"/>
      <c r="D56" s="70"/>
      <c r="E56" s="70"/>
      <c r="F56" s="70"/>
      <c r="G56" s="70"/>
      <c r="H56" s="70"/>
      <c r="I56" s="70"/>
      <c r="J56" s="70"/>
      <c r="K56" s="70"/>
      <c r="L56" s="142"/>
      <c r="M56" s="142"/>
      <c r="N56" s="142"/>
      <c r="O56" s="70"/>
      <c r="P56" s="83">
        <f t="shared" si="53"/>
        <v>0</v>
      </c>
      <c r="Q56" s="83">
        <f t="shared" si="50"/>
        <v>0</v>
      </c>
      <c r="R56" s="83">
        <f t="shared" si="54"/>
        <v>0</v>
      </c>
      <c r="S56" s="83">
        <f t="shared" si="51"/>
        <v>0</v>
      </c>
      <c r="T56" s="89">
        <f t="shared" si="55"/>
        <v>0</v>
      </c>
      <c r="U56" s="70"/>
      <c r="V56" s="208">
        <f t="shared" si="56"/>
        <v>0</v>
      </c>
    </row>
    <row r="57" spans="1:22" x14ac:dyDescent="0.2">
      <c r="A57" s="14" t="s">
        <v>296</v>
      </c>
      <c r="B57" s="20" t="s">
        <v>297</v>
      </c>
      <c r="C57" s="73"/>
      <c r="D57" s="70"/>
      <c r="E57" s="70"/>
      <c r="F57" s="70"/>
      <c r="G57" s="70"/>
      <c r="H57" s="70">
        <v>0</v>
      </c>
      <c r="I57" s="70">
        <v>0</v>
      </c>
      <c r="J57" s="70">
        <v>0</v>
      </c>
      <c r="K57" s="70"/>
      <c r="L57" s="142"/>
      <c r="M57" s="142"/>
      <c r="N57" s="142"/>
      <c r="O57" s="70"/>
      <c r="P57" s="83">
        <f t="shared" si="53"/>
        <v>0</v>
      </c>
      <c r="Q57" s="83">
        <f t="shared" si="50"/>
        <v>0</v>
      </c>
      <c r="R57" s="83">
        <f t="shared" si="54"/>
        <v>0</v>
      </c>
      <c r="S57" s="83">
        <f t="shared" si="51"/>
        <v>0</v>
      </c>
      <c r="T57" s="89">
        <f t="shared" si="55"/>
        <v>0</v>
      </c>
      <c r="U57" s="70"/>
      <c r="V57" s="208">
        <f t="shared" si="56"/>
        <v>0</v>
      </c>
    </row>
    <row r="58" spans="1:22" ht="69.95" customHeight="1" x14ac:dyDescent="0.2">
      <c r="A58" s="14"/>
      <c r="B58" s="20" t="s">
        <v>298</v>
      </c>
      <c r="C58" s="73"/>
      <c r="D58" s="70"/>
      <c r="E58" s="70"/>
      <c r="F58" s="70"/>
      <c r="G58" s="70"/>
      <c r="H58" s="70"/>
      <c r="I58" s="70"/>
      <c r="J58" s="70"/>
      <c r="K58" s="70"/>
      <c r="L58" s="142"/>
      <c r="M58" s="142"/>
      <c r="N58" s="142"/>
      <c r="O58" s="70"/>
      <c r="P58" s="83">
        <f t="shared" si="53"/>
        <v>0</v>
      </c>
      <c r="Q58" s="83">
        <f t="shared" si="50"/>
        <v>0</v>
      </c>
      <c r="R58" s="83">
        <f t="shared" si="54"/>
        <v>0</v>
      </c>
      <c r="S58" s="83">
        <f t="shared" si="51"/>
        <v>0</v>
      </c>
      <c r="T58" s="89">
        <f t="shared" si="55"/>
        <v>0</v>
      </c>
      <c r="U58" s="70"/>
      <c r="V58" s="208">
        <f t="shared" si="56"/>
        <v>0</v>
      </c>
    </row>
    <row r="59" spans="1:22" x14ac:dyDescent="0.2">
      <c r="A59" s="14" t="s">
        <v>299</v>
      </c>
      <c r="B59" s="20" t="s">
        <v>300</v>
      </c>
      <c r="C59" s="73">
        <f>4000000+4826000</f>
        <v>8826000</v>
      </c>
      <c r="D59" s="70">
        <v>8826000</v>
      </c>
      <c r="E59" s="70">
        <v>8826000</v>
      </c>
      <c r="F59" s="70">
        <v>8826000</v>
      </c>
      <c r="G59" s="70"/>
      <c r="H59" s="70">
        <v>5628245</v>
      </c>
      <c r="I59" s="70">
        <v>11210920</v>
      </c>
      <c r="J59" s="70">
        <v>13636206</v>
      </c>
      <c r="K59" s="70"/>
      <c r="L59" s="143">
        <f>+H59/C59</f>
        <v>0.6376892136868344</v>
      </c>
      <c r="M59" s="143">
        <f>+I59/D59</f>
        <v>1.2702152730568774</v>
      </c>
      <c r="N59" s="143">
        <f>+J59/E59</f>
        <v>1.5450040788579198</v>
      </c>
      <c r="O59" s="70"/>
      <c r="P59" s="83">
        <f t="shared" si="53"/>
        <v>0</v>
      </c>
      <c r="Q59" s="83">
        <f t="shared" si="50"/>
        <v>0</v>
      </c>
      <c r="R59" s="83">
        <f t="shared" si="54"/>
        <v>0</v>
      </c>
      <c r="S59" s="83">
        <f t="shared" si="51"/>
        <v>0</v>
      </c>
      <c r="T59" s="89">
        <f t="shared" si="55"/>
        <v>0</v>
      </c>
      <c r="U59" s="70"/>
      <c r="V59" s="208">
        <f t="shared" si="56"/>
        <v>0</v>
      </c>
    </row>
    <row r="60" spans="1:22" x14ac:dyDescent="0.2">
      <c r="A60" s="14" t="s">
        <v>301</v>
      </c>
      <c r="B60" s="20" t="s">
        <v>302</v>
      </c>
      <c r="C60" s="73"/>
      <c r="D60" s="70"/>
      <c r="E60" s="70"/>
      <c r="F60" s="70"/>
      <c r="G60" s="70"/>
      <c r="H60" s="70"/>
      <c r="I60" s="70"/>
      <c r="J60" s="70"/>
      <c r="K60" s="70"/>
      <c r="L60" s="142"/>
      <c r="M60" s="142"/>
      <c r="N60" s="142"/>
      <c r="O60" s="70"/>
      <c r="P60" s="83">
        <f t="shared" si="53"/>
        <v>0</v>
      </c>
      <c r="Q60" s="83">
        <f t="shared" si="50"/>
        <v>0</v>
      </c>
      <c r="R60" s="83">
        <f t="shared" si="54"/>
        <v>0</v>
      </c>
      <c r="S60" s="83">
        <f t="shared" si="51"/>
        <v>0</v>
      </c>
      <c r="T60" s="89">
        <f t="shared" si="55"/>
        <v>0</v>
      </c>
      <c r="U60" s="70"/>
      <c r="V60" s="208">
        <f t="shared" si="56"/>
        <v>0</v>
      </c>
    </row>
    <row r="61" spans="1:22" x14ac:dyDescent="0.2">
      <c r="A61" s="14"/>
      <c r="B61" s="20" t="s">
        <v>303</v>
      </c>
      <c r="C61" s="73"/>
      <c r="D61" s="70"/>
      <c r="E61" s="70"/>
      <c r="F61" s="70"/>
      <c r="G61" s="70"/>
      <c r="H61" s="70"/>
      <c r="I61" s="70"/>
      <c r="J61" s="70"/>
      <c r="K61" s="70"/>
      <c r="L61" s="142"/>
      <c r="M61" s="142"/>
      <c r="N61" s="142"/>
      <c r="O61" s="70"/>
      <c r="P61" s="83">
        <f t="shared" si="53"/>
        <v>0</v>
      </c>
      <c r="Q61" s="83">
        <f t="shared" si="50"/>
        <v>0</v>
      </c>
      <c r="R61" s="83">
        <f t="shared" si="54"/>
        <v>0</v>
      </c>
      <c r="S61" s="83">
        <f t="shared" si="51"/>
        <v>0</v>
      </c>
      <c r="T61" s="89">
        <f t="shared" si="55"/>
        <v>0</v>
      </c>
      <c r="U61" s="70"/>
      <c r="V61" s="208">
        <f t="shared" si="56"/>
        <v>0</v>
      </c>
    </row>
    <row r="62" spans="1:22" x14ac:dyDescent="0.2">
      <c r="A62" s="14" t="s">
        <v>304</v>
      </c>
      <c r="B62" s="20" t="s">
        <v>305</v>
      </c>
      <c r="C62" s="73">
        <v>0</v>
      </c>
      <c r="D62" s="70">
        <v>0</v>
      </c>
      <c r="E62" s="70">
        <v>0</v>
      </c>
      <c r="F62" s="70">
        <v>0</v>
      </c>
      <c r="G62" s="70"/>
      <c r="H62" s="70">
        <v>2702340</v>
      </c>
      <c r="I62" s="70">
        <f>2692788+9552</f>
        <v>2702340</v>
      </c>
      <c r="J62" s="70">
        <v>2716400</v>
      </c>
      <c r="K62" s="70"/>
      <c r="L62" s="143" t="e">
        <f>+H62/C62</f>
        <v>#DIV/0!</v>
      </c>
      <c r="M62" s="143" t="e">
        <f>+I62/D62</f>
        <v>#DIV/0!</v>
      </c>
      <c r="N62" s="143" t="e">
        <f>+J62/E62</f>
        <v>#DIV/0!</v>
      </c>
      <c r="O62" s="70"/>
      <c r="P62" s="83">
        <f t="shared" si="53"/>
        <v>0</v>
      </c>
      <c r="Q62" s="83">
        <f t="shared" si="50"/>
        <v>0</v>
      </c>
      <c r="R62" s="83">
        <f t="shared" si="54"/>
        <v>0</v>
      </c>
      <c r="S62" s="83">
        <f t="shared" si="51"/>
        <v>0</v>
      </c>
      <c r="T62" s="89">
        <f t="shared" si="55"/>
        <v>0</v>
      </c>
      <c r="U62" s="70"/>
      <c r="V62" s="208">
        <f t="shared" si="56"/>
        <v>0</v>
      </c>
    </row>
    <row r="63" spans="1:22" x14ac:dyDescent="0.2">
      <c r="A63" s="14" t="s">
        <v>306</v>
      </c>
      <c r="B63" s="20" t="s">
        <v>307</v>
      </c>
      <c r="C63" s="73">
        <v>26000000</v>
      </c>
      <c r="D63" s="70">
        <v>26000000</v>
      </c>
      <c r="E63" s="70">
        <v>26000000</v>
      </c>
      <c r="F63" s="70">
        <v>0</v>
      </c>
      <c r="G63" s="70"/>
      <c r="H63" s="70"/>
      <c r="I63" s="70"/>
      <c r="J63" s="70"/>
      <c r="K63" s="70"/>
      <c r="L63" s="143"/>
      <c r="M63" s="143"/>
      <c r="N63" s="143"/>
      <c r="O63" s="70"/>
      <c r="P63" s="83">
        <f t="shared" si="53"/>
        <v>0</v>
      </c>
      <c r="Q63" s="83">
        <f t="shared" si="50"/>
        <v>0</v>
      </c>
      <c r="R63" s="83">
        <f t="shared" si="54"/>
        <v>-26000000</v>
      </c>
      <c r="S63" s="83">
        <f t="shared" si="51"/>
        <v>-26000000</v>
      </c>
      <c r="T63" s="89">
        <f t="shared" si="55"/>
        <v>-1</v>
      </c>
      <c r="U63" s="70"/>
      <c r="V63" s="208">
        <f t="shared" si="56"/>
        <v>-26000000</v>
      </c>
    </row>
    <row r="64" spans="1:22" ht="52.5" customHeight="1" x14ac:dyDescent="0.2">
      <c r="A64" s="14"/>
      <c r="B64" s="20" t="s">
        <v>308</v>
      </c>
      <c r="C64" s="73"/>
      <c r="D64" s="70"/>
      <c r="E64" s="70"/>
      <c r="F64" s="70"/>
      <c r="G64" s="70"/>
      <c r="H64" s="70"/>
      <c r="I64" s="70"/>
      <c r="J64" s="70"/>
      <c r="K64" s="70"/>
      <c r="L64" s="143"/>
      <c r="M64" s="143"/>
      <c r="N64" s="143"/>
      <c r="O64" s="70"/>
      <c r="P64" s="83">
        <f t="shared" si="53"/>
        <v>0</v>
      </c>
      <c r="Q64" s="83">
        <f t="shared" si="50"/>
        <v>0</v>
      </c>
      <c r="R64" s="83">
        <f t="shared" si="54"/>
        <v>0</v>
      </c>
      <c r="S64" s="83">
        <f t="shared" si="51"/>
        <v>0</v>
      </c>
      <c r="T64" s="89">
        <f t="shared" si="55"/>
        <v>0</v>
      </c>
      <c r="U64" s="70"/>
      <c r="V64" s="208">
        <f t="shared" si="56"/>
        <v>0</v>
      </c>
    </row>
    <row r="65" spans="1:22" x14ac:dyDescent="0.2">
      <c r="A65" s="560" t="s">
        <v>519</v>
      </c>
      <c r="B65" s="20" t="s">
        <v>309</v>
      </c>
      <c r="C65" s="73">
        <v>0</v>
      </c>
      <c r="D65" s="70">
        <v>0</v>
      </c>
      <c r="E65" s="70">
        <v>0</v>
      </c>
      <c r="F65" s="70">
        <f>371000+26000000</f>
        <v>26371000</v>
      </c>
      <c r="G65" s="70"/>
      <c r="H65" s="70">
        <f>68400+24930274</f>
        <v>24998674</v>
      </c>
      <c r="I65" s="70">
        <f>327748+25052700</f>
        <v>25380448</v>
      </c>
      <c r="J65" s="70">
        <f>370148+25285441</f>
        <v>25655589</v>
      </c>
      <c r="K65" s="70"/>
      <c r="L65" s="143" t="e">
        <f>+H65/C65</f>
        <v>#DIV/0!</v>
      </c>
      <c r="M65" s="143" t="e">
        <f>+I65/D65</f>
        <v>#DIV/0!</v>
      </c>
      <c r="N65" s="143" t="e">
        <f>+J65/E65</f>
        <v>#DIV/0!</v>
      </c>
      <c r="O65" s="70"/>
      <c r="P65" s="83">
        <f t="shared" si="53"/>
        <v>0</v>
      </c>
      <c r="Q65" s="83">
        <f t="shared" si="50"/>
        <v>0</v>
      </c>
      <c r="R65" s="83">
        <f t="shared" si="54"/>
        <v>26371000</v>
      </c>
      <c r="S65" s="83">
        <f t="shared" si="51"/>
        <v>26371000</v>
      </c>
      <c r="T65" s="89">
        <f t="shared" si="55"/>
        <v>0</v>
      </c>
      <c r="U65" s="70"/>
      <c r="V65" s="208">
        <f t="shared" si="56"/>
        <v>26371000</v>
      </c>
    </row>
    <row r="66" spans="1:22" ht="39" customHeight="1" x14ac:dyDescent="0.2">
      <c r="A66" s="14"/>
      <c r="B66" s="20" t="s">
        <v>310</v>
      </c>
      <c r="C66" s="151"/>
      <c r="D66" s="152">
        <v>0</v>
      </c>
      <c r="E66" s="152"/>
      <c r="F66" s="152"/>
      <c r="G66" s="152"/>
      <c r="H66" s="152">
        <v>0</v>
      </c>
      <c r="I66" s="152"/>
      <c r="J66" s="152"/>
      <c r="K66" s="152"/>
      <c r="L66" s="143"/>
      <c r="M66" s="143"/>
      <c r="N66" s="143"/>
      <c r="O66" s="152"/>
      <c r="P66" s="83">
        <f t="shared" si="53"/>
        <v>0</v>
      </c>
      <c r="Q66" s="83">
        <f t="shared" si="50"/>
        <v>0</v>
      </c>
      <c r="R66" s="83">
        <f t="shared" si="54"/>
        <v>0</v>
      </c>
      <c r="S66" s="83">
        <f t="shared" si="51"/>
        <v>0</v>
      </c>
      <c r="T66" s="89">
        <f t="shared" si="55"/>
        <v>0</v>
      </c>
      <c r="U66" s="152"/>
      <c r="V66" s="208">
        <f t="shared" si="56"/>
        <v>0</v>
      </c>
    </row>
    <row r="67" spans="1:22" x14ac:dyDescent="0.2">
      <c r="A67" s="4" t="s">
        <v>311</v>
      </c>
      <c r="B67" s="3" t="s">
        <v>312</v>
      </c>
      <c r="C67" s="68">
        <f>SUM(C68:C71)</f>
        <v>72638000</v>
      </c>
      <c r="D67" s="69">
        <f>SUM(D68:D71)</f>
        <v>72638000</v>
      </c>
      <c r="E67" s="69">
        <f>SUM(E68:E71)</f>
        <v>72638000</v>
      </c>
      <c r="F67" s="69">
        <f>SUM(F68:F71)</f>
        <v>52199487</v>
      </c>
      <c r="G67" s="69"/>
      <c r="H67" s="69">
        <f t="shared" ref="H67" si="57">SUM(H68:H71)</f>
        <v>16435054</v>
      </c>
      <c r="I67" s="69">
        <f>SUM(I68:I71)</f>
        <v>29416266</v>
      </c>
      <c r="J67" s="69">
        <f>SUM(J68:J71)</f>
        <v>35127563</v>
      </c>
      <c r="K67" s="69"/>
      <c r="L67" s="143">
        <f>+H67/C67</f>
        <v>0.2262597263140505</v>
      </c>
      <c r="M67" s="143">
        <f>+I67/D67</f>
        <v>0.40497075910680358</v>
      </c>
      <c r="N67" s="143">
        <f>+J67/E67</f>
        <v>0.48359760731297669</v>
      </c>
      <c r="O67" s="69"/>
      <c r="P67" s="69">
        <f t="shared" ref="P67:S67" si="58">SUM(P68:P71)</f>
        <v>0</v>
      </c>
      <c r="Q67" s="69">
        <f t="shared" si="58"/>
        <v>0</v>
      </c>
      <c r="R67" s="69">
        <f t="shared" si="58"/>
        <v>-20438513</v>
      </c>
      <c r="S67" s="69">
        <f t="shared" si="58"/>
        <v>-20438513</v>
      </c>
      <c r="T67" s="89">
        <f t="shared" si="55"/>
        <v>-0.28137494149067982</v>
      </c>
      <c r="U67" s="69"/>
      <c r="V67" s="208">
        <f t="shared" si="56"/>
        <v>-20438513</v>
      </c>
    </row>
    <row r="68" spans="1:22" x14ac:dyDescent="0.2">
      <c r="A68" s="14" t="s">
        <v>313</v>
      </c>
      <c r="B68" s="20" t="s">
        <v>314</v>
      </c>
      <c r="C68" s="73"/>
      <c r="D68" s="70"/>
      <c r="E68" s="73"/>
      <c r="F68" s="73"/>
      <c r="G68" s="73"/>
      <c r="H68" s="73"/>
      <c r="I68" s="73"/>
      <c r="J68" s="73"/>
      <c r="K68" s="73"/>
      <c r="L68" s="143"/>
      <c r="M68" s="143"/>
      <c r="N68" s="143"/>
      <c r="O68" s="73"/>
      <c r="P68" s="83">
        <f t="shared" ref="P68:R71" si="59">+(D68-C68)*P$8</f>
        <v>0</v>
      </c>
      <c r="Q68" s="83">
        <f t="shared" si="59"/>
        <v>0</v>
      </c>
      <c r="R68" s="83">
        <f t="shared" si="59"/>
        <v>0</v>
      </c>
      <c r="S68" s="83">
        <f t="shared" ref="S68" si="60">SUM(P68:R68)</f>
        <v>0</v>
      </c>
      <c r="T68" s="89">
        <f t="shared" si="55"/>
        <v>0</v>
      </c>
      <c r="U68" s="73"/>
      <c r="V68" s="208">
        <f t="shared" si="56"/>
        <v>0</v>
      </c>
    </row>
    <row r="69" spans="1:22" x14ac:dyDescent="0.2">
      <c r="A69" s="14" t="s">
        <v>315</v>
      </c>
      <c r="B69" s="20" t="s">
        <v>316</v>
      </c>
      <c r="C69" s="73">
        <v>72638000</v>
      </c>
      <c r="D69" s="70">
        <v>72638000</v>
      </c>
      <c r="E69" s="70">
        <v>72638000</v>
      </c>
      <c r="F69" s="70">
        <v>52199487</v>
      </c>
      <c r="G69" s="70"/>
      <c r="H69" s="70">
        <v>16435054</v>
      </c>
      <c r="I69" s="70">
        <v>29416266</v>
      </c>
      <c r="J69" s="70">
        <v>35127563</v>
      </c>
      <c r="K69" s="70"/>
      <c r="L69" s="143">
        <f t="shared" ref="L69:N70" si="61">+H69/C69</f>
        <v>0.2262597263140505</v>
      </c>
      <c r="M69" s="143">
        <f t="shared" si="61"/>
        <v>0.40497075910680358</v>
      </c>
      <c r="N69" s="143">
        <f t="shared" si="61"/>
        <v>0.48359760731297669</v>
      </c>
      <c r="O69" s="70"/>
      <c r="P69" s="83">
        <f t="shared" si="59"/>
        <v>0</v>
      </c>
      <c r="Q69" s="83">
        <f t="shared" si="59"/>
        <v>0</v>
      </c>
      <c r="R69" s="83">
        <f t="shared" si="59"/>
        <v>-20438513</v>
      </c>
      <c r="S69" s="83">
        <f t="shared" ref="S69:S71" si="62">SUM(P69:R69)</f>
        <v>-20438513</v>
      </c>
      <c r="T69" s="89">
        <f t="shared" si="55"/>
        <v>-0.28137494149067982</v>
      </c>
      <c r="U69" s="70"/>
      <c r="V69" s="208">
        <f t="shared" si="56"/>
        <v>-20438513</v>
      </c>
    </row>
    <row r="70" spans="1:22" x14ac:dyDescent="0.2">
      <c r="A70" s="14" t="s">
        <v>317</v>
      </c>
      <c r="B70" s="20" t="s">
        <v>318</v>
      </c>
      <c r="C70" s="73">
        <v>0</v>
      </c>
      <c r="D70" s="70">
        <v>0</v>
      </c>
      <c r="E70" s="70">
        <v>0</v>
      </c>
      <c r="F70" s="70"/>
      <c r="G70" s="70"/>
      <c r="H70" s="70">
        <v>0</v>
      </c>
      <c r="I70" s="70">
        <v>0</v>
      </c>
      <c r="J70" s="70"/>
      <c r="K70" s="70"/>
      <c r="L70" s="143" t="e">
        <f t="shared" si="61"/>
        <v>#DIV/0!</v>
      </c>
      <c r="M70" s="143" t="e">
        <f t="shared" si="61"/>
        <v>#DIV/0!</v>
      </c>
      <c r="N70" s="143" t="e">
        <f t="shared" si="61"/>
        <v>#DIV/0!</v>
      </c>
      <c r="O70" s="70"/>
      <c r="P70" s="83">
        <f t="shared" si="59"/>
        <v>0</v>
      </c>
      <c r="Q70" s="83">
        <f t="shared" si="59"/>
        <v>0</v>
      </c>
      <c r="R70" s="83">
        <f t="shared" si="59"/>
        <v>0</v>
      </c>
      <c r="S70" s="83">
        <f t="shared" si="62"/>
        <v>0</v>
      </c>
      <c r="T70" s="89">
        <f t="shared" si="55"/>
        <v>0</v>
      </c>
      <c r="U70" s="70"/>
      <c r="V70" s="208">
        <f t="shared" si="56"/>
        <v>0</v>
      </c>
    </row>
    <row r="71" spans="1:22" x14ac:dyDescent="0.2">
      <c r="A71" s="14" t="s">
        <v>319</v>
      </c>
      <c r="B71" s="20" t="s">
        <v>320</v>
      </c>
      <c r="C71" s="73"/>
      <c r="D71" s="70"/>
      <c r="E71" s="73"/>
      <c r="F71" s="73"/>
      <c r="G71" s="73"/>
      <c r="H71" s="73"/>
      <c r="I71" s="73"/>
      <c r="J71" s="73"/>
      <c r="K71" s="73"/>
      <c r="L71" s="143"/>
      <c r="M71" s="143"/>
      <c r="N71" s="143"/>
      <c r="O71" s="73"/>
      <c r="P71" s="83">
        <f t="shared" si="59"/>
        <v>0</v>
      </c>
      <c r="Q71" s="83">
        <f t="shared" si="59"/>
        <v>0</v>
      </c>
      <c r="R71" s="83">
        <f t="shared" si="59"/>
        <v>0</v>
      </c>
      <c r="S71" s="83">
        <f t="shared" si="62"/>
        <v>0</v>
      </c>
      <c r="T71" s="89">
        <f t="shared" si="55"/>
        <v>0</v>
      </c>
      <c r="U71" s="73"/>
      <c r="V71" s="208">
        <f t="shared" si="56"/>
        <v>0</v>
      </c>
    </row>
    <row r="72" spans="1:22" x14ac:dyDescent="0.2">
      <c r="A72" s="4" t="s">
        <v>321</v>
      </c>
      <c r="B72" s="3" t="s">
        <v>322</v>
      </c>
      <c r="C72" s="68">
        <f t="shared" ref="C72" si="63">SUM(C73:C75)</f>
        <v>0</v>
      </c>
      <c r="D72" s="68">
        <f>SUM(D73:D75)</f>
        <v>0</v>
      </c>
      <c r="E72" s="68">
        <f>SUM(E73:E75)</f>
        <v>15000000</v>
      </c>
      <c r="F72" s="68">
        <f>SUM(F73:F75)</f>
        <v>15000000</v>
      </c>
      <c r="G72" s="68"/>
      <c r="H72" s="68">
        <f>SUM(H73:H75)</f>
        <v>100000</v>
      </c>
      <c r="I72" s="68">
        <f>SUM(I73:I75)</f>
        <v>100000</v>
      </c>
      <c r="J72" s="68">
        <f>SUM(J73:J75)</f>
        <v>15140000</v>
      </c>
      <c r="K72" s="68"/>
      <c r="L72" s="143" t="e">
        <f>+H72/C72</f>
        <v>#DIV/0!</v>
      </c>
      <c r="M72" s="143" t="e">
        <f>+I72/D72</f>
        <v>#DIV/0!</v>
      </c>
      <c r="N72" s="143">
        <f>+J72/E72</f>
        <v>1.0093333333333334</v>
      </c>
      <c r="O72" s="68"/>
      <c r="P72" s="68">
        <f t="shared" ref="P72:S72" si="64">SUM(P73:P75)</f>
        <v>0</v>
      </c>
      <c r="Q72" s="68">
        <f t="shared" si="64"/>
        <v>15000000</v>
      </c>
      <c r="R72" s="68">
        <f t="shared" si="64"/>
        <v>0</v>
      </c>
      <c r="S72" s="68">
        <f t="shared" si="64"/>
        <v>15000000</v>
      </c>
      <c r="T72" s="89">
        <f t="shared" si="55"/>
        <v>0</v>
      </c>
      <c r="U72" s="68"/>
      <c r="V72" s="208">
        <f t="shared" si="56"/>
        <v>0</v>
      </c>
    </row>
    <row r="73" spans="1:22" ht="26.1" customHeight="1" x14ac:dyDescent="0.2">
      <c r="A73" s="14" t="s">
        <v>323</v>
      </c>
      <c r="B73" s="20" t="s">
        <v>324</v>
      </c>
      <c r="C73" s="73"/>
      <c r="D73" s="70"/>
      <c r="E73" s="73"/>
      <c r="F73" s="73"/>
      <c r="G73" s="73"/>
      <c r="H73" s="73"/>
      <c r="I73" s="73"/>
      <c r="J73" s="73"/>
      <c r="K73" s="73"/>
      <c r="L73" s="143"/>
      <c r="M73" s="143"/>
      <c r="N73" s="143"/>
      <c r="O73" s="73"/>
      <c r="P73" s="83">
        <f t="shared" ref="P73:R75" si="65">+(D73-C73)*P$8</f>
        <v>0</v>
      </c>
      <c r="Q73" s="83">
        <f t="shared" si="65"/>
        <v>0</v>
      </c>
      <c r="R73" s="83">
        <f t="shared" si="65"/>
        <v>0</v>
      </c>
      <c r="S73" s="83">
        <f t="shared" ref="S73:S75" si="66">SUM(P73:R73)</f>
        <v>0</v>
      </c>
      <c r="T73" s="89">
        <f t="shared" si="55"/>
        <v>0</v>
      </c>
      <c r="U73" s="73"/>
      <c r="V73" s="208">
        <f t="shared" si="56"/>
        <v>0</v>
      </c>
    </row>
    <row r="74" spans="1:22" ht="26.1" customHeight="1" x14ac:dyDescent="0.2">
      <c r="A74" s="560" t="s">
        <v>510</v>
      </c>
      <c r="B74" s="513" t="s">
        <v>509</v>
      </c>
      <c r="C74" s="73"/>
      <c r="D74" s="70"/>
      <c r="E74" s="73">
        <v>15000000</v>
      </c>
      <c r="F74" s="73">
        <v>15000000</v>
      </c>
      <c r="G74" s="73"/>
      <c r="H74" s="73">
        <v>100000</v>
      </c>
      <c r="I74" s="73">
        <v>100000</v>
      </c>
      <c r="J74" s="73">
        <v>15140000</v>
      </c>
      <c r="K74" s="73"/>
      <c r="L74" s="143"/>
      <c r="M74" s="143"/>
      <c r="N74" s="143"/>
      <c r="O74" s="73"/>
      <c r="P74" s="83">
        <f t="shared" si="65"/>
        <v>0</v>
      </c>
      <c r="Q74" s="83">
        <f t="shared" si="65"/>
        <v>15000000</v>
      </c>
      <c r="R74" s="83">
        <f t="shared" si="65"/>
        <v>0</v>
      </c>
      <c r="S74" s="83">
        <f t="shared" si="66"/>
        <v>15000000</v>
      </c>
      <c r="T74" s="89">
        <f t="shared" si="55"/>
        <v>0</v>
      </c>
      <c r="U74" s="73"/>
      <c r="V74" s="208">
        <f t="shared" si="56"/>
        <v>0</v>
      </c>
    </row>
    <row r="75" spans="1:22" ht="25.5" x14ac:dyDescent="0.2">
      <c r="A75" s="560" t="s">
        <v>468</v>
      </c>
      <c r="B75" s="45" t="s">
        <v>396</v>
      </c>
      <c r="C75" s="73">
        <v>0</v>
      </c>
      <c r="D75" s="70">
        <v>0</v>
      </c>
      <c r="E75" s="70">
        <v>0</v>
      </c>
      <c r="F75" s="70"/>
      <c r="G75" s="70"/>
      <c r="H75" s="70">
        <v>0</v>
      </c>
      <c r="I75" s="70">
        <v>0</v>
      </c>
      <c r="J75" s="70"/>
      <c r="K75" s="70"/>
      <c r="L75" s="143" t="e">
        <f t="shared" ref="L75:N76" si="67">+H75/C75</f>
        <v>#DIV/0!</v>
      </c>
      <c r="M75" s="143" t="e">
        <f t="shared" si="67"/>
        <v>#DIV/0!</v>
      </c>
      <c r="N75" s="143" t="e">
        <f t="shared" si="67"/>
        <v>#DIV/0!</v>
      </c>
      <c r="O75" s="70"/>
      <c r="P75" s="83">
        <f t="shared" si="65"/>
        <v>0</v>
      </c>
      <c r="Q75" s="83">
        <f t="shared" si="65"/>
        <v>0</v>
      </c>
      <c r="R75" s="83">
        <f t="shared" si="65"/>
        <v>0</v>
      </c>
      <c r="S75" s="83">
        <f t="shared" si="66"/>
        <v>0</v>
      </c>
      <c r="T75" s="89">
        <f t="shared" si="55"/>
        <v>0</v>
      </c>
      <c r="U75" s="70"/>
      <c r="V75" s="208">
        <f t="shared" si="56"/>
        <v>0</v>
      </c>
    </row>
    <row r="76" spans="1:22" ht="25.5" x14ac:dyDescent="0.2">
      <c r="A76" s="4" t="s">
        <v>326</v>
      </c>
      <c r="B76" s="3" t="s">
        <v>327</v>
      </c>
      <c r="C76" s="68">
        <f>SUM(C77:C78)</f>
        <v>0</v>
      </c>
      <c r="D76" s="68">
        <f>+D77+D78+D79</f>
        <v>0</v>
      </c>
      <c r="E76" s="68">
        <f>SUM(E77:E79)</f>
        <v>0</v>
      </c>
      <c r="F76" s="68">
        <f>SUM(F77:F79)</f>
        <v>377000</v>
      </c>
      <c r="G76" s="68"/>
      <c r="H76" s="68">
        <f>+H77+H78+H79</f>
        <v>102000</v>
      </c>
      <c r="I76" s="68">
        <f>SUM(I77:I79)</f>
        <v>277000</v>
      </c>
      <c r="J76" s="68">
        <f>SUM(J77:J79)</f>
        <v>397000</v>
      </c>
      <c r="K76" s="68"/>
      <c r="L76" s="143" t="e">
        <f t="shared" si="67"/>
        <v>#DIV/0!</v>
      </c>
      <c r="M76" s="143" t="e">
        <f t="shared" si="67"/>
        <v>#DIV/0!</v>
      </c>
      <c r="N76" s="143" t="e">
        <f t="shared" si="67"/>
        <v>#DIV/0!</v>
      </c>
      <c r="O76" s="68"/>
      <c r="P76" s="68">
        <f t="shared" ref="P76:S76" si="68">+P77+P78+P79</f>
        <v>0</v>
      </c>
      <c r="Q76" s="68">
        <f t="shared" si="68"/>
        <v>0</v>
      </c>
      <c r="R76" s="68">
        <f t="shared" si="68"/>
        <v>377000</v>
      </c>
      <c r="S76" s="68">
        <f t="shared" si="68"/>
        <v>377000</v>
      </c>
      <c r="T76" s="89">
        <f t="shared" si="55"/>
        <v>0</v>
      </c>
      <c r="U76" s="68"/>
      <c r="V76" s="208">
        <f t="shared" si="56"/>
        <v>377000</v>
      </c>
    </row>
    <row r="77" spans="1:22" ht="39.950000000000003" customHeight="1" x14ac:dyDescent="0.2">
      <c r="A77" s="14" t="s">
        <v>328</v>
      </c>
      <c r="B77" s="20" t="s">
        <v>329</v>
      </c>
      <c r="C77" s="73"/>
      <c r="D77" s="70"/>
      <c r="E77" s="73"/>
      <c r="F77" s="73"/>
      <c r="G77" s="73"/>
      <c r="H77" s="73"/>
      <c r="I77" s="73"/>
      <c r="J77" s="73"/>
      <c r="K77" s="73"/>
      <c r="L77" s="143"/>
      <c r="M77" s="143"/>
      <c r="N77" s="143"/>
      <c r="O77" s="73"/>
      <c r="P77" s="83">
        <f t="shared" ref="P77:R79" si="69">+(D77-C77)*P$8</f>
        <v>0</v>
      </c>
      <c r="Q77" s="83">
        <f t="shared" si="69"/>
        <v>0</v>
      </c>
      <c r="R77" s="83">
        <f t="shared" si="69"/>
        <v>0</v>
      </c>
      <c r="S77" s="83">
        <f t="shared" ref="S77:S79" si="70">SUM(P77:R77)</f>
        <v>0</v>
      </c>
      <c r="T77" s="89">
        <f t="shared" si="55"/>
        <v>0</v>
      </c>
      <c r="U77" s="73"/>
      <c r="V77" s="208">
        <f t="shared" si="56"/>
        <v>0</v>
      </c>
    </row>
    <row r="78" spans="1:22" ht="24" customHeight="1" x14ac:dyDescent="0.2">
      <c r="A78" s="14" t="s">
        <v>330</v>
      </c>
      <c r="B78" s="20" t="s">
        <v>331</v>
      </c>
      <c r="C78" s="73"/>
      <c r="D78" s="70"/>
      <c r="E78" s="73"/>
      <c r="F78" s="73"/>
      <c r="G78" s="73"/>
      <c r="H78" s="73"/>
      <c r="I78" s="73"/>
      <c r="J78" s="73"/>
      <c r="K78" s="73"/>
      <c r="L78" s="143"/>
      <c r="M78" s="143"/>
      <c r="N78" s="143"/>
      <c r="O78" s="73"/>
      <c r="P78" s="83">
        <f t="shared" si="69"/>
        <v>0</v>
      </c>
      <c r="Q78" s="83">
        <f t="shared" si="69"/>
        <v>0</v>
      </c>
      <c r="R78" s="83">
        <f t="shared" si="69"/>
        <v>0</v>
      </c>
      <c r="S78" s="83">
        <f t="shared" si="70"/>
        <v>0</v>
      </c>
      <c r="T78" s="89">
        <f t="shared" si="55"/>
        <v>0</v>
      </c>
      <c r="U78" s="73"/>
      <c r="V78" s="208">
        <f t="shared" si="56"/>
        <v>0</v>
      </c>
    </row>
    <row r="79" spans="1:22" x14ac:dyDescent="0.2">
      <c r="A79" s="14" t="s">
        <v>385</v>
      </c>
      <c r="B79" s="14" t="s">
        <v>332</v>
      </c>
      <c r="C79" s="73">
        <v>0</v>
      </c>
      <c r="D79" s="70">
        <v>0</v>
      </c>
      <c r="E79" s="150">
        <v>0</v>
      </c>
      <c r="F79" s="70">
        <v>377000</v>
      </c>
      <c r="G79" s="70"/>
      <c r="H79" s="70">
        <v>102000</v>
      </c>
      <c r="I79" s="70">
        <v>277000</v>
      </c>
      <c r="J79" s="70">
        <f>20000+377000</f>
        <v>397000</v>
      </c>
      <c r="K79" s="70"/>
      <c r="L79" s="143" t="e">
        <f t="shared" ref="L79:N80" si="71">+H79/C79</f>
        <v>#DIV/0!</v>
      </c>
      <c r="M79" s="143" t="e">
        <f t="shared" si="71"/>
        <v>#DIV/0!</v>
      </c>
      <c r="N79" s="143" t="e">
        <f t="shared" si="71"/>
        <v>#DIV/0!</v>
      </c>
      <c r="O79" s="70"/>
      <c r="P79" s="83">
        <f t="shared" si="69"/>
        <v>0</v>
      </c>
      <c r="Q79" s="83">
        <f t="shared" si="69"/>
        <v>0</v>
      </c>
      <c r="R79" s="83">
        <f t="shared" si="69"/>
        <v>377000</v>
      </c>
      <c r="S79" s="83">
        <f t="shared" si="70"/>
        <v>377000</v>
      </c>
      <c r="T79" s="89">
        <f t="shared" si="55"/>
        <v>0</v>
      </c>
      <c r="U79" s="70"/>
      <c r="V79" s="208">
        <f t="shared" si="56"/>
        <v>377000</v>
      </c>
    </row>
    <row r="80" spans="1:22" x14ac:dyDescent="0.2">
      <c r="A80" s="4" t="s">
        <v>333</v>
      </c>
      <c r="B80" s="3" t="s">
        <v>334</v>
      </c>
      <c r="C80" s="68">
        <f>SUM(C81:C95)</f>
        <v>109560182</v>
      </c>
      <c r="D80" s="68">
        <f>SUM(D81:D94)</f>
        <v>126560182</v>
      </c>
      <c r="E80" s="68">
        <f>SUM(E81:E95)</f>
        <v>126560182</v>
      </c>
      <c r="F80" s="68">
        <f>SUM(F81:F95)</f>
        <v>126560182</v>
      </c>
      <c r="G80" s="68"/>
      <c r="H80" s="68">
        <f t="shared" ref="H80" si="72">SUM(H81:H94)</f>
        <v>109560182</v>
      </c>
      <c r="I80" s="68">
        <f>SUM(I81:I95)</f>
        <v>109560182</v>
      </c>
      <c r="J80" s="68">
        <f>SUM(J81:J95)</f>
        <v>128222810</v>
      </c>
      <c r="K80" s="68"/>
      <c r="L80" s="143">
        <f t="shared" si="71"/>
        <v>1</v>
      </c>
      <c r="M80" s="143">
        <f t="shared" si="71"/>
        <v>0.86567655220344109</v>
      </c>
      <c r="N80" s="143">
        <f t="shared" si="71"/>
        <v>1.0131370544331233</v>
      </c>
      <c r="O80" s="68"/>
      <c r="P80" s="68">
        <f t="shared" ref="P80:S80" si="73">SUM(P81:P94)</f>
        <v>17000000</v>
      </c>
      <c r="Q80" s="68">
        <f t="shared" si="73"/>
        <v>0</v>
      </c>
      <c r="R80" s="68">
        <f t="shared" si="73"/>
        <v>0</v>
      </c>
      <c r="S80" s="68">
        <f t="shared" si="73"/>
        <v>17000000</v>
      </c>
      <c r="T80" s="89">
        <f t="shared" si="55"/>
        <v>0.1551658612615302</v>
      </c>
      <c r="U80" s="68"/>
      <c r="V80" s="208">
        <f t="shared" si="56"/>
        <v>0</v>
      </c>
    </row>
    <row r="81" spans="1:22" x14ac:dyDescent="0.2">
      <c r="A81" s="14" t="s">
        <v>335</v>
      </c>
      <c r="B81" s="20" t="s">
        <v>336</v>
      </c>
      <c r="C81" s="73"/>
      <c r="D81" s="70"/>
      <c r="E81" s="73"/>
      <c r="F81" s="73"/>
      <c r="G81" s="73"/>
      <c r="H81" s="73"/>
      <c r="I81" s="73"/>
      <c r="J81" s="73"/>
      <c r="K81" s="73"/>
      <c r="L81" s="143"/>
      <c r="M81" s="143"/>
      <c r="N81" s="143"/>
      <c r="O81" s="73"/>
      <c r="P81" s="83">
        <f t="shared" ref="P81:P95" si="74">+(D81-C81)*P$8</f>
        <v>0</v>
      </c>
      <c r="Q81" s="83">
        <f t="shared" ref="Q81:Q95" si="75">+(E81-D81)*Q$8</f>
        <v>0</v>
      </c>
      <c r="R81" s="83">
        <f t="shared" ref="R81:R95" si="76">+(F81-E81)*R$8</f>
        <v>0</v>
      </c>
      <c r="S81" s="83">
        <f t="shared" ref="S81:S95" si="77">SUM(P81:R81)</f>
        <v>0</v>
      </c>
      <c r="T81" s="89">
        <f t="shared" si="55"/>
        <v>0</v>
      </c>
      <c r="U81" s="73"/>
      <c r="V81" s="208">
        <f t="shared" si="56"/>
        <v>0</v>
      </c>
    </row>
    <row r="82" spans="1:22" ht="25.5" x14ac:dyDescent="0.2">
      <c r="A82" s="14" t="s">
        <v>337</v>
      </c>
      <c r="B82" s="20" t="s">
        <v>338</v>
      </c>
      <c r="C82" s="73"/>
      <c r="D82" s="70"/>
      <c r="E82" s="73"/>
      <c r="F82" s="73"/>
      <c r="G82" s="73"/>
      <c r="H82" s="73"/>
      <c r="I82" s="73"/>
      <c r="J82" s="73"/>
      <c r="K82" s="73"/>
      <c r="L82" s="143"/>
      <c r="M82" s="143"/>
      <c r="N82" s="143"/>
      <c r="O82" s="73"/>
      <c r="P82" s="83">
        <f t="shared" si="74"/>
        <v>0</v>
      </c>
      <c r="Q82" s="83">
        <f t="shared" si="75"/>
        <v>0</v>
      </c>
      <c r="R82" s="83">
        <f t="shared" si="76"/>
        <v>0</v>
      </c>
      <c r="S82" s="83">
        <f t="shared" si="77"/>
        <v>0</v>
      </c>
      <c r="T82" s="89">
        <f t="shared" si="55"/>
        <v>0</v>
      </c>
      <c r="U82" s="73"/>
      <c r="V82" s="208">
        <f t="shared" si="56"/>
        <v>0</v>
      </c>
    </row>
    <row r="83" spans="1:22" ht="25.5" x14ac:dyDescent="0.2">
      <c r="A83" s="158" t="s">
        <v>339</v>
      </c>
      <c r="B83" s="156" t="s">
        <v>340</v>
      </c>
      <c r="C83" s="73"/>
      <c r="D83" s="70"/>
      <c r="E83" s="73"/>
      <c r="F83" s="73"/>
      <c r="G83" s="73"/>
      <c r="H83" s="73"/>
      <c r="I83" s="73"/>
      <c r="J83" s="73"/>
      <c r="K83" s="73"/>
      <c r="L83" s="143"/>
      <c r="M83" s="143"/>
      <c r="N83" s="143"/>
      <c r="O83" s="73"/>
      <c r="P83" s="83">
        <f t="shared" si="74"/>
        <v>0</v>
      </c>
      <c r="Q83" s="83">
        <f t="shared" si="75"/>
        <v>0</v>
      </c>
      <c r="R83" s="83">
        <f t="shared" si="76"/>
        <v>0</v>
      </c>
      <c r="S83" s="83">
        <f t="shared" si="77"/>
        <v>0</v>
      </c>
      <c r="T83" s="89">
        <f t="shared" si="55"/>
        <v>0</v>
      </c>
      <c r="U83" s="73"/>
      <c r="V83" s="208">
        <f t="shared" si="56"/>
        <v>0</v>
      </c>
    </row>
    <row r="84" spans="1:22" ht="14.25" customHeight="1" x14ac:dyDescent="0.2">
      <c r="A84" s="158" t="s">
        <v>341</v>
      </c>
      <c r="B84" s="156" t="s">
        <v>342</v>
      </c>
      <c r="C84" s="73"/>
      <c r="D84" s="70"/>
      <c r="E84" s="73"/>
      <c r="F84" s="73"/>
      <c r="G84" s="73"/>
      <c r="H84" s="73"/>
      <c r="I84" s="73"/>
      <c r="J84" s="73"/>
      <c r="K84" s="73"/>
      <c r="L84" s="143"/>
      <c r="M84" s="143"/>
      <c r="N84" s="143"/>
      <c r="O84" s="73"/>
      <c r="P84" s="83">
        <f t="shared" si="74"/>
        <v>0</v>
      </c>
      <c r="Q84" s="83">
        <f t="shared" si="75"/>
        <v>0</v>
      </c>
      <c r="R84" s="83">
        <f t="shared" si="76"/>
        <v>0</v>
      </c>
      <c r="S84" s="83">
        <f t="shared" si="77"/>
        <v>0</v>
      </c>
      <c r="T84" s="89">
        <f t="shared" si="55"/>
        <v>0</v>
      </c>
      <c r="U84" s="73"/>
      <c r="V84" s="208">
        <f t="shared" si="56"/>
        <v>0</v>
      </c>
    </row>
    <row r="85" spans="1:22" x14ac:dyDescent="0.2">
      <c r="A85" s="158" t="s">
        <v>343</v>
      </c>
      <c r="B85" s="156" t="s">
        <v>344</v>
      </c>
      <c r="C85" s="73"/>
      <c r="D85" s="70"/>
      <c r="E85" s="73"/>
      <c r="F85" s="73"/>
      <c r="G85" s="73"/>
      <c r="H85" s="73"/>
      <c r="I85" s="73"/>
      <c r="J85" s="73"/>
      <c r="K85" s="73"/>
      <c r="L85" s="143"/>
      <c r="M85" s="143"/>
      <c r="N85" s="143"/>
      <c r="O85" s="73"/>
      <c r="P85" s="83">
        <f t="shared" si="74"/>
        <v>0</v>
      </c>
      <c r="Q85" s="83">
        <f t="shared" si="75"/>
        <v>0</v>
      </c>
      <c r="R85" s="83">
        <f t="shared" si="76"/>
        <v>0</v>
      </c>
      <c r="S85" s="83">
        <f t="shared" si="77"/>
        <v>0</v>
      </c>
      <c r="T85" s="89">
        <f t="shared" si="55"/>
        <v>0</v>
      </c>
      <c r="U85" s="73"/>
      <c r="V85" s="208">
        <f t="shared" si="56"/>
        <v>0</v>
      </c>
    </row>
    <row r="86" spans="1:22" x14ac:dyDescent="0.2">
      <c r="A86" s="14" t="s">
        <v>345</v>
      </c>
      <c r="B86" s="20" t="s">
        <v>346</v>
      </c>
      <c r="C86" s="73"/>
      <c r="D86" s="70"/>
      <c r="E86" s="73"/>
      <c r="F86" s="73"/>
      <c r="G86" s="73"/>
      <c r="H86" s="73"/>
      <c r="I86" s="73"/>
      <c r="J86" s="73"/>
      <c r="K86" s="73"/>
      <c r="L86" s="143"/>
      <c r="M86" s="143"/>
      <c r="N86" s="143"/>
      <c r="O86" s="73"/>
      <c r="P86" s="83">
        <f t="shared" si="74"/>
        <v>0</v>
      </c>
      <c r="Q86" s="83">
        <f t="shared" si="75"/>
        <v>0</v>
      </c>
      <c r="R86" s="83">
        <f t="shared" si="76"/>
        <v>0</v>
      </c>
      <c r="S86" s="83">
        <f t="shared" si="77"/>
        <v>0</v>
      </c>
      <c r="T86" s="89">
        <f t="shared" si="55"/>
        <v>0</v>
      </c>
      <c r="U86" s="73"/>
      <c r="V86" s="208">
        <f t="shared" si="56"/>
        <v>0</v>
      </c>
    </row>
    <row r="87" spans="1:22" x14ac:dyDescent="0.2">
      <c r="A87" s="14" t="s">
        <v>347</v>
      </c>
      <c r="B87" s="20" t="s">
        <v>348</v>
      </c>
      <c r="C87" s="73">
        <v>0</v>
      </c>
      <c r="D87" s="70">
        <v>0</v>
      </c>
      <c r="E87" s="150">
        <v>0</v>
      </c>
      <c r="F87" s="70"/>
      <c r="G87" s="70"/>
      <c r="H87" s="70">
        <v>0</v>
      </c>
      <c r="I87" s="70">
        <v>0</v>
      </c>
      <c r="J87" s="70"/>
      <c r="K87" s="70"/>
      <c r="L87" s="143" t="e">
        <f>+H87/C87</f>
        <v>#DIV/0!</v>
      </c>
      <c r="M87" s="143" t="e">
        <f>+I87/D87</f>
        <v>#DIV/0!</v>
      </c>
      <c r="N87" s="143" t="e">
        <f>+J87/E87</f>
        <v>#DIV/0!</v>
      </c>
      <c r="O87" s="70"/>
      <c r="P87" s="83">
        <f t="shared" si="74"/>
        <v>0</v>
      </c>
      <c r="Q87" s="415">
        <f t="shared" si="75"/>
        <v>0</v>
      </c>
      <c r="R87" s="83">
        <f t="shared" si="76"/>
        <v>0</v>
      </c>
      <c r="S87" s="83">
        <f t="shared" si="77"/>
        <v>0</v>
      </c>
      <c r="T87" s="89">
        <f t="shared" si="55"/>
        <v>0</v>
      </c>
      <c r="U87" s="70"/>
      <c r="V87" s="208">
        <f t="shared" si="56"/>
        <v>0</v>
      </c>
    </row>
    <row r="88" spans="1:22" ht="25.5" x14ac:dyDescent="0.2">
      <c r="A88" s="158" t="s">
        <v>349</v>
      </c>
      <c r="B88" s="156" t="s">
        <v>350</v>
      </c>
      <c r="C88" s="151">
        <v>109560182</v>
      </c>
      <c r="D88" s="70">
        <v>109560182</v>
      </c>
      <c r="E88" s="73">
        <v>109560182</v>
      </c>
      <c r="F88" s="73">
        <v>109560182</v>
      </c>
      <c r="G88" s="73"/>
      <c r="H88" s="73">
        <v>109560182</v>
      </c>
      <c r="I88" s="73">
        <v>109560182</v>
      </c>
      <c r="J88" s="73">
        <v>109560182</v>
      </c>
      <c r="K88" s="73"/>
      <c r="L88" s="143"/>
      <c r="M88" s="143"/>
      <c r="N88" s="143"/>
      <c r="O88" s="73"/>
      <c r="P88" s="83">
        <f t="shared" si="74"/>
        <v>0</v>
      </c>
      <c r="Q88" s="83">
        <f t="shared" si="75"/>
        <v>0</v>
      </c>
      <c r="R88" s="83">
        <f t="shared" si="76"/>
        <v>0</v>
      </c>
      <c r="S88" s="83">
        <f t="shared" si="77"/>
        <v>0</v>
      </c>
      <c r="T88" s="89">
        <f t="shared" si="55"/>
        <v>0</v>
      </c>
      <c r="U88" s="73"/>
      <c r="V88" s="208">
        <f t="shared" si="56"/>
        <v>0</v>
      </c>
    </row>
    <row r="89" spans="1:22" ht="25.5" x14ac:dyDescent="0.2">
      <c r="A89" s="158" t="s">
        <v>351</v>
      </c>
      <c r="B89" s="156" t="s">
        <v>352</v>
      </c>
      <c r="C89" s="73"/>
      <c r="D89" s="70"/>
      <c r="E89" s="73"/>
      <c r="F89" s="73"/>
      <c r="G89" s="73"/>
      <c r="H89" s="73"/>
      <c r="I89" s="73"/>
      <c r="J89" s="73"/>
      <c r="K89" s="73"/>
      <c r="L89" s="143"/>
      <c r="M89" s="143"/>
      <c r="N89" s="143"/>
      <c r="O89" s="73"/>
      <c r="P89" s="83">
        <f t="shared" si="74"/>
        <v>0</v>
      </c>
      <c r="Q89" s="83">
        <f t="shared" si="75"/>
        <v>0</v>
      </c>
      <c r="R89" s="83">
        <f t="shared" si="76"/>
        <v>0</v>
      </c>
      <c r="S89" s="83">
        <f t="shared" si="77"/>
        <v>0</v>
      </c>
      <c r="T89" s="89">
        <f t="shared" si="55"/>
        <v>0</v>
      </c>
      <c r="U89" s="73"/>
      <c r="V89" s="208">
        <f t="shared" si="56"/>
        <v>0</v>
      </c>
    </row>
    <row r="90" spans="1:22" x14ac:dyDescent="0.2">
      <c r="A90" s="14" t="s">
        <v>353</v>
      </c>
      <c r="B90" s="20" t="s">
        <v>354</v>
      </c>
      <c r="C90" s="73"/>
      <c r="D90" s="70">
        <v>17000000</v>
      </c>
      <c r="E90" s="73">
        <v>17000000</v>
      </c>
      <c r="F90" s="73">
        <v>17000000</v>
      </c>
      <c r="G90" s="73"/>
      <c r="H90" s="73"/>
      <c r="I90" s="73"/>
      <c r="J90" s="73">
        <v>18662628</v>
      </c>
      <c r="K90" s="73"/>
      <c r="L90" s="143"/>
      <c r="M90" s="143"/>
      <c r="N90" s="143"/>
      <c r="O90" s="73"/>
      <c r="P90" s="83">
        <f t="shared" si="74"/>
        <v>17000000</v>
      </c>
      <c r="Q90" s="83">
        <f t="shared" si="75"/>
        <v>0</v>
      </c>
      <c r="R90" s="83">
        <f t="shared" si="76"/>
        <v>0</v>
      </c>
      <c r="S90" s="83">
        <f t="shared" si="77"/>
        <v>17000000</v>
      </c>
      <c r="T90" s="89">
        <f t="shared" si="55"/>
        <v>0</v>
      </c>
      <c r="U90" s="73"/>
      <c r="V90" s="208">
        <f t="shared" si="56"/>
        <v>0</v>
      </c>
    </row>
    <row r="91" spans="1:22" ht="25.5" x14ac:dyDescent="0.2">
      <c r="A91" s="14" t="s">
        <v>355</v>
      </c>
      <c r="B91" s="20" t="s">
        <v>356</v>
      </c>
      <c r="C91" s="73"/>
      <c r="D91" s="70"/>
      <c r="E91" s="73"/>
      <c r="F91" s="73"/>
      <c r="G91" s="73"/>
      <c r="H91" s="73"/>
      <c r="I91" s="73"/>
      <c r="J91" s="73"/>
      <c r="K91" s="73"/>
      <c r="L91" s="143"/>
      <c r="M91" s="143"/>
      <c r="N91" s="143"/>
      <c r="O91" s="73"/>
      <c r="P91" s="83">
        <f t="shared" si="74"/>
        <v>0</v>
      </c>
      <c r="Q91" s="83">
        <f t="shared" si="75"/>
        <v>0</v>
      </c>
      <c r="R91" s="83">
        <f t="shared" si="76"/>
        <v>0</v>
      </c>
      <c r="S91" s="83">
        <f t="shared" si="77"/>
        <v>0</v>
      </c>
      <c r="T91" s="89">
        <f t="shared" si="55"/>
        <v>0</v>
      </c>
      <c r="U91" s="73"/>
      <c r="V91" s="208">
        <f t="shared" si="56"/>
        <v>0</v>
      </c>
    </row>
    <row r="92" spans="1:22" x14ac:dyDescent="0.2">
      <c r="A92" s="14" t="s">
        <v>359</v>
      </c>
      <c r="B92" s="20" t="s">
        <v>357</v>
      </c>
      <c r="C92" s="73"/>
      <c r="D92" s="70"/>
      <c r="E92" s="73"/>
      <c r="F92" s="73"/>
      <c r="G92" s="73"/>
      <c r="H92" s="73"/>
      <c r="I92" s="73"/>
      <c r="J92" s="73"/>
      <c r="K92" s="73"/>
      <c r="L92" s="143"/>
      <c r="M92" s="143"/>
      <c r="N92" s="143"/>
      <c r="O92" s="73"/>
      <c r="P92" s="83">
        <f t="shared" si="74"/>
        <v>0</v>
      </c>
      <c r="Q92" s="83">
        <f t="shared" si="75"/>
        <v>0</v>
      </c>
      <c r="R92" s="83">
        <f t="shared" si="76"/>
        <v>0</v>
      </c>
      <c r="S92" s="83">
        <f t="shared" si="77"/>
        <v>0</v>
      </c>
      <c r="T92" s="89">
        <f t="shared" si="55"/>
        <v>0</v>
      </c>
      <c r="U92" s="73"/>
      <c r="V92" s="208">
        <f t="shared" si="56"/>
        <v>0</v>
      </c>
    </row>
    <row r="93" spans="1:22" ht="25.5" x14ac:dyDescent="0.2">
      <c r="A93" s="14"/>
      <c r="B93" s="20" t="s">
        <v>358</v>
      </c>
      <c r="C93" s="73"/>
      <c r="D93" s="70"/>
      <c r="E93" s="73"/>
      <c r="F93" s="73"/>
      <c r="G93" s="73"/>
      <c r="H93" s="73"/>
      <c r="I93" s="73"/>
      <c r="J93" s="73"/>
      <c r="K93" s="73"/>
      <c r="L93" s="143"/>
      <c r="M93" s="143"/>
      <c r="N93" s="143"/>
      <c r="O93" s="73"/>
      <c r="P93" s="83">
        <f t="shared" si="74"/>
        <v>0</v>
      </c>
      <c r="Q93" s="83">
        <f t="shared" si="75"/>
        <v>0</v>
      </c>
      <c r="R93" s="83">
        <f t="shared" si="76"/>
        <v>0</v>
      </c>
      <c r="S93" s="83">
        <f t="shared" si="77"/>
        <v>0</v>
      </c>
      <c r="T93" s="89">
        <f t="shared" si="55"/>
        <v>0</v>
      </c>
      <c r="U93" s="73"/>
      <c r="V93" s="208">
        <f t="shared" si="56"/>
        <v>0</v>
      </c>
    </row>
    <row r="94" spans="1:22" x14ac:dyDescent="0.2">
      <c r="A94" s="14" t="s">
        <v>360</v>
      </c>
      <c r="B94" s="20" t="s">
        <v>361</v>
      </c>
      <c r="C94" s="73">
        <v>0</v>
      </c>
      <c r="D94" s="70">
        <v>0</v>
      </c>
      <c r="E94" s="73"/>
      <c r="F94" s="73"/>
      <c r="G94" s="73"/>
      <c r="H94" s="73"/>
      <c r="I94" s="73"/>
      <c r="J94" s="73"/>
      <c r="K94" s="73"/>
      <c r="L94" s="143"/>
      <c r="M94" s="143"/>
      <c r="N94" s="143"/>
      <c r="O94" s="73"/>
      <c r="P94" s="83">
        <f t="shared" si="74"/>
        <v>0</v>
      </c>
      <c r="Q94" s="83">
        <f t="shared" si="75"/>
        <v>0</v>
      </c>
      <c r="R94" s="83">
        <f t="shared" si="76"/>
        <v>0</v>
      </c>
      <c r="S94" s="83">
        <f t="shared" si="77"/>
        <v>0</v>
      </c>
      <c r="T94" s="89">
        <f t="shared" si="55"/>
        <v>0</v>
      </c>
      <c r="U94" s="73"/>
      <c r="V94" s="208">
        <f t="shared" si="56"/>
        <v>0</v>
      </c>
    </row>
    <row r="95" spans="1:22" x14ac:dyDescent="0.2">
      <c r="A95" s="14"/>
      <c r="B95" s="14"/>
      <c r="C95" s="73"/>
      <c r="D95" s="70"/>
      <c r="E95" s="73"/>
      <c r="F95" s="73"/>
      <c r="G95" s="73"/>
      <c r="H95" s="73"/>
      <c r="I95" s="73"/>
      <c r="J95" s="73"/>
      <c r="K95" s="73"/>
      <c r="L95" s="143"/>
      <c r="M95" s="143"/>
      <c r="N95" s="143"/>
      <c r="O95" s="73"/>
      <c r="P95" s="83">
        <f t="shared" si="74"/>
        <v>0</v>
      </c>
      <c r="Q95" s="83">
        <f t="shared" si="75"/>
        <v>0</v>
      </c>
      <c r="R95" s="83">
        <f t="shared" si="76"/>
        <v>0</v>
      </c>
      <c r="S95" s="83">
        <f t="shared" si="77"/>
        <v>0</v>
      </c>
      <c r="T95" s="89">
        <f t="shared" si="55"/>
        <v>0</v>
      </c>
      <c r="U95" s="73"/>
      <c r="V95" s="208">
        <f t="shared" si="56"/>
        <v>0</v>
      </c>
    </row>
    <row r="96" spans="1:22" x14ac:dyDescent="0.2">
      <c r="A96" s="14"/>
      <c r="B96" s="3" t="s">
        <v>372</v>
      </c>
      <c r="C96" s="68">
        <f>C13+C30+C39+C50+C67+C72+C76+C80</f>
        <v>1203415087</v>
      </c>
      <c r="D96" s="68">
        <f>D13+D30+D39+D50+D67+D72+D76+D80</f>
        <v>1637706800</v>
      </c>
      <c r="E96" s="68">
        <f>E13+E30+E39+E50+E67+E72+E76+E80</f>
        <v>1831200149</v>
      </c>
      <c r="F96" s="68">
        <f>F13+F30+F39+F50+F67+F72+F76+F80</f>
        <v>1790500986</v>
      </c>
      <c r="G96" s="68"/>
      <c r="H96" s="68">
        <f>H13+H30+H39+H50+H67+H72+H76+H80</f>
        <v>1106942512</v>
      </c>
      <c r="I96" s="68">
        <f>I13+I30+I39+I50+I67+I72+I76+I80</f>
        <v>1478486784</v>
      </c>
      <c r="J96" s="68">
        <f>J13+J30+J39+J50+J67+J72+J76+J80</f>
        <v>1839930102</v>
      </c>
      <c r="K96" s="68"/>
      <c r="L96" s="89">
        <f>H96/C96</f>
        <v>0.91983433144377724</v>
      </c>
      <c r="M96" s="89">
        <f>I96/D96</f>
        <v>0.90277868053060539</v>
      </c>
      <c r="N96" s="89">
        <f>J96/E96</f>
        <v>1.0047673396077252</v>
      </c>
      <c r="O96" s="68"/>
      <c r="P96" s="68">
        <f t="shared" ref="P96:S96" si="78">P13+P30+P39+P50+P67+P72+P76+P80</f>
        <v>434291713</v>
      </c>
      <c r="Q96" s="68">
        <f t="shared" si="78"/>
        <v>193493349</v>
      </c>
      <c r="R96" s="68">
        <f t="shared" si="78"/>
        <v>-40699163</v>
      </c>
      <c r="S96" s="68">
        <f t="shared" si="78"/>
        <v>587085899</v>
      </c>
      <c r="T96" s="89">
        <f t="shared" si="55"/>
        <v>0.48784987436342486</v>
      </c>
      <c r="U96" s="68"/>
      <c r="V96" s="209">
        <f t="shared" si="56"/>
        <v>-40699163</v>
      </c>
    </row>
    <row r="97" spans="3:14" x14ac:dyDescent="0.2">
      <c r="L97" s="90"/>
      <c r="M97" s="90"/>
      <c r="N97" s="90"/>
    </row>
    <row r="98" spans="3:14" x14ac:dyDescent="0.2">
      <c r="C98" s="19"/>
      <c r="L98" s="90"/>
      <c r="M98" s="90"/>
      <c r="N98" s="90"/>
    </row>
    <row r="99" spans="3:14" x14ac:dyDescent="0.2">
      <c r="L99" s="90"/>
      <c r="M99" s="90"/>
      <c r="N99" s="90"/>
    </row>
    <row r="100" spans="3:14" x14ac:dyDescent="0.2">
      <c r="L100" s="154"/>
      <c r="M100" s="154"/>
      <c r="N100" s="154"/>
    </row>
    <row r="101" spans="3:14" x14ac:dyDescent="0.2">
      <c r="C101" s="19"/>
    </row>
    <row r="102" spans="3:14" x14ac:dyDescent="0.2">
      <c r="C102" s="19"/>
    </row>
    <row r="104" spans="3:14" x14ac:dyDescent="0.2">
      <c r="C104" s="19"/>
    </row>
    <row r="105" spans="3:14" x14ac:dyDescent="0.2">
      <c r="C105" s="19"/>
    </row>
    <row r="107" spans="3:14" x14ac:dyDescent="0.2">
      <c r="C107" s="19"/>
    </row>
  </sheetData>
  <mergeCells count="5">
    <mergeCell ref="H8:J8"/>
    <mergeCell ref="L8:N8"/>
    <mergeCell ref="H7:N7"/>
    <mergeCell ref="C7:F7"/>
    <mergeCell ref="P7:T7"/>
  </mergeCells>
  <phoneticPr fontId="2" type="noConversion"/>
  <printOptions horizontalCentered="1"/>
  <pageMargins left="0" right="0" top="0.94488188976377963" bottom="0.74803149606299213" header="0.31496062992125984" footer="0.31496062992125984"/>
  <pageSetup paperSize="8" scale="72" fitToHeight="0" orientation="landscape" r:id="rId1"/>
  <headerFooter alignWithMargins="0">
    <oddHeader>&amp;R&amp;"Arial,Félkövér dőlt"&amp;12&amp;A  /&amp;10
&amp;"Arial,Dőlt"&amp;F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1"/>
  <sheetViews>
    <sheetView zoomScaleNormal="100" workbookViewId="0">
      <pane ySplit="11" topLeftCell="A111" activePane="bottomLeft" state="frozen"/>
      <selection pane="bottomLeft" activeCell="C131" sqref="C131"/>
    </sheetView>
  </sheetViews>
  <sheetFormatPr defaultRowHeight="12.75" x14ac:dyDescent="0.2"/>
  <cols>
    <col min="1" max="1" width="6.42578125" style="14" bestFit="1" customWidth="1"/>
    <col min="2" max="2" width="53.5703125" style="14" customWidth="1"/>
    <col min="3" max="3" width="15.5703125" style="14" customWidth="1"/>
    <col min="4" max="4" width="15.5703125" style="16" customWidth="1"/>
    <col min="5" max="6" width="15.5703125" style="23" customWidth="1"/>
    <col min="7" max="7" width="0.85546875" style="23" customWidth="1"/>
    <col min="8" max="8" width="15.5703125" style="14" customWidth="1"/>
    <col min="9" max="10" width="15.5703125" style="23" customWidth="1"/>
    <col min="11" max="11" width="0.85546875" style="23" customWidth="1"/>
    <col min="12" max="12" width="14" style="14" customWidth="1"/>
    <col min="13" max="13" width="13.42578125" style="13" customWidth="1"/>
    <col min="14" max="14" width="13" style="13" customWidth="1"/>
    <col min="15" max="15" width="0.85546875" style="23" customWidth="1"/>
    <col min="16" max="18" width="14.5703125" style="14" customWidth="1"/>
    <col min="19" max="19" width="15.5703125" style="14" customWidth="1"/>
    <col min="20" max="20" width="10.5703125" style="13" customWidth="1"/>
    <col min="21" max="21" width="0.85546875" style="23" customWidth="1"/>
    <col min="22" max="22" width="4.85546875" customWidth="1"/>
  </cols>
  <sheetData>
    <row r="1" spans="1:27" ht="26.25" x14ac:dyDescent="0.4">
      <c r="A1" s="250" t="s">
        <v>449</v>
      </c>
      <c r="B1" s="249"/>
      <c r="C1" s="249"/>
      <c r="D1" s="249"/>
      <c r="E1" s="249"/>
      <c r="F1" s="83"/>
      <c r="G1" s="248"/>
      <c r="H1" s="247"/>
      <c r="I1" s="247"/>
      <c r="J1" s="245" t="str">
        <f>+'1. Sülysáp összesen'!J1</f>
        <v>2017. ÉVES BESZÁMOLÓ</v>
      </c>
      <c r="K1" s="251" t="s">
        <v>426</v>
      </c>
      <c r="L1" s="251" t="s">
        <v>427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0.25" hidden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47"/>
    </row>
    <row r="3" spans="1:27" ht="20.25" hidden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47"/>
    </row>
    <row r="4" spans="1:27" x14ac:dyDescent="0.2">
      <c r="A4"/>
      <c r="B4"/>
      <c r="C4" s="63"/>
      <c r="D4" s="63"/>
      <c r="E4" s="63"/>
      <c r="F4" s="63"/>
      <c r="G4" s="63"/>
      <c r="H4" s="63"/>
      <c r="I4" s="63"/>
      <c r="J4" s="63"/>
      <c r="K4" s="67"/>
      <c r="L4" s="63"/>
      <c r="M4" s="63"/>
      <c r="N4" s="63"/>
      <c r="O4" s="63"/>
      <c r="P4" s="63"/>
      <c r="Q4" s="63"/>
      <c r="R4" s="63"/>
      <c r="S4" s="63"/>
      <c r="T4"/>
      <c r="U4"/>
    </row>
    <row r="5" spans="1:27" ht="14.1" hidden="1" customHeight="1" x14ac:dyDescent="0.25">
      <c r="A5"/>
      <c r="B5"/>
      <c r="C5" s="105"/>
      <c r="D5" s="106"/>
      <c r="E5" s="106"/>
      <c r="F5" s="107"/>
      <c r="G5" s="108"/>
      <c r="H5" s="109"/>
      <c r="I5" s="111"/>
      <c r="J5" s="111"/>
      <c r="K5" s="108"/>
      <c r="L5" s="110"/>
      <c r="M5" s="112"/>
      <c r="N5" s="113"/>
      <c r="O5" s="108"/>
      <c r="P5" s="109"/>
      <c r="Q5" s="111"/>
      <c r="R5" s="111"/>
      <c r="S5" s="111"/>
      <c r="T5" s="216"/>
      <c r="U5" s="290"/>
    </row>
    <row r="6" spans="1:27" ht="14.1" hidden="1" customHeight="1" x14ac:dyDescent="0.25">
      <c r="A6"/>
      <c r="B6"/>
      <c r="C6" s="114"/>
      <c r="D6" s="115"/>
      <c r="E6" s="115"/>
      <c r="F6" s="116"/>
      <c r="G6" s="117"/>
      <c r="H6" s="118"/>
      <c r="I6" s="120"/>
      <c r="J6" s="120"/>
      <c r="K6" s="117"/>
      <c r="L6" s="119"/>
      <c r="M6" s="121"/>
      <c r="N6" s="122"/>
      <c r="O6" s="117"/>
      <c r="P6" s="118"/>
      <c r="Q6" s="120"/>
      <c r="R6" s="120"/>
      <c r="S6" s="120"/>
      <c r="T6" s="122"/>
      <c r="U6" s="290"/>
    </row>
    <row r="7" spans="1:27" ht="15.75" x14ac:dyDescent="0.25">
      <c r="A7"/>
      <c r="B7"/>
      <c r="C7" s="657" t="s">
        <v>408</v>
      </c>
      <c r="D7" s="660"/>
      <c r="E7" s="660"/>
      <c r="F7" s="661"/>
      <c r="G7" s="165"/>
      <c r="H7" s="657" t="s">
        <v>407</v>
      </c>
      <c r="I7" s="658"/>
      <c r="J7" s="658"/>
      <c r="K7" s="658"/>
      <c r="L7" s="658"/>
      <c r="M7" s="658"/>
      <c r="N7" s="659"/>
      <c r="O7" s="165"/>
      <c r="P7" s="657" t="s">
        <v>404</v>
      </c>
      <c r="Q7" s="660"/>
      <c r="R7" s="660"/>
      <c r="S7" s="660"/>
      <c r="T7" s="661"/>
      <c r="U7"/>
    </row>
    <row r="8" spans="1:27" ht="15" x14ac:dyDescent="0.25">
      <c r="A8"/>
      <c r="B8"/>
      <c r="C8" s="130"/>
      <c r="D8" s="131"/>
      <c r="E8" s="131"/>
      <c r="F8" s="132"/>
      <c r="G8" s="81"/>
      <c r="H8" s="654" t="s">
        <v>421</v>
      </c>
      <c r="I8" s="655"/>
      <c r="J8" s="656"/>
      <c r="K8" s="140"/>
      <c r="L8" s="654" t="s">
        <v>420</v>
      </c>
      <c r="M8" s="655"/>
      <c r="N8" s="656"/>
      <c r="O8" s="81"/>
      <c r="P8" s="134">
        <f>+'1. Sülysáp összesen'!P8</f>
        <v>1</v>
      </c>
      <c r="Q8" s="134">
        <f>+' 2. Önk. Bevételek'!Q8</f>
        <v>1</v>
      </c>
      <c r="R8" s="134">
        <f>+'1. Sülysáp összesen'!R8</f>
        <v>1</v>
      </c>
      <c r="S8" s="131"/>
      <c r="T8" s="132"/>
      <c r="U8"/>
    </row>
    <row r="9" spans="1:27" ht="20.100000000000001" customHeight="1" x14ac:dyDescent="0.2">
      <c r="A9" s="78"/>
      <c r="B9" s="266" t="s">
        <v>378</v>
      </c>
      <c r="C9" s="267">
        <f>+C168</f>
        <v>1203415087</v>
      </c>
      <c r="D9" s="267">
        <f>+D168</f>
        <v>1637706800</v>
      </c>
      <c r="E9" s="267">
        <f>+E168</f>
        <v>1831200149</v>
      </c>
      <c r="F9" s="267">
        <f>+F168</f>
        <v>1790500986</v>
      </c>
      <c r="G9" s="267"/>
      <c r="H9" s="267">
        <f>+H168</f>
        <v>516926386</v>
      </c>
      <c r="I9" s="267">
        <f>+I168</f>
        <v>934170493</v>
      </c>
      <c r="J9" s="267">
        <f>+J168</f>
        <v>1395655508</v>
      </c>
      <c r="K9" s="253"/>
      <c r="L9" s="270">
        <f>H9/C9</f>
        <v>0.42954953081787317</v>
      </c>
      <c r="M9" s="268">
        <f>I9/D9</f>
        <v>0.57041375965465857</v>
      </c>
      <c r="N9" s="268">
        <f>+J9/E9</f>
        <v>0.76215344825204034</v>
      </c>
      <c r="O9" s="253"/>
      <c r="P9" s="267">
        <f>IF(D9&gt;0,+D9-C9,0)</f>
        <v>434291713</v>
      </c>
      <c r="Q9" s="267">
        <f>IF(E9&gt;0,+E9-D9,0)</f>
        <v>193493349</v>
      </c>
      <c r="R9" s="267">
        <f>IF(F9&gt;0,+F9-E9,0)</f>
        <v>-40699163</v>
      </c>
      <c r="S9" s="267">
        <f>SUM(P9:R9)</f>
        <v>587085899</v>
      </c>
      <c r="T9" s="268">
        <f>+S9/C9</f>
        <v>0.48784987436342486</v>
      </c>
      <c r="U9" s="271"/>
      <c r="V9" s="254">
        <f>+S9-E9+C9</f>
        <v>-40699163</v>
      </c>
    </row>
    <row r="10" spans="1:27" ht="15" x14ac:dyDescent="0.25">
      <c r="A10" s="79"/>
      <c r="B10" s="260"/>
      <c r="C10" s="81"/>
      <c r="D10" s="81"/>
      <c r="E10" s="81"/>
      <c r="F10" s="81"/>
      <c r="G10" s="81"/>
      <c r="H10" s="81"/>
      <c r="I10" s="81"/>
      <c r="J10" s="81"/>
      <c r="K10" s="81"/>
      <c r="L10" s="163"/>
      <c r="M10" s="261"/>
      <c r="N10" s="261"/>
      <c r="O10" s="81"/>
      <c r="P10" s="81"/>
      <c r="Q10" s="81"/>
      <c r="R10" s="81"/>
      <c r="S10" s="81"/>
      <c r="T10" s="261"/>
      <c r="U10" s="262"/>
      <c r="V10" s="263"/>
    </row>
    <row r="11" spans="1:27" s="1" customFormat="1" ht="64.5" customHeight="1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</row>
    <row r="12" spans="1:27" x14ac:dyDescent="0.2">
      <c r="A12" s="44"/>
      <c r="B12" s="20"/>
      <c r="C12" s="70"/>
      <c r="D12" s="71"/>
      <c r="E12" s="71"/>
      <c r="F12" s="71"/>
      <c r="G12" s="71"/>
      <c r="H12" s="83"/>
      <c r="I12" s="83"/>
      <c r="J12" s="83"/>
      <c r="K12" s="71"/>
      <c r="L12" s="163"/>
      <c r="M12" s="164"/>
      <c r="N12" s="164"/>
      <c r="O12" s="71"/>
      <c r="P12" s="83"/>
      <c r="Q12" s="83"/>
      <c r="R12" s="83"/>
      <c r="S12" s="83"/>
      <c r="T12" s="161"/>
      <c r="U12" s="204"/>
      <c r="V12" s="208"/>
    </row>
    <row r="13" spans="1:27" x14ac:dyDescent="0.2">
      <c r="A13" s="4" t="s">
        <v>0</v>
      </c>
      <c r="B13" s="3" t="s">
        <v>3</v>
      </c>
      <c r="C13" s="69">
        <f>+C14+C24</f>
        <v>107902000</v>
      </c>
      <c r="D13" s="69">
        <f t="shared" ref="D13:J13" si="0">+D14+D24</f>
        <v>107902000</v>
      </c>
      <c r="E13" s="69">
        <f t="shared" si="0"/>
        <v>109359203</v>
      </c>
      <c r="F13" s="69">
        <f t="shared" si="0"/>
        <v>99545994</v>
      </c>
      <c r="G13" s="69">
        <f t="shared" si="0"/>
        <v>0</v>
      </c>
      <c r="H13" s="69">
        <f t="shared" si="0"/>
        <v>50677066</v>
      </c>
      <c r="I13" s="69">
        <f t="shared" si="0"/>
        <v>77677383</v>
      </c>
      <c r="J13" s="69">
        <f t="shared" si="0"/>
        <v>99542864</v>
      </c>
      <c r="K13" s="69"/>
      <c r="L13" s="91">
        <f>H13/C13</f>
        <v>0.46965826398027838</v>
      </c>
      <c r="M13" s="87">
        <f>I13/D13</f>
        <v>0.71988825971715076</v>
      </c>
      <c r="N13" s="87">
        <f>+J13/E13</f>
        <v>0.91023765050665195</v>
      </c>
      <c r="O13" s="69"/>
      <c r="P13" s="82">
        <f>IF(D13&gt;0,+D13-C13,0)</f>
        <v>0</v>
      </c>
      <c r="Q13" s="82">
        <f>IF(E13&gt;0,+E13-D13,0)</f>
        <v>1457203</v>
      </c>
      <c r="R13" s="82">
        <f>IF(F13&gt;0,+F13-E13,0)</f>
        <v>-9813209</v>
      </c>
      <c r="S13" s="82">
        <f>SUM(P13:R13)</f>
        <v>-8356006</v>
      </c>
      <c r="T13" s="89">
        <f>IF(C13=0,0,+S13/C13)</f>
        <v>-7.7440696187281055E-2</v>
      </c>
      <c r="U13" s="203"/>
      <c r="V13" s="208">
        <f t="shared" ref="V13:V44" si="1">+S13-E13+C13</f>
        <v>-9813209</v>
      </c>
    </row>
    <row r="14" spans="1:27" x14ac:dyDescent="0.2">
      <c r="A14" s="39" t="s">
        <v>1</v>
      </c>
      <c r="B14" s="40"/>
      <c r="C14" s="101">
        <f>SUM(C15:C23)</f>
        <v>88022000</v>
      </c>
      <c r="D14" s="101">
        <f>SUM(D15:D23)</f>
        <v>87745000</v>
      </c>
      <c r="E14" s="101">
        <f t="shared" ref="E14:J14" si="2">SUM(E15:E23)</f>
        <v>88634045</v>
      </c>
      <c r="F14" s="101">
        <f t="shared" si="2"/>
        <v>78316045</v>
      </c>
      <c r="G14" s="101"/>
      <c r="H14" s="101">
        <f t="shared" si="2"/>
        <v>39629727</v>
      </c>
      <c r="I14" s="101">
        <f t="shared" si="2"/>
        <v>61348926</v>
      </c>
      <c r="J14" s="101">
        <f t="shared" si="2"/>
        <v>78315531</v>
      </c>
      <c r="K14" s="71"/>
      <c r="L14" s="163"/>
      <c r="M14" s="164"/>
      <c r="N14" s="164"/>
      <c r="O14" s="71"/>
      <c r="P14" s="83"/>
      <c r="Q14" s="83"/>
      <c r="R14" s="83"/>
      <c r="S14" s="83"/>
      <c r="T14" s="89"/>
      <c r="U14" s="204"/>
      <c r="V14" s="208">
        <f t="shared" si="1"/>
        <v>-612045</v>
      </c>
    </row>
    <row r="15" spans="1:27" x14ac:dyDescent="0.2">
      <c r="A15" s="44" t="s">
        <v>2</v>
      </c>
      <c r="B15" s="20" t="s">
        <v>362</v>
      </c>
      <c r="C15" s="70">
        <v>85857000</v>
      </c>
      <c r="D15" s="70">
        <v>85537000</v>
      </c>
      <c r="E15" s="71">
        <v>85295000</v>
      </c>
      <c r="F15" s="71">
        <v>74039000</v>
      </c>
      <c r="G15" s="71"/>
      <c r="H15" s="83">
        <v>38075004</v>
      </c>
      <c r="I15" s="83">
        <v>58211342</v>
      </c>
      <c r="J15" s="83">
        <v>74038759</v>
      </c>
      <c r="K15" s="71"/>
      <c r="L15" s="163">
        <f>H15/C15</f>
        <v>0.44347000244592755</v>
      </c>
      <c r="M15" s="164">
        <f>I15/D15</f>
        <v>0.68053990670703901</v>
      </c>
      <c r="N15" s="164">
        <f>+J15/E15</f>
        <v>0.86803164312093328</v>
      </c>
      <c r="O15" s="71"/>
      <c r="P15" s="83">
        <f t="shared" ref="P15:P23" si="3">+(D15-C15)*P$8</f>
        <v>-320000</v>
      </c>
      <c r="Q15" s="83">
        <f t="shared" ref="Q15:Q23" si="4">+(E15-D15)*Q$8</f>
        <v>-242000</v>
      </c>
      <c r="R15" s="83">
        <f t="shared" ref="R15:R23" si="5">+(F15-E15)*R$8</f>
        <v>-11256000</v>
      </c>
      <c r="S15" s="83">
        <f>SUM(P15:R15)</f>
        <v>-11818000</v>
      </c>
      <c r="T15" s="89">
        <f t="shared" ref="T15:T23" si="6">IF(C15=0,0,+S15/C15)</f>
        <v>-0.1376474836064619</v>
      </c>
      <c r="U15" s="204"/>
      <c r="V15" s="208">
        <f t="shared" si="1"/>
        <v>-11256000</v>
      </c>
    </row>
    <row r="16" spans="1:27" x14ac:dyDescent="0.2">
      <c r="A16" s="44" t="s">
        <v>12</v>
      </c>
      <c r="B16" s="20" t="s">
        <v>4</v>
      </c>
      <c r="C16" s="70">
        <v>200000</v>
      </c>
      <c r="D16" s="70">
        <v>200000</v>
      </c>
      <c r="E16" s="71">
        <v>94000</v>
      </c>
      <c r="F16" s="71">
        <v>0</v>
      </c>
      <c r="G16" s="71"/>
      <c r="H16" s="83">
        <v>0</v>
      </c>
      <c r="I16" s="83">
        <v>0</v>
      </c>
      <c r="J16" s="83">
        <v>0</v>
      </c>
      <c r="K16" s="71"/>
      <c r="L16" s="163">
        <f>H16/C16</f>
        <v>0</v>
      </c>
      <c r="M16" s="164">
        <f>I16/D16</f>
        <v>0</v>
      </c>
      <c r="N16" s="164">
        <f>+J16/E16</f>
        <v>0</v>
      </c>
      <c r="O16" s="71"/>
      <c r="P16" s="83">
        <f t="shared" si="3"/>
        <v>0</v>
      </c>
      <c r="Q16" s="83">
        <f t="shared" si="4"/>
        <v>-106000</v>
      </c>
      <c r="R16" s="83">
        <f t="shared" si="5"/>
        <v>-94000</v>
      </c>
      <c r="S16" s="83">
        <f t="shared" ref="S16:S79" si="7">SUM(P16:R16)</f>
        <v>-200000</v>
      </c>
      <c r="T16" s="89">
        <f t="shared" si="6"/>
        <v>-1</v>
      </c>
      <c r="U16" s="204"/>
      <c r="V16" s="208">
        <f t="shared" si="1"/>
        <v>-94000</v>
      </c>
    </row>
    <row r="17" spans="1:22" x14ac:dyDescent="0.2">
      <c r="A17" s="44" t="s">
        <v>13</v>
      </c>
      <c r="B17" s="20" t="s">
        <v>5</v>
      </c>
      <c r="C17" s="70">
        <v>0</v>
      </c>
      <c r="D17" s="70">
        <v>0</v>
      </c>
      <c r="E17" s="71"/>
      <c r="F17" s="71"/>
      <c r="G17" s="71"/>
      <c r="H17" s="83">
        <v>0</v>
      </c>
      <c r="I17" s="83"/>
      <c r="J17" s="83"/>
      <c r="K17" s="71"/>
      <c r="L17" s="163"/>
      <c r="M17" s="164"/>
      <c r="N17" s="164"/>
      <c r="O17" s="71"/>
      <c r="P17" s="83">
        <f t="shared" si="3"/>
        <v>0</v>
      </c>
      <c r="Q17" s="83">
        <f t="shared" si="4"/>
        <v>0</v>
      </c>
      <c r="R17" s="83">
        <f t="shared" si="5"/>
        <v>0</v>
      </c>
      <c r="S17" s="83">
        <f t="shared" si="7"/>
        <v>0</v>
      </c>
      <c r="T17" s="89">
        <f t="shared" si="6"/>
        <v>0</v>
      </c>
      <c r="U17" s="204"/>
      <c r="V17" s="208">
        <f t="shared" si="1"/>
        <v>0</v>
      </c>
    </row>
    <row r="18" spans="1:22" x14ac:dyDescent="0.2">
      <c r="A18" s="560" t="s">
        <v>386</v>
      </c>
      <c r="B18" s="20" t="s">
        <v>6</v>
      </c>
      <c r="C18" s="70">
        <v>0</v>
      </c>
      <c r="D18" s="70"/>
      <c r="E18" s="71">
        <v>963900</v>
      </c>
      <c r="F18" s="71">
        <v>963900</v>
      </c>
      <c r="G18" s="71"/>
      <c r="H18" s="83"/>
      <c r="I18" s="83">
        <v>963900</v>
      </c>
      <c r="J18" s="83">
        <v>963900</v>
      </c>
      <c r="K18" s="71"/>
      <c r="L18" s="163"/>
      <c r="M18" s="164"/>
      <c r="N18" s="164"/>
      <c r="O18" s="71"/>
      <c r="P18" s="83">
        <f t="shared" si="3"/>
        <v>0</v>
      </c>
      <c r="Q18" s="83">
        <f t="shared" si="4"/>
        <v>963900</v>
      </c>
      <c r="R18" s="83">
        <f t="shared" si="5"/>
        <v>0</v>
      </c>
      <c r="S18" s="83">
        <f t="shared" si="7"/>
        <v>963900</v>
      </c>
      <c r="T18" s="89">
        <f t="shared" si="6"/>
        <v>0</v>
      </c>
      <c r="U18" s="204"/>
      <c r="V18" s="208">
        <f t="shared" si="1"/>
        <v>0</v>
      </c>
    </row>
    <row r="19" spans="1:22" x14ac:dyDescent="0.2">
      <c r="A19" s="44" t="s">
        <v>14</v>
      </c>
      <c r="B19" s="20" t="s">
        <v>7</v>
      </c>
      <c r="C19" s="70">
        <v>865000</v>
      </c>
      <c r="D19" s="70">
        <v>865000</v>
      </c>
      <c r="E19" s="71">
        <v>865000</v>
      </c>
      <c r="F19" s="71">
        <v>1185000</v>
      </c>
      <c r="G19" s="71"/>
      <c r="H19" s="83">
        <v>557500</v>
      </c>
      <c r="I19" s="83">
        <v>767500</v>
      </c>
      <c r="J19" s="83">
        <v>1185000</v>
      </c>
      <c r="K19" s="71"/>
      <c r="L19" s="163">
        <f>H19/C19</f>
        <v>0.6445086705202312</v>
      </c>
      <c r="M19" s="164">
        <f>I19/D19</f>
        <v>0.88728323699421963</v>
      </c>
      <c r="N19" s="164">
        <f>+J19/E19</f>
        <v>1.3699421965317919</v>
      </c>
      <c r="O19" s="71"/>
      <c r="P19" s="83">
        <f t="shared" si="3"/>
        <v>0</v>
      </c>
      <c r="Q19" s="83">
        <f t="shared" si="4"/>
        <v>0</v>
      </c>
      <c r="R19" s="83">
        <f t="shared" si="5"/>
        <v>320000</v>
      </c>
      <c r="S19" s="83">
        <f t="shared" si="7"/>
        <v>320000</v>
      </c>
      <c r="T19" s="89">
        <f t="shared" si="6"/>
        <v>0.36994219653179189</v>
      </c>
      <c r="U19" s="204"/>
      <c r="V19" s="208">
        <f t="shared" si="1"/>
        <v>320000</v>
      </c>
    </row>
    <row r="20" spans="1:22" x14ac:dyDescent="0.2">
      <c r="A20" s="44" t="s">
        <v>15</v>
      </c>
      <c r="B20" s="20" t="s">
        <v>8</v>
      </c>
      <c r="C20" s="70"/>
      <c r="D20" s="70"/>
      <c r="E20" s="71"/>
      <c r="F20" s="71"/>
      <c r="G20" s="71"/>
      <c r="H20" s="83"/>
      <c r="I20" s="83"/>
      <c r="J20" s="83"/>
      <c r="K20" s="71"/>
      <c r="L20" s="163"/>
      <c r="M20" s="164"/>
      <c r="N20" s="164"/>
      <c r="O20" s="71"/>
      <c r="P20" s="83">
        <f t="shared" si="3"/>
        <v>0</v>
      </c>
      <c r="Q20" s="83">
        <f t="shared" si="4"/>
        <v>0</v>
      </c>
      <c r="R20" s="83">
        <f t="shared" si="5"/>
        <v>0</v>
      </c>
      <c r="S20" s="83">
        <f t="shared" si="7"/>
        <v>0</v>
      </c>
      <c r="T20" s="89">
        <f t="shared" si="6"/>
        <v>0</v>
      </c>
      <c r="U20" s="204"/>
      <c r="V20" s="208">
        <f t="shared" si="1"/>
        <v>0</v>
      </c>
    </row>
    <row r="21" spans="1:22" x14ac:dyDescent="0.2">
      <c r="A21" s="44" t="s">
        <v>16</v>
      </c>
      <c r="B21" s="20" t="s">
        <v>9</v>
      </c>
      <c r="C21" s="70">
        <v>0</v>
      </c>
      <c r="D21" s="70">
        <v>0</v>
      </c>
      <c r="E21" s="187"/>
      <c r="F21" s="71"/>
      <c r="G21" s="71"/>
      <c r="H21" s="83">
        <v>0</v>
      </c>
      <c r="I21" s="83"/>
      <c r="J21" s="83"/>
      <c r="K21" s="71"/>
      <c r="L21" s="163" t="e">
        <f>H21/C21</f>
        <v>#DIV/0!</v>
      </c>
      <c r="M21" s="164" t="e">
        <f>I21/D21</f>
        <v>#DIV/0!</v>
      </c>
      <c r="N21" s="164" t="e">
        <f>+J21/E21</f>
        <v>#DIV/0!</v>
      </c>
      <c r="O21" s="71"/>
      <c r="P21" s="83">
        <f t="shared" si="3"/>
        <v>0</v>
      </c>
      <c r="Q21" s="83">
        <f t="shared" si="4"/>
        <v>0</v>
      </c>
      <c r="R21" s="83">
        <f t="shared" si="5"/>
        <v>0</v>
      </c>
      <c r="S21" s="83">
        <f t="shared" si="7"/>
        <v>0</v>
      </c>
      <c r="T21" s="89">
        <f t="shared" si="6"/>
        <v>0</v>
      </c>
      <c r="U21" s="204"/>
      <c r="V21" s="208">
        <f t="shared" si="1"/>
        <v>0</v>
      </c>
    </row>
    <row r="22" spans="1:22" x14ac:dyDescent="0.2">
      <c r="A22" s="44" t="s">
        <v>17</v>
      </c>
      <c r="B22" s="20" t="s">
        <v>10</v>
      </c>
      <c r="C22" s="70">
        <v>0</v>
      </c>
      <c r="D22" s="70">
        <v>0</v>
      </c>
      <c r="E22" s="71">
        <v>0</v>
      </c>
      <c r="F22" s="71"/>
      <c r="G22" s="71"/>
      <c r="H22" s="83"/>
      <c r="I22" s="83"/>
      <c r="J22" s="83"/>
      <c r="K22" s="71"/>
      <c r="L22" s="163"/>
      <c r="M22" s="164"/>
      <c r="N22" s="164"/>
      <c r="O22" s="71"/>
      <c r="P22" s="83">
        <f t="shared" si="3"/>
        <v>0</v>
      </c>
      <c r="Q22" s="83">
        <f t="shared" si="4"/>
        <v>0</v>
      </c>
      <c r="R22" s="83">
        <f t="shared" si="5"/>
        <v>0</v>
      </c>
      <c r="S22" s="83">
        <f t="shared" si="7"/>
        <v>0</v>
      </c>
      <c r="T22" s="89">
        <f t="shared" si="6"/>
        <v>0</v>
      </c>
      <c r="U22" s="204"/>
      <c r="V22" s="208">
        <f t="shared" si="1"/>
        <v>0</v>
      </c>
    </row>
    <row r="23" spans="1:22" x14ac:dyDescent="0.2">
      <c r="A23" s="44" t="s">
        <v>18</v>
      </c>
      <c r="B23" s="20" t="s">
        <v>11</v>
      </c>
      <c r="C23" s="70">
        <v>1100000</v>
      </c>
      <c r="D23" s="70">
        <v>1143000</v>
      </c>
      <c r="E23" s="71">
        <v>1416145</v>
      </c>
      <c r="F23" s="71">
        <v>2128145</v>
      </c>
      <c r="G23" s="71"/>
      <c r="H23" s="83">
        <v>997223</v>
      </c>
      <c r="I23" s="83">
        <v>1406184</v>
      </c>
      <c r="J23" s="83">
        <v>2127872</v>
      </c>
      <c r="K23" s="71"/>
      <c r="L23" s="163"/>
      <c r="M23" s="164">
        <f>I23/D23</f>
        <v>1.2302572178477691</v>
      </c>
      <c r="N23" s="164">
        <f>+J23/E23</f>
        <v>1.5025805973258388</v>
      </c>
      <c r="O23" s="71"/>
      <c r="P23" s="83">
        <f t="shared" si="3"/>
        <v>43000</v>
      </c>
      <c r="Q23" s="83">
        <f t="shared" si="4"/>
        <v>273145</v>
      </c>
      <c r="R23" s="83">
        <f t="shared" si="5"/>
        <v>712000</v>
      </c>
      <c r="S23" s="83">
        <f t="shared" si="7"/>
        <v>1028145</v>
      </c>
      <c r="T23" s="89">
        <f t="shared" si="6"/>
        <v>0.93467727272727275</v>
      </c>
      <c r="U23" s="204"/>
      <c r="V23" s="208">
        <f t="shared" si="1"/>
        <v>712000</v>
      </c>
    </row>
    <row r="24" spans="1:22" x14ac:dyDescent="0.2">
      <c r="A24" s="44" t="s">
        <v>19</v>
      </c>
      <c r="B24" s="20"/>
      <c r="C24" s="101">
        <f>SUM(C25:C27)</f>
        <v>19880000</v>
      </c>
      <c r="D24" s="101">
        <f>SUM(D25:D27)</f>
        <v>20157000</v>
      </c>
      <c r="E24" s="101">
        <f t="shared" ref="E24:J24" si="8">SUM(E25:E27)</f>
        <v>20725158</v>
      </c>
      <c r="F24" s="101">
        <f t="shared" si="8"/>
        <v>21229949</v>
      </c>
      <c r="G24" s="101"/>
      <c r="H24" s="101">
        <f t="shared" si="8"/>
        <v>11047339</v>
      </c>
      <c r="I24" s="101">
        <f t="shared" si="8"/>
        <v>16328457</v>
      </c>
      <c r="J24" s="101">
        <f t="shared" si="8"/>
        <v>21227333</v>
      </c>
      <c r="K24" s="71"/>
      <c r="L24" s="163"/>
      <c r="M24" s="164"/>
      <c r="N24" s="164"/>
      <c r="O24" s="71"/>
      <c r="P24" s="83"/>
      <c r="Q24" s="83"/>
      <c r="R24" s="83"/>
      <c r="S24" s="83"/>
      <c r="T24" s="89"/>
      <c r="U24" s="204"/>
      <c r="V24" s="208">
        <f t="shared" si="1"/>
        <v>-845158</v>
      </c>
    </row>
    <row r="25" spans="1:22" x14ac:dyDescent="0.2">
      <c r="A25" s="14" t="s">
        <v>20</v>
      </c>
      <c r="B25" s="20" t="s">
        <v>21</v>
      </c>
      <c r="C25" s="70">
        <v>18500000</v>
      </c>
      <c r="D25" s="70">
        <v>18500000</v>
      </c>
      <c r="E25" s="71">
        <v>18500000</v>
      </c>
      <c r="F25" s="71">
        <v>19280000</v>
      </c>
      <c r="G25" s="71"/>
      <c r="H25" s="83">
        <v>9894021</v>
      </c>
      <c r="I25" s="83">
        <v>14630467</v>
      </c>
      <c r="J25" s="83">
        <v>19279666</v>
      </c>
      <c r="K25" s="71"/>
      <c r="L25" s="163"/>
      <c r="M25" s="164"/>
      <c r="N25" s="164"/>
      <c r="O25" s="71"/>
      <c r="P25" s="83">
        <f t="shared" ref="P25:R27" si="9">+(D25-C25)*P$8</f>
        <v>0</v>
      </c>
      <c r="Q25" s="83">
        <f t="shared" si="9"/>
        <v>0</v>
      </c>
      <c r="R25" s="83">
        <f t="shared" si="9"/>
        <v>780000</v>
      </c>
      <c r="S25" s="83">
        <f t="shared" si="7"/>
        <v>780000</v>
      </c>
      <c r="T25" s="89">
        <f>IF(C25=0,0,+S25/C25)</f>
        <v>4.2162162162162162E-2</v>
      </c>
      <c r="U25" s="204"/>
      <c r="V25" s="208">
        <f t="shared" si="1"/>
        <v>780000</v>
      </c>
    </row>
    <row r="26" spans="1:22" x14ac:dyDescent="0.2">
      <c r="A26" s="14" t="s">
        <v>22</v>
      </c>
      <c r="B26" s="20" t="s">
        <v>23</v>
      </c>
      <c r="C26" s="70">
        <v>1380000</v>
      </c>
      <c r="D26" s="70">
        <v>1060000</v>
      </c>
      <c r="E26" s="71">
        <v>1110000</v>
      </c>
      <c r="F26" s="71">
        <v>1050000</v>
      </c>
      <c r="G26" s="71"/>
      <c r="H26" s="83">
        <v>917900</v>
      </c>
      <c r="I26" s="83">
        <v>1049250</v>
      </c>
      <c r="J26" s="83">
        <v>1049250</v>
      </c>
      <c r="K26" s="71"/>
      <c r="L26" s="163"/>
      <c r="M26" s="164"/>
      <c r="N26" s="164"/>
      <c r="O26" s="71"/>
      <c r="P26" s="83">
        <f t="shared" si="9"/>
        <v>-320000</v>
      </c>
      <c r="Q26" s="83">
        <f t="shared" si="9"/>
        <v>50000</v>
      </c>
      <c r="R26" s="83">
        <f t="shared" si="9"/>
        <v>-60000</v>
      </c>
      <c r="S26" s="83">
        <f t="shared" si="7"/>
        <v>-330000</v>
      </c>
      <c r="T26" s="89">
        <f>IF(C26=0,0,+S26/C26)</f>
        <v>-0.2391304347826087</v>
      </c>
      <c r="U26" s="204"/>
      <c r="V26" s="208">
        <f t="shared" si="1"/>
        <v>-60000</v>
      </c>
    </row>
    <row r="27" spans="1:22" x14ac:dyDescent="0.2">
      <c r="A27" s="14" t="s">
        <v>24</v>
      </c>
      <c r="B27" s="20" t="s">
        <v>25</v>
      </c>
      <c r="C27" s="70">
        <v>0</v>
      </c>
      <c r="D27" s="70">
        <v>597000</v>
      </c>
      <c r="E27" s="71">
        <v>1115158</v>
      </c>
      <c r="F27" s="71">
        <v>899949</v>
      </c>
      <c r="G27" s="71"/>
      <c r="H27" s="83">
        <v>235418</v>
      </c>
      <c r="I27" s="83">
        <v>648740</v>
      </c>
      <c r="J27" s="83">
        <v>898417</v>
      </c>
      <c r="K27" s="71"/>
      <c r="L27" s="163" t="e">
        <f>H27/C27</f>
        <v>#DIV/0!</v>
      </c>
      <c r="M27" s="164">
        <f>I27/D27</f>
        <v>1.0866666666666667</v>
      </c>
      <c r="N27" s="164">
        <f>+J27/E27</f>
        <v>0.80564099437030445</v>
      </c>
      <c r="O27" s="71"/>
      <c r="P27" s="83">
        <f t="shared" si="9"/>
        <v>597000</v>
      </c>
      <c r="Q27" s="83">
        <f t="shared" si="9"/>
        <v>518158</v>
      </c>
      <c r="R27" s="83">
        <f t="shared" si="9"/>
        <v>-215209</v>
      </c>
      <c r="S27" s="83">
        <f t="shared" si="7"/>
        <v>899949</v>
      </c>
      <c r="T27" s="89">
        <f>IF(C27=0,0,+S27/C27)</f>
        <v>0</v>
      </c>
      <c r="U27" s="204"/>
      <c r="V27" s="208">
        <f t="shared" si="1"/>
        <v>-215209</v>
      </c>
    </row>
    <row r="28" spans="1:22" x14ac:dyDescent="0.2">
      <c r="C28" s="70"/>
      <c r="D28" s="71"/>
      <c r="E28" s="71"/>
      <c r="F28" s="71"/>
      <c r="G28" s="71"/>
      <c r="H28" s="83"/>
      <c r="I28" s="83"/>
      <c r="J28" s="83"/>
      <c r="K28" s="71"/>
      <c r="L28" s="163"/>
      <c r="M28" s="164"/>
      <c r="N28" s="164"/>
      <c r="O28" s="71"/>
      <c r="P28" s="83"/>
      <c r="Q28" s="83"/>
      <c r="R28" s="83"/>
      <c r="S28" s="83"/>
      <c r="T28" s="89"/>
      <c r="U28" s="204"/>
      <c r="V28" s="208">
        <f t="shared" si="1"/>
        <v>0</v>
      </c>
    </row>
    <row r="29" spans="1:22" x14ac:dyDescent="0.2">
      <c r="A29" s="4" t="s">
        <v>26</v>
      </c>
      <c r="B29" s="3" t="s">
        <v>27</v>
      </c>
      <c r="C29" s="72">
        <f t="shared" ref="C29" si="10">SUM(C30:C31)</f>
        <v>15219000</v>
      </c>
      <c r="D29" s="72">
        <f>SUM(D30:D31)</f>
        <v>15219000</v>
      </c>
      <c r="E29" s="72">
        <f>SUM(E30:E31)</f>
        <v>15219000</v>
      </c>
      <c r="F29" s="72">
        <f>SUM(F30:F31)</f>
        <v>18201000</v>
      </c>
      <c r="G29" s="72"/>
      <c r="H29" s="84">
        <f t="shared" ref="H29" si="11">SUM(H30:H31)</f>
        <v>8759313</v>
      </c>
      <c r="I29" s="84">
        <f>SUM(I30:I31)</f>
        <v>13290582</v>
      </c>
      <c r="J29" s="84">
        <f t="shared" ref="J29" si="12">SUM(J30:J31)</f>
        <v>16674717</v>
      </c>
      <c r="K29" s="72"/>
      <c r="L29" s="91">
        <f>H29/C29</f>
        <v>0.57555115316380845</v>
      </c>
      <c r="M29" s="87">
        <f>I29/D29</f>
        <v>0.87328878375714569</v>
      </c>
      <c r="N29" s="87">
        <f>+J29/E29</f>
        <v>1.0956512911492213</v>
      </c>
      <c r="O29" s="72"/>
      <c r="P29" s="84">
        <f>IF(D29&gt;0,+D29-C29,0)</f>
        <v>0</v>
      </c>
      <c r="Q29" s="84">
        <f>IF(E29&gt;0,+E29-D29,0)</f>
        <v>0</v>
      </c>
      <c r="R29" s="84">
        <f>IF(F29&gt;0,+F29-E29,0)</f>
        <v>2982000</v>
      </c>
      <c r="S29" s="84">
        <f t="shared" si="7"/>
        <v>2982000</v>
      </c>
      <c r="T29" s="89">
        <f>IF(C29=0,0,+S29/C29)</f>
        <v>0.19593928641829292</v>
      </c>
      <c r="U29" s="205"/>
      <c r="V29" s="208">
        <f t="shared" si="1"/>
        <v>2982000</v>
      </c>
    </row>
    <row r="30" spans="1:22" x14ac:dyDescent="0.2">
      <c r="B30" s="20" t="s">
        <v>28</v>
      </c>
      <c r="C30" s="73">
        <v>15219000</v>
      </c>
      <c r="D30" s="73">
        <v>15219000</v>
      </c>
      <c r="E30" s="71">
        <v>15219000</v>
      </c>
      <c r="F30" s="71">
        <v>18201000</v>
      </c>
      <c r="G30" s="71"/>
      <c r="H30" s="83">
        <v>8759313</v>
      </c>
      <c r="I30" s="83">
        <v>13290582</v>
      </c>
      <c r="J30" s="83">
        <v>16674717</v>
      </c>
      <c r="K30" s="71"/>
      <c r="L30" s="163">
        <f>H30/C30</f>
        <v>0.57555115316380845</v>
      </c>
      <c r="M30" s="164">
        <f>I30/D30</f>
        <v>0.87328878375714569</v>
      </c>
      <c r="N30" s="164">
        <f>+J30/E30</f>
        <v>1.0956512911492213</v>
      </c>
      <c r="O30" s="71"/>
      <c r="P30" s="83">
        <f>+(D30-C30)*P$8</f>
        <v>0</v>
      </c>
      <c r="Q30" s="83">
        <f>+(E30-D30)*Q$8</f>
        <v>0</v>
      </c>
      <c r="R30" s="83">
        <f>+(F30-E30)*R$8</f>
        <v>2982000</v>
      </c>
      <c r="S30" s="83">
        <f t="shared" si="7"/>
        <v>2982000</v>
      </c>
      <c r="T30" s="89">
        <f>IF(C30=0,0,+S30/C30)</f>
        <v>0.19593928641829292</v>
      </c>
      <c r="U30" s="204"/>
      <c r="V30" s="208">
        <f t="shared" si="1"/>
        <v>2982000</v>
      </c>
    </row>
    <row r="31" spans="1:22" x14ac:dyDescent="0.2">
      <c r="C31" s="73"/>
      <c r="D31" s="71"/>
      <c r="E31" s="71"/>
      <c r="F31" s="71"/>
      <c r="G31" s="71"/>
      <c r="H31" s="83"/>
      <c r="I31" s="83"/>
      <c r="J31" s="83"/>
      <c r="K31" s="71"/>
      <c r="L31" s="163"/>
      <c r="M31" s="164"/>
      <c r="N31" s="164"/>
      <c r="O31" s="71"/>
      <c r="P31" s="83"/>
      <c r="Q31" s="83"/>
      <c r="R31" s="83"/>
      <c r="S31" s="83"/>
      <c r="T31" s="89"/>
      <c r="U31" s="204"/>
      <c r="V31" s="208">
        <f t="shared" si="1"/>
        <v>0</v>
      </c>
    </row>
    <row r="32" spans="1:22" x14ac:dyDescent="0.2">
      <c r="A32" s="4" t="s">
        <v>29</v>
      </c>
      <c r="B32" s="3" t="s">
        <v>30</v>
      </c>
      <c r="C32" s="68">
        <f t="shared" ref="C32" si="13">SUM(C33:C80)</f>
        <v>112191000</v>
      </c>
      <c r="D32" s="68">
        <f>SUM(D33:D80)</f>
        <v>153139000</v>
      </c>
      <c r="E32" s="68">
        <f>SUM(E33:E80)</f>
        <v>209426269</v>
      </c>
      <c r="F32" s="68">
        <f>SUM(F33:F80)</f>
        <v>196933223</v>
      </c>
      <c r="G32" s="68"/>
      <c r="H32" s="85">
        <f t="shared" ref="H32" si="14">SUM(H33:H80)</f>
        <v>85708192</v>
      </c>
      <c r="I32" s="85">
        <f>SUM(I33:I80)</f>
        <v>148388185</v>
      </c>
      <c r="J32" s="85">
        <f>SUM(J33:J80)</f>
        <v>188483736</v>
      </c>
      <c r="K32" s="68"/>
      <c r="L32" s="91">
        <f>H32/C32</f>
        <v>0.76394890855772746</v>
      </c>
      <c r="M32" s="87">
        <f>I32/D32</f>
        <v>0.96897710576665641</v>
      </c>
      <c r="N32" s="87">
        <f>+J32/E32</f>
        <v>0.90000044836782156</v>
      </c>
      <c r="O32" s="68"/>
      <c r="P32" s="85">
        <f>IF(D32&gt;0,+D32-C32,0)</f>
        <v>40948000</v>
      </c>
      <c r="Q32" s="85">
        <f>IF(E32&gt;0,+E32-D32,0)</f>
        <v>56287269</v>
      </c>
      <c r="R32" s="85">
        <f>IF(F32&gt;0,+F32-E32,0)</f>
        <v>-12493046</v>
      </c>
      <c r="S32" s="85">
        <f t="shared" si="7"/>
        <v>84742223</v>
      </c>
      <c r="T32" s="89">
        <f t="shared" ref="T32:T79" si="15">IF(C32=0,0,+S32/C32)</f>
        <v>0.75533886853669185</v>
      </c>
      <c r="U32" s="206"/>
      <c r="V32" s="208">
        <f t="shared" si="1"/>
        <v>-12493046</v>
      </c>
    </row>
    <row r="33" spans="1:22" x14ac:dyDescent="0.2">
      <c r="A33" s="14" t="s">
        <v>31</v>
      </c>
      <c r="B33" s="20" t="s">
        <v>32</v>
      </c>
      <c r="C33" s="73"/>
      <c r="D33" s="71"/>
      <c r="E33" s="71">
        <v>0</v>
      </c>
      <c r="F33" s="71"/>
      <c r="G33" s="71"/>
      <c r="H33" s="83"/>
      <c r="I33" s="83"/>
      <c r="J33" s="83"/>
      <c r="K33" s="71"/>
      <c r="L33" s="163"/>
      <c r="M33" s="164"/>
      <c r="N33" s="164"/>
      <c r="O33" s="71"/>
      <c r="P33" s="83">
        <f t="shared" ref="P33:P79" si="16">+(D33-C33)*P$8</f>
        <v>0</v>
      </c>
      <c r="Q33" s="83">
        <f t="shared" ref="Q33:Q79" si="17">+(E33-D33)*Q$8</f>
        <v>0</v>
      </c>
      <c r="R33" s="83">
        <f t="shared" ref="R33:R79" si="18">+(F33-E33)*R$8</f>
        <v>0</v>
      </c>
      <c r="S33" s="83">
        <f t="shared" si="7"/>
        <v>0</v>
      </c>
      <c r="T33" s="89">
        <f t="shared" si="15"/>
        <v>0</v>
      </c>
      <c r="U33" s="204"/>
      <c r="V33" s="208">
        <f t="shared" si="1"/>
        <v>0</v>
      </c>
    </row>
    <row r="34" spans="1:22" x14ac:dyDescent="0.2">
      <c r="A34" s="14" t="s">
        <v>33</v>
      </c>
      <c r="B34" s="20" t="s">
        <v>35</v>
      </c>
      <c r="C34" s="73">
        <v>750000</v>
      </c>
      <c r="D34" s="73">
        <v>1513000</v>
      </c>
      <c r="E34" s="71">
        <v>1628217</v>
      </c>
      <c r="F34" s="71">
        <v>1623033</v>
      </c>
      <c r="G34" s="71"/>
      <c r="H34" s="83">
        <v>1132690</v>
      </c>
      <c r="I34" s="83">
        <v>1467503</v>
      </c>
      <c r="J34" s="83">
        <v>1622497</v>
      </c>
      <c r="K34" s="71"/>
      <c r="L34" s="163">
        <f>H34/C34</f>
        <v>1.5102533333333332</v>
      </c>
      <c r="M34" s="164">
        <f>I34/D34</f>
        <v>0.96992927957699937</v>
      </c>
      <c r="N34" s="164">
        <f>+J34/E34</f>
        <v>0.99648695474866067</v>
      </c>
      <c r="O34" s="71"/>
      <c r="P34" s="83">
        <f t="shared" si="16"/>
        <v>763000</v>
      </c>
      <c r="Q34" s="83">
        <f t="shared" si="17"/>
        <v>115217</v>
      </c>
      <c r="R34" s="83">
        <f t="shared" si="18"/>
        <v>-5184</v>
      </c>
      <c r="S34" s="83">
        <f t="shared" si="7"/>
        <v>873033</v>
      </c>
      <c r="T34" s="89">
        <f t="shared" si="15"/>
        <v>1.1640440000000001</v>
      </c>
      <c r="U34" s="204"/>
      <c r="V34" s="208">
        <f t="shared" si="1"/>
        <v>-5184</v>
      </c>
    </row>
    <row r="35" spans="1:22" x14ac:dyDescent="0.2">
      <c r="B35" s="20" t="s">
        <v>364</v>
      </c>
      <c r="C35" s="73"/>
      <c r="D35" s="73"/>
      <c r="E35" s="71">
        <v>0</v>
      </c>
      <c r="F35" s="71"/>
      <c r="G35" s="71"/>
      <c r="H35" s="83"/>
      <c r="I35" s="83"/>
      <c r="J35" s="83"/>
      <c r="K35" s="71"/>
      <c r="L35" s="163"/>
      <c r="M35" s="164"/>
      <c r="N35" s="164"/>
      <c r="O35" s="71"/>
      <c r="P35" s="83">
        <f t="shared" si="16"/>
        <v>0</v>
      </c>
      <c r="Q35" s="83">
        <f t="shared" si="17"/>
        <v>0</v>
      </c>
      <c r="R35" s="83">
        <f t="shared" si="18"/>
        <v>0</v>
      </c>
      <c r="S35" s="83">
        <f t="shared" si="7"/>
        <v>0</v>
      </c>
      <c r="T35" s="89">
        <f t="shared" si="15"/>
        <v>0</v>
      </c>
      <c r="U35" s="204"/>
      <c r="V35" s="208">
        <f t="shared" si="1"/>
        <v>0</v>
      </c>
    </row>
    <row r="36" spans="1:22" x14ac:dyDescent="0.2">
      <c r="A36" s="14" t="s">
        <v>34</v>
      </c>
      <c r="B36" s="20" t="s">
        <v>36</v>
      </c>
      <c r="C36" s="73">
        <v>9954000</v>
      </c>
      <c r="D36" s="73">
        <v>9307000</v>
      </c>
      <c r="E36" s="71">
        <v>12540001</v>
      </c>
      <c r="F36" s="71">
        <v>11040001</v>
      </c>
      <c r="G36" s="71"/>
      <c r="H36" s="83">
        <v>3027197</v>
      </c>
      <c r="I36" s="83">
        <v>8114842</v>
      </c>
      <c r="J36" s="83">
        <v>10191840</v>
      </c>
      <c r="K36" s="71"/>
      <c r="L36" s="163">
        <f>H36/C36</f>
        <v>0.30411864577054448</v>
      </c>
      <c r="M36" s="164">
        <f>I36/D36</f>
        <v>0.87190738154077574</v>
      </c>
      <c r="N36" s="164">
        <f>+J36/E36</f>
        <v>0.81274634667094525</v>
      </c>
      <c r="O36" s="71"/>
      <c r="P36" s="83">
        <f t="shared" si="16"/>
        <v>-647000</v>
      </c>
      <c r="Q36" s="83">
        <f t="shared" si="17"/>
        <v>3233001</v>
      </c>
      <c r="R36" s="83">
        <f t="shared" si="18"/>
        <v>-1500000</v>
      </c>
      <c r="S36" s="83">
        <f t="shared" si="7"/>
        <v>1086001</v>
      </c>
      <c r="T36" s="89">
        <f t="shared" si="15"/>
        <v>0.10910196905766525</v>
      </c>
      <c r="U36" s="204"/>
      <c r="V36" s="208">
        <f t="shared" si="1"/>
        <v>-1500000</v>
      </c>
    </row>
    <row r="37" spans="1:22" ht="17.25" customHeight="1" x14ac:dyDescent="0.2">
      <c r="B37" s="20" t="s">
        <v>365</v>
      </c>
      <c r="C37" s="73"/>
      <c r="D37" s="73"/>
      <c r="E37" s="71"/>
      <c r="F37" s="71"/>
      <c r="G37" s="71"/>
      <c r="H37" s="83"/>
      <c r="I37" s="83"/>
      <c r="J37" s="83"/>
      <c r="K37" s="71"/>
      <c r="L37" s="163"/>
      <c r="M37" s="164"/>
      <c r="N37" s="164"/>
      <c r="O37" s="71"/>
      <c r="P37" s="83">
        <f t="shared" si="16"/>
        <v>0</v>
      </c>
      <c r="Q37" s="83">
        <f t="shared" si="17"/>
        <v>0</v>
      </c>
      <c r="R37" s="83">
        <f t="shared" si="18"/>
        <v>0</v>
      </c>
      <c r="S37" s="83">
        <f t="shared" si="7"/>
        <v>0</v>
      </c>
      <c r="T37" s="89">
        <f t="shared" si="15"/>
        <v>0</v>
      </c>
      <c r="U37" s="204"/>
      <c r="V37" s="208">
        <f t="shared" si="1"/>
        <v>0</v>
      </c>
    </row>
    <row r="38" spans="1:22" x14ac:dyDescent="0.2">
      <c r="B38" s="20" t="s">
        <v>108</v>
      </c>
      <c r="C38" s="73"/>
      <c r="D38" s="73"/>
      <c r="E38" s="71"/>
      <c r="F38" s="71"/>
      <c r="G38" s="71"/>
      <c r="H38" s="83"/>
      <c r="I38" s="83"/>
      <c r="J38" s="83"/>
      <c r="K38" s="71"/>
      <c r="L38" s="163"/>
      <c r="M38" s="164"/>
      <c r="N38" s="164"/>
      <c r="O38" s="71"/>
      <c r="P38" s="83">
        <f t="shared" si="16"/>
        <v>0</v>
      </c>
      <c r="Q38" s="83">
        <f t="shared" si="17"/>
        <v>0</v>
      </c>
      <c r="R38" s="83">
        <f t="shared" si="18"/>
        <v>0</v>
      </c>
      <c r="S38" s="83">
        <f t="shared" si="7"/>
        <v>0</v>
      </c>
      <c r="T38" s="89">
        <f t="shared" si="15"/>
        <v>0</v>
      </c>
      <c r="U38" s="204"/>
      <c r="V38" s="208">
        <f t="shared" si="1"/>
        <v>0</v>
      </c>
    </row>
    <row r="39" spans="1:22" x14ac:dyDescent="0.2">
      <c r="A39" s="14" t="s">
        <v>37</v>
      </c>
      <c r="B39" s="20" t="s">
        <v>38</v>
      </c>
      <c r="C39" s="73"/>
      <c r="D39" s="73"/>
      <c r="E39" s="71"/>
      <c r="F39" s="71"/>
      <c r="G39" s="71"/>
      <c r="H39" s="83"/>
      <c r="I39" s="83"/>
      <c r="J39" s="83"/>
      <c r="K39" s="71"/>
      <c r="L39" s="163"/>
      <c r="M39" s="164"/>
      <c r="N39" s="164"/>
      <c r="O39" s="71"/>
      <c r="P39" s="83">
        <f t="shared" si="16"/>
        <v>0</v>
      </c>
      <c r="Q39" s="83">
        <f t="shared" si="17"/>
        <v>0</v>
      </c>
      <c r="R39" s="83">
        <f t="shared" si="18"/>
        <v>0</v>
      </c>
      <c r="S39" s="83">
        <f t="shared" si="7"/>
        <v>0</v>
      </c>
      <c r="T39" s="89">
        <f t="shared" si="15"/>
        <v>0</v>
      </c>
      <c r="U39" s="204"/>
      <c r="V39" s="208">
        <f t="shared" si="1"/>
        <v>0</v>
      </c>
    </row>
    <row r="40" spans="1:22" x14ac:dyDescent="0.2">
      <c r="A40" s="14" t="s">
        <v>39</v>
      </c>
      <c r="B40" s="20" t="s">
        <v>40</v>
      </c>
      <c r="C40" s="73">
        <v>743000</v>
      </c>
      <c r="D40" s="73">
        <v>743000</v>
      </c>
      <c r="E40" s="71">
        <v>669000</v>
      </c>
      <c r="F40" s="71">
        <v>568000</v>
      </c>
      <c r="G40" s="71"/>
      <c r="H40" s="83">
        <v>287350</v>
      </c>
      <c r="I40" s="83">
        <v>402895</v>
      </c>
      <c r="J40" s="83">
        <v>567700</v>
      </c>
      <c r="K40" s="71"/>
      <c r="L40" s="163">
        <f>H40/C40</f>
        <v>0.38674293405114402</v>
      </c>
      <c r="M40" s="164">
        <f>I40/D40</f>
        <v>0.54225437415881561</v>
      </c>
      <c r="N40" s="164">
        <f>+J40/E40</f>
        <v>0.84857997010463382</v>
      </c>
      <c r="O40" s="71"/>
      <c r="P40" s="83">
        <f t="shared" si="16"/>
        <v>0</v>
      </c>
      <c r="Q40" s="83">
        <f t="shared" si="17"/>
        <v>-74000</v>
      </c>
      <c r="R40" s="83">
        <f t="shared" si="18"/>
        <v>-101000</v>
      </c>
      <c r="S40" s="83">
        <f t="shared" si="7"/>
        <v>-175000</v>
      </c>
      <c r="T40" s="89">
        <f t="shared" si="15"/>
        <v>-0.23553162853297444</v>
      </c>
      <c r="U40" s="204"/>
      <c r="V40" s="208">
        <f t="shared" si="1"/>
        <v>-101000</v>
      </c>
    </row>
    <row r="41" spans="1:22" ht="25.5" x14ac:dyDescent="0.2">
      <c r="B41" s="20" t="s">
        <v>41</v>
      </c>
      <c r="C41" s="73"/>
      <c r="D41" s="73"/>
      <c r="E41" s="71"/>
      <c r="F41" s="71"/>
      <c r="G41" s="71"/>
      <c r="H41" s="83"/>
      <c r="I41" s="83"/>
      <c r="J41" s="83"/>
      <c r="K41" s="71"/>
      <c r="L41" s="163"/>
      <c r="M41" s="164"/>
      <c r="N41" s="164"/>
      <c r="O41" s="71"/>
      <c r="P41" s="83">
        <f t="shared" si="16"/>
        <v>0</v>
      </c>
      <c r="Q41" s="83">
        <f t="shared" si="17"/>
        <v>0</v>
      </c>
      <c r="R41" s="83">
        <f t="shared" si="18"/>
        <v>0</v>
      </c>
      <c r="S41" s="83">
        <f t="shared" si="7"/>
        <v>0</v>
      </c>
      <c r="T41" s="89">
        <f t="shared" si="15"/>
        <v>0</v>
      </c>
      <c r="U41" s="204"/>
      <c r="V41" s="208">
        <f t="shared" si="1"/>
        <v>0</v>
      </c>
    </row>
    <row r="42" spans="1:22" x14ac:dyDescent="0.2">
      <c r="B42" s="20" t="s">
        <v>42</v>
      </c>
      <c r="C42" s="73"/>
      <c r="D42" s="73"/>
      <c r="E42" s="71"/>
      <c r="F42" s="71"/>
      <c r="G42" s="71"/>
      <c r="H42" s="83"/>
      <c r="I42" s="83"/>
      <c r="J42" s="83"/>
      <c r="K42" s="71"/>
      <c r="L42" s="163"/>
      <c r="M42" s="164"/>
      <c r="N42" s="164"/>
      <c r="O42" s="71"/>
      <c r="P42" s="83">
        <f t="shared" si="16"/>
        <v>0</v>
      </c>
      <c r="Q42" s="83">
        <f t="shared" si="17"/>
        <v>0</v>
      </c>
      <c r="R42" s="83">
        <f t="shared" si="18"/>
        <v>0</v>
      </c>
      <c r="S42" s="83">
        <f t="shared" si="7"/>
        <v>0</v>
      </c>
      <c r="T42" s="89">
        <f t="shared" si="15"/>
        <v>0</v>
      </c>
      <c r="U42" s="204"/>
      <c r="V42" s="208">
        <f t="shared" si="1"/>
        <v>0</v>
      </c>
    </row>
    <row r="43" spans="1:22" x14ac:dyDescent="0.2">
      <c r="B43" s="20" t="s">
        <v>43</v>
      </c>
      <c r="C43" s="73"/>
      <c r="D43" s="73"/>
      <c r="E43" s="71"/>
      <c r="F43" s="71"/>
      <c r="G43" s="71"/>
      <c r="H43" s="83"/>
      <c r="I43" s="83"/>
      <c r="J43" s="83"/>
      <c r="K43" s="71"/>
      <c r="L43" s="163"/>
      <c r="M43" s="164"/>
      <c r="N43" s="164"/>
      <c r="O43" s="71"/>
      <c r="P43" s="83">
        <f t="shared" si="16"/>
        <v>0</v>
      </c>
      <c r="Q43" s="83">
        <f t="shared" si="17"/>
        <v>0</v>
      </c>
      <c r="R43" s="83">
        <f t="shared" si="18"/>
        <v>0</v>
      </c>
      <c r="S43" s="83">
        <f t="shared" si="7"/>
        <v>0</v>
      </c>
      <c r="T43" s="89">
        <f t="shared" si="15"/>
        <v>0</v>
      </c>
      <c r="U43" s="204"/>
      <c r="V43" s="208">
        <f t="shared" si="1"/>
        <v>0</v>
      </c>
    </row>
    <row r="44" spans="1:22" x14ac:dyDescent="0.2">
      <c r="A44" s="14" t="s">
        <v>44</v>
      </c>
      <c r="B44" s="20" t="s">
        <v>45</v>
      </c>
      <c r="C44" s="73">
        <v>2116000</v>
      </c>
      <c r="D44" s="73">
        <v>3282000</v>
      </c>
      <c r="E44" s="71">
        <v>2937000</v>
      </c>
      <c r="F44" s="71">
        <v>2032000</v>
      </c>
      <c r="G44" s="71"/>
      <c r="H44" s="83">
        <v>1235714</v>
      </c>
      <c r="I44" s="83">
        <v>1629175</v>
      </c>
      <c r="J44" s="83">
        <v>2019217</v>
      </c>
      <c r="K44" s="71"/>
      <c r="L44" s="163">
        <f>H44/C44</f>
        <v>0.58398582230623819</v>
      </c>
      <c r="M44" s="164">
        <f>I44/D44</f>
        <v>0.49639701401584402</v>
      </c>
      <c r="N44" s="164">
        <f>+J44/E44</f>
        <v>0.68751004426285323</v>
      </c>
      <c r="O44" s="71"/>
      <c r="P44" s="83">
        <f t="shared" si="16"/>
        <v>1166000</v>
      </c>
      <c r="Q44" s="83">
        <f t="shared" si="17"/>
        <v>-345000</v>
      </c>
      <c r="R44" s="83">
        <f t="shared" si="18"/>
        <v>-905000</v>
      </c>
      <c r="S44" s="83">
        <f t="shared" si="7"/>
        <v>-84000</v>
      </c>
      <c r="T44" s="89">
        <f t="shared" si="15"/>
        <v>-3.9697542533081283E-2</v>
      </c>
      <c r="U44" s="204"/>
      <c r="V44" s="208">
        <f t="shared" si="1"/>
        <v>-905000</v>
      </c>
    </row>
    <row r="45" spans="1:22" x14ac:dyDescent="0.2">
      <c r="B45" s="20" t="s">
        <v>46</v>
      </c>
      <c r="C45" s="73"/>
      <c r="D45" s="73"/>
      <c r="E45" s="71"/>
      <c r="F45" s="71"/>
      <c r="G45" s="71"/>
      <c r="H45" s="83"/>
      <c r="I45" s="83"/>
      <c r="J45" s="83"/>
      <c r="K45" s="71"/>
      <c r="L45" s="163"/>
      <c r="M45" s="164"/>
      <c r="N45" s="164"/>
      <c r="O45" s="71"/>
      <c r="P45" s="83">
        <f t="shared" si="16"/>
        <v>0</v>
      </c>
      <c r="Q45" s="83">
        <f t="shared" si="17"/>
        <v>0</v>
      </c>
      <c r="R45" s="83">
        <f t="shared" si="18"/>
        <v>0</v>
      </c>
      <c r="S45" s="83">
        <f t="shared" si="7"/>
        <v>0</v>
      </c>
      <c r="T45" s="89">
        <f t="shared" si="15"/>
        <v>0</v>
      </c>
      <c r="U45" s="204"/>
      <c r="V45" s="208">
        <f t="shared" ref="V45:V76" si="19">+S45-E45+C45</f>
        <v>0</v>
      </c>
    </row>
    <row r="46" spans="1:22" x14ac:dyDescent="0.2">
      <c r="A46" s="14" t="s">
        <v>47</v>
      </c>
      <c r="B46" s="20" t="s">
        <v>48</v>
      </c>
      <c r="C46" s="73"/>
      <c r="D46" s="71"/>
      <c r="E46" s="71"/>
      <c r="F46" s="71"/>
      <c r="G46" s="71"/>
      <c r="H46" s="83"/>
      <c r="I46" s="83"/>
      <c r="J46" s="83"/>
      <c r="K46" s="71"/>
      <c r="L46" s="163"/>
      <c r="M46" s="164"/>
      <c r="N46" s="164"/>
      <c r="O46" s="71"/>
      <c r="P46" s="83">
        <f t="shared" si="16"/>
        <v>0</v>
      </c>
      <c r="Q46" s="83">
        <f t="shared" si="17"/>
        <v>0</v>
      </c>
      <c r="R46" s="83">
        <f t="shared" si="18"/>
        <v>0</v>
      </c>
      <c r="S46" s="83">
        <f t="shared" si="7"/>
        <v>0</v>
      </c>
      <c r="T46" s="89">
        <f t="shared" si="15"/>
        <v>0</v>
      </c>
      <c r="U46" s="204"/>
      <c r="V46" s="208">
        <f t="shared" si="19"/>
        <v>0</v>
      </c>
    </row>
    <row r="47" spans="1:22" x14ac:dyDescent="0.2">
      <c r="A47" s="14" t="s">
        <v>49</v>
      </c>
      <c r="B47" s="20" t="s">
        <v>50</v>
      </c>
      <c r="C47" s="73">
        <v>14800000</v>
      </c>
      <c r="D47" s="71">
        <v>38495000</v>
      </c>
      <c r="E47" s="71">
        <v>40095000</v>
      </c>
      <c r="F47" s="71">
        <v>25130000</v>
      </c>
      <c r="G47" s="71"/>
      <c r="H47" s="83">
        <v>19179540</v>
      </c>
      <c r="I47" s="83">
        <v>19918179</v>
      </c>
      <c r="J47" s="83">
        <v>24445156</v>
      </c>
      <c r="K47" s="71"/>
      <c r="L47" s="163">
        <f>H47/C47</f>
        <v>1.2959148648648648</v>
      </c>
      <c r="M47" s="164">
        <f>I47/D47</f>
        <v>0.51742249642810756</v>
      </c>
      <c r="N47" s="164">
        <f>+J47/E47</f>
        <v>0.60968090784387086</v>
      </c>
      <c r="O47" s="71"/>
      <c r="P47" s="83">
        <f t="shared" si="16"/>
        <v>23695000</v>
      </c>
      <c r="Q47" s="83">
        <f t="shared" si="17"/>
        <v>1600000</v>
      </c>
      <c r="R47" s="83">
        <f t="shared" si="18"/>
        <v>-14965000</v>
      </c>
      <c r="S47" s="83">
        <f t="shared" si="7"/>
        <v>10330000</v>
      </c>
      <c r="T47" s="89">
        <f t="shared" si="15"/>
        <v>0.697972972972973</v>
      </c>
      <c r="U47" s="204"/>
      <c r="V47" s="208">
        <f t="shared" si="19"/>
        <v>-14965000</v>
      </c>
    </row>
    <row r="48" spans="1:22" x14ac:dyDescent="0.2">
      <c r="B48" s="20" t="s">
        <v>97</v>
      </c>
      <c r="C48" s="73"/>
      <c r="D48" s="71"/>
      <c r="E48" s="71">
        <v>0</v>
      </c>
      <c r="F48" s="71"/>
      <c r="G48" s="71"/>
      <c r="H48" s="83"/>
      <c r="I48" s="83"/>
      <c r="J48" s="83"/>
      <c r="K48" s="71"/>
      <c r="L48" s="163"/>
      <c r="M48" s="164"/>
      <c r="N48" s="164"/>
      <c r="O48" s="71"/>
      <c r="P48" s="83">
        <f t="shared" si="16"/>
        <v>0</v>
      </c>
      <c r="Q48" s="83">
        <f t="shared" si="17"/>
        <v>0</v>
      </c>
      <c r="R48" s="83">
        <f t="shared" si="18"/>
        <v>0</v>
      </c>
      <c r="S48" s="83">
        <f t="shared" si="7"/>
        <v>0</v>
      </c>
      <c r="T48" s="89">
        <f t="shared" si="15"/>
        <v>0</v>
      </c>
      <c r="U48" s="204"/>
      <c r="V48" s="208">
        <f t="shared" si="19"/>
        <v>0</v>
      </c>
    </row>
    <row r="49" spans="1:22" x14ac:dyDescent="0.2">
      <c r="B49" s="20" t="s">
        <v>98</v>
      </c>
      <c r="C49" s="73"/>
      <c r="D49" s="71"/>
      <c r="E49" s="71">
        <v>0</v>
      </c>
      <c r="F49" s="71"/>
      <c r="G49" s="71"/>
      <c r="H49" s="83"/>
      <c r="I49" s="83"/>
      <c r="J49" s="83"/>
      <c r="K49" s="71"/>
      <c r="L49" s="163"/>
      <c r="M49" s="164"/>
      <c r="N49" s="164"/>
      <c r="O49" s="71"/>
      <c r="P49" s="83">
        <f t="shared" si="16"/>
        <v>0</v>
      </c>
      <c r="Q49" s="83">
        <f t="shared" si="17"/>
        <v>0</v>
      </c>
      <c r="R49" s="83">
        <f t="shared" si="18"/>
        <v>0</v>
      </c>
      <c r="S49" s="83">
        <f t="shared" si="7"/>
        <v>0</v>
      </c>
      <c r="T49" s="89">
        <f t="shared" si="15"/>
        <v>0</v>
      </c>
      <c r="U49" s="204"/>
      <c r="V49" s="208">
        <f t="shared" si="19"/>
        <v>0</v>
      </c>
    </row>
    <row r="50" spans="1:22" x14ac:dyDescent="0.2">
      <c r="B50" s="20" t="s">
        <v>99</v>
      </c>
      <c r="C50" s="73"/>
      <c r="D50" s="71"/>
      <c r="E50" s="71">
        <v>0</v>
      </c>
      <c r="F50" s="71"/>
      <c r="G50" s="71"/>
      <c r="H50" s="83"/>
      <c r="I50" s="83"/>
      <c r="J50" s="83"/>
      <c r="K50" s="71"/>
      <c r="L50" s="163"/>
      <c r="M50" s="164"/>
      <c r="N50" s="164"/>
      <c r="O50" s="71"/>
      <c r="P50" s="83">
        <f t="shared" si="16"/>
        <v>0</v>
      </c>
      <c r="Q50" s="83">
        <f t="shared" si="17"/>
        <v>0</v>
      </c>
      <c r="R50" s="83">
        <f t="shared" si="18"/>
        <v>0</v>
      </c>
      <c r="S50" s="83">
        <f t="shared" si="7"/>
        <v>0</v>
      </c>
      <c r="T50" s="89">
        <f t="shared" si="15"/>
        <v>0</v>
      </c>
      <c r="U50" s="204"/>
      <c r="V50" s="208">
        <f t="shared" si="19"/>
        <v>0</v>
      </c>
    </row>
    <row r="51" spans="1:22" x14ac:dyDescent="0.2">
      <c r="A51" s="14" t="s">
        <v>51</v>
      </c>
      <c r="B51" s="20" t="s">
        <v>52</v>
      </c>
      <c r="C51" s="73">
        <v>0</v>
      </c>
      <c r="D51" s="73">
        <v>0</v>
      </c>
      <c r="E51" s="71">
        <v>0</v>
      </c>
      <c r="F51" s="71"/>
      <c r="G51" s="71"/>
      <c r="H51" s="83">
        <v>0</v>
      </c>
      <c r="I51" s="83">
        <v>0</v>
      </c>
      <c r="J51" s="83"/>
      <c r="K51" s="71"/>
      <c r="L51" s="163" t="e">
        <f>H51/C51</f>
        <v>#DIV/0!</v>
      </c>
      <c r="M51" s="164" t="e">
        <f>I51/D51</f>
        <v>#DIV/0!</v>
      </c>
      <c r="N51" s="164" t="e">
        <f>+J51/E51</f>
        <v>#DIV/0!</v>
      </c>
      <c r="O51" s="71"/>
      <c r="P51" s="83">
        <f t="shared" si="16"/>
        <v>0</v>
      </c>
      <c r="Q51" s="83">
        <f t="shared" si="17"/>
        <v>0</v>
      </c>
      <c r="R51" s="83">
        <f t="shared" si="18"/>
        <v>0</v>
      </c>
      <c r="S51" s="83">
        <f t="shared" si="7"/>
        <v>0</v>
      </c>
      <c r="T51" s="89">
        <f t="shared" si="15"/>
        <v>0</v>
      </c>
      <c r="U51" s="204"/>
      <c r="V51" s="208">
        <f t="shared" si="19"/>
        <v>0</v>
      </c>
    </row>
    <row r="52" spans="1:22" x14ac:dyDescent="0.2">
      <c r="B52" s="20" t="s">
        <v>90</v>
      </c>
      <c r="C52" s="73"/>
      <c r="D52" s="71"/>
      <c r="E52" s="71">
        <v>0</v>
      </c>
      <c r="F52" s="71"/>
      <c r="G52" s="71"/>
      <c r="H52" s="83"/>
      <c r="I52" s="83"/>
      <c r="J52" s="83"/>
      <c r="K52" s="71"/>
      <c r="L52" s="163"/>
      <c r="M52" s="164"/>
      <c r="N52" s="164"/>
      <c r="O52" s="71"/>
      <c r="P52" s="83">
        <f t="shared" si="16"/>
        <v>0</v>
      </c>
      <c r="Q52" s="83">
        <f t="shared" si="17"/>
        <v>0</v>
      </c>
      <c r="R52" s="83">
        <f t="shared" si="18"/>
        <v>0</v>
      </c>
      <c r="S52" s="83">
        <f t="shared" si="7"/>
        <v>0</v>
      </c>
      <c r="T52" s="89">
        <f t="shared" si="15"/>
        <v>0</v>
      </c>
      <c r="U52" s="204"/>
      <c r="V52" s="208">
        <f t="shared" si="19"/>
        <v>0</v>
      </c>
    </row>
    <row r="53" spans="1:22" x14ac:dyDescent="0.2">
      <c r="B53" s="20" t="s">
        <v>53</v>
      </c>
      <c r="C53" s="73"/>
      <c r="D53" s="71"/>
      <c r="E53" s="71">
        <v>0</v>
      </c>
      <c r="F53" s="71"/>
      <c r="G53" s="71"/>
      <c r="H53" s="83"/>
      <c r="I53" s="83"/>
      <c r="J53" s="83"/>
      <c r="K53" s="71"/>
      <c r="L53" s="163"/>
      <c r="M53" s="164"/>
      <c r="N53" s="164"/>
      <c r="O53" s="71"/>
      <c r="P53" s="83">
        <f t="shared" si="16"/>
        <v>0</v>
      </c>
      <c r="Q53" s="83">
        <f t="shared" si="17"/>
        <v>0</v>
      </c>
      <c r="R53" s="83">
        <f t="shared" si="18"/>
        <v>0</v>
      </c>
      <c r="S53" s="83">
        <f t="shared" si="7"/>
        <v>0</v>
      </c>
      <c r="T53" s="89">
        <f t="shared" si="15"/>
        <v>0</v>
      </c>
      <c r="U53" s="204"/>
      <c r="V53" s="208">
        <f t="shared" si="19"/>
        <v>0</v>
      </c>
    </row>
    <row r="54" spans="1:22" x14ac:dyDescent="0.2">
      <c r="A54" s="14" t="s">
        <v>54</v>
      </c>
      <c r="B54" s="20" t="s">
        <v>55</v>
      </c>
      <c r="C54" s="73">
        <v>3098000</v>
      </c>
      <c r="D54" s="71">
        <v>1421000</v>
      </c>
      <c r="E54" s="71">
        <v>1421000</v>
      </c>
      <c r="F54" s="71">
        <v>1420000</v>
      </c>
      <c r="G54" s="71"/>
      <c r="H54" s="83">
        <v>400000</v>
      </c>
      <c r="I54" s="83">
        <v>400000</v>
      </c>
      <c r="J54" s="83">
        <v>1200000</v>
      </c>
      <c r="K54" s="71"/>
      <c r="L54" s="163"/>
      <c r="M54" s="164">
        <f>I54/D54</f>
        <v>0.28149190710767064</v>
      </c>
      <c r="N54" s="164">
        <f>+J54/E54</f>
        <v>0.84447572132301196</v>
      </c>
      <c r="O54" s="71"/>
      <c r="P54" s="83">
        <f t="shared" si="16"/>
        <v>-1677000</v>
      </c>
      <c r="Q54" s="83">
        <f t="shared" si="17"/>
        <v>0</v>
      </c>
      <c r="R54" s="83">
        <f t="shared" si="18"/>
        <v>-1000</v>
      </c>
      <c r="S54" s="83">
        <f t="shared" si="7"/>
        <v>-1678000</v>
      </c>
      <c r="T54" s="89">
        <f t="shared" si="15"/>
        <v>-0.54163976759199484</v>
      </c>
      <c r="U54" s="204"/>
      <c r="V54" s="208">
        <f t="shared" si="19"/>
        <v>-1000</v>
      </c>
    </row>
    <row r="55" spans="1:22" x14ac:dyDescent="0.2">
      <c r="B55" s="20" t="s">
        <v>56</v>
      </c>
      <c r="C55" s="73"/>
      <c r="D55" s="71"/>
      <c r="E55" s="71">
        <v>0</v>
      </c>
      <c r="F55" s="71"/>
      <c r="G55" s="71"/>
      <c r="H55" s="83"/>
      <c r="I55" s="83"/>
      <c r="J55" s="83"/>
      <c r="K55" s="71"/>
      <c r="L55" s="163"/>
      <c r="M55" s="164"/>
      <c r="N55" s="164"/>
      <c r="O55" s="71"/>
      <c r="P55" s="83">
        <f t="shared" si="16"/>
        <v>0</v>
      </c>
      <c r="Q55" s="83">
        <f t="shared" si="17"/>
        <v>0</v>
      </c>
      <c r="R55" s="83">
        <f t="shared" si="18"/>
        <v>0</v>
      </c>
      <c r="S55" s="83">
        <f t="shared" si="7"/>
        <v>0</v>
      </c>
      <c r="T55" s="89">
        <f t="shared" si="15"/>
        <v>0</v>
      </c>
      <c r="U55" s="204"/>
      <c r="V55" s="208">
        <f t="shared" si="19"/>
        <v>0</v>
      </c>
    </row>
    <row r="56" spans="1:22" x14ac:dyDescent="0.2">
      <c r="A56" s="14" t="s">
        <v>57</v>
      </c>
      <c r="B56" s="20" t="s">
        <v>91</v>
      </c>
      <c r="C56" s="73">
        <v>4011000</v>
      </c>
      <c r="D56" s="71">
        <v>919000</v>
      </c>
      <c r="E56" s="71">
        <v>6019092</v>
      </c>
      <c r="F56" s="71">
        <v>6554267</v>
      </c>
      <c r="G56" s="71"/>
      <c r="H56" s="83">
        <v>767916</v>
      </c>
      <c r="I56" s="83">
        <v>5764453</v>
      </c>
      <c r="J56" s="83">
        <v>5927491</v>
      </c>
      <c r="K56" s="71"/>
      <c r="L56" s="163">
        <f>H56/C56</f>
        <v>0.19145250560957366</v>
      </c>
      <c r="M56" s="164">
        <f>I56/D56</f>
        <v>6.2725277475516865</v>
      </c>
      <c r="N56" s="164">
        <f>+J56/E56</f>
        <v>0.98478159164206158</v>
      </c>
      <c r="O56" s="71"/>
      <c r="P56" s="83">
        <f t="shared" si="16"/>
        <v>-3092000</v>
      </c>
      <c r="Q56" s="83">
        <f t="shared" si="17"/>
        <v>5100092</v>
      </c>
      <c r="R56" s="83">
        <f t="shared" si="18"/>
        <v>535175</v>
      </c>
      <c r="S56" s="83">
        <f t="shared" si="7"/>
        <v>2543267</v>
      </c>
      <c r="T56" s="89">
        <f t="shared" si="15"/>
        <v>0.6340730491149339</v>
      </c>
      <c r="U56" s="204"/>
      <c r="V56" s="208">
        <f t="shared" si="19"/>
        <v>535175</v>
      </c>
    </row>
    <row r="57" spans="1:22" x14ac:dyDescent="0.2">
      <c r="B57" s="20" t="s">
        <v>58</v>
      </c>
      <c r="C57" s="73"/>
      <c r="D57" s="71"/>
      <c r="E57" s="71">
        <v>0</v>
      </c>
      <c r="F57" s="71"/>
      <c r="G57" s="71"/>
      <c r="H57" s="83"/>
      <c r="I57" s="83"/>
      <c r="J57" s="83"/>
      <c r="K57" s="71"/>
      <c r="L57" s="163"/>
      <c r="M57" s="164"/>
      <c r="N57" s="164"/>
      <c r="O57" s="71"/>
      <c r="P57" s="83">
        <f t="shared" si="16"/>
        <v>0</v>
      </c>
      <c r="Q57" s="83">
        <f t="shared" si="17"/>
        <v>0</v>
      </c>
      <c r="R57" s="83">
        <f t="shared" si="18"/>
        <v>0</v>
      </c>
      <c r="S57" s="83">
        <f t="shared" si="7"/>
        <v>0</v>
      </c>
      <c r="T57" s="89">
        <f t="shared" si="15"/>
        <v>0</v>
      </c>
      <c r="U57" s="204"/>
      <c r="V57" s="208">
        <f t="shared" si="19"/>
        <v>0</v>
      </c>
    </row>
    <row r="58" spans="1:22" x14ac:dyDescent="0.2">
      <c r="A58" s="14" t="s">
        <v>59</v>
      </c>
      <c r="B58" s="20" t="s">
        <v>60</v>
      </c>
      <c r="C58" s="73">
        <v>4206000</v>
      </c>
      <c r="D58" s="73">
        <v>12441000</v>
      </c>
      <c r="E58" s="71">
        <v>19641965</v>
      </c>
      <c r="F58" s="71">
        <v>20242299</v>
      </c>
      <c r="G58" s="71"/>
      <c r="H58" s="83">
        <v>6662286</v>
      </c>
      <c r="I58" s="83">
        <v>16361188</v>
      </c>
      <c r="J58" s="83">
        <v>19100235</v>
      </c>
      <c r="K58" s="71"/>
      <c r="L58" s="163">
        <f>H58/C58</f>
        <v>1.5839957203994295</v>
      </c>
      <c r="M58" s="164">
        <f>I58/D58</f>
        <v>1.3151023229643919</v>
      </c>
      <c r="N58" s="164">
        <f>+J58/E58</f>
        <v>0.97241976553771481</v>
      </c>
      <c r="O58" s="71"/>
      <c r="P58" s="83">
        <f t="shared" si="16"/>
        <v>8235000</v>
      </c>
      <c r="Q58" s="83">
        <f t="shared" si="17"/>
        <v>7200965</v>
      </c>
      <c r="R58" s="83">
        <f t="shared" si="18"/>
        <v>600334</v>
      </c>
      <c r="S58" s="83">
        <f t="shared" si="7"/>
        <v>16036299</v>
      </c>
      <c r="T58" s="89">
        <f t="shared" si="15"/>
        <v>3.8127196861626249</v>
      </c>
      <c r="U58" s="204"/>
      <c r="V58" s="208">
        <f t="shared" si="19"/>
        <v>600334</v>
      </c>
    </row>
    <row r="59" spans="1:22" ht="25.5" x14ac:dyDescent="0.2">
      <c r="A59" s="20"/>
      <c r="B59" s="20" t="s">
        <v>61</v>
      </c>
      <c r="C59" s="73"/>
      <c r="D59" s="71"/>
      <c r="E59" s="71"/>
      <c r="F59" s="71"/>
      <c r="G59" s="71"/>
      <c r="H59" s="83"/>
      <c r="I59" s="83"/>
      <c r="J59" s="83"/>
      <c r="K59" s="71"/>
      <c r="L59" s="163"/>
      <c r="M59" s="164"/>
      <c r="N59" s="164"/>
      <c r="O59" s="71"/>
      <c r="P59" s="83">
        <f t="shared" si="16"/>
        <v>0</v>
      </c>
      <c r="Q59" s="83">
        <f t="shared" si="17"/>
        <v>0</v>
      </c>
      <c r="R59" s="83">
        <f t="shared" si="18"/>
        <v>0</v>
      </c>
      <c r="S59" s="83">
        <f t="shared" si="7"/>
        <v>0</v>
      </c>
      <c r="T59" s="89">
        <f t="shared" si="15"/>
        <v>0</v>
      </c>
      <c r="U59" s="204"/>
      <c r="V59" s="208">
        <f t="shared" si="19"/>
        <v>0</v>
      </c>
    </row>
    <row r="60" spans="1:22" x14ac:dyDescent="0.2">
      <c r="A60" s="14" t="s">
        <v>62</v>
      </c>
      <c r="B60" s="20" t="s">
        <v>63</v>
      </c>
      <c r="C60" s="73">
        <v>2127000</v>
      </c>
      <c r="D60" s="73">
        <v>1451000</v>
      </c>
      <c r="E60" s="71">
        <v>1785850</v>
      </c>
      <c r="F60" s="71">
        <v>1668850</v>
      </c>
      <c r="G60" s="71"/>
      <c r="H60" s="83">
        <v>930050</v>
      </c>
      <c r="I60" s="83">
        <v>1446350</v>
      </c>
      <c r="J60" s="83">
        <v>1569199</v>
      </c>
      <c r="K60" s="71"/>
      <c r="L60" s="163">
        <f>H60/C60</f>
        <v>0.43725905030559475</v>
      </c>
      <c r="M60" s="164">
        <f>I60/D60</f>
        <v>0.99679531357684359</v>
      </c>
      <c r="N60" s="164">
        <f>+J60/E60</f>
        <v>0.87868465996584255</v>
      </c>
      <c r="O60" s="71"/>
      <c r="P60" s="83">
        <f t="shared" si="16"/>
        <v>-676000</v>
      </c>
      <c r="Q60" s="83">
        <f t="shared" si="17"/>
        <v>334850</v>
      </c>
      <c r="R60" s="83">
        <f t="shared" si="18"/>
        <v>-117000</v>
      </c>
      <c r="S60" s="83">
        <f t="shared" si="7"/>
        <v>-458150</v>
      </c>
      <c r="T60" s="89">
        <f t="shared" si="15"/>
        <v>-0.21539727315467794</v>
      </c>
      <c r="U60" s="204"/>
      <c r="V60" s="208">
        <f t="shared" si="19"/>
        <v>-117000</v>
      </c>
    </row>
    <row r="61" spans="1:22" ht="63.75" x14ac:dyDescent="0.2">
      <c r="B61" s="20" t="s">
        <v>363</v>
      </c>
      <c r="C61" s="73"/>
      <c r="D61" s="71"/>
      <c r="E61" s="71">
        <v>0</v>
      </c>
      <c r="F61" s="71"/>
      <c r="G61" s="71"/>
      <c r="H61" s="83"/>
      <c r="I61" s="83"/>
      <c r="J61" s="83"/>
      <c r="K61" s="71"/>
      <c r="L61" s="163"/>
      <c r="M61" s="164"/>
      <c r="N61" s="164"/>
      <c r="O61" s="71"/>
      <c r="P61" s="83">
        <f t="shared" si="16"/>
        <v>0</v>
      </c>
      <c r="Q61" s="83">
        <f t="shared" si="17"/>
        <v>0</v>
      </c>
      <c r="R61" s="83">
        <f t="shared" si="18"/>
        <v>0</v>
      </c>
      <c r="S61" s="83">
        <f t="shared" si="7"/>
        <v>0</v>
      </c>
      <c r="T61" s="89">
        <f t="shared" si="15"/>
        <v>0</v>
      </c>
      <c r="U61" s="204"/>
      <c r="V61" s="208">
        <f t="shared" si="19"/>
        <v>0</v>
      </c>
    </row>
    <row r="62" spans="1:22" x14ac:dyDescent="0.2">
      <c r="A62" s="14" t="s">
        <v>64</v>
      </c>
      <c r="B62" s="20" t="s">
        <v>65</v>
      </c>
      <c r="C62" s="73">
        <v>24700000</v>
      </c>
      <c r="D62" s="71">
        <v>38893000</v>
      </c>
      <c r="E62" s="71">
        <v>56582749</v>
      </c>
      <c r="F62" s="71">
        <v>53761070</v>
      </c>
      <c r="G62" s="71"/>
      <c r="H62" s="83">
        <v>25513990</v>
      </c>
      <c r="I62" s="83">
        <v>46419684</v>
      </c>
      <c r="J62" s="83">
        <v>50887064</v>
      </c>
      <c r="K62" s="71"/>
      <c r="L62" s="163">
        <f>H62/C62</f>
        <v>1.032955060728745</v>
      </c>
      <c r="M62" s="164">
        <f>I62/D62</f>
        <v>1.193522844727843</v>
      </c>
      <c r="N62" s="164">
        <f>+J62/E62</f>
        <v>0.89933884265679631</v>
      </c>
      <c r="O62" s="71"/>
      <c r="P62" s="83">
        <f t="shared" si="16"/>
        <v>14193000</v>
      </c>
      <c r="Q62" s="83">
        <f t="shared" si="17"/>
        <v>17689749</v>
      </c>
      <c r="R62" s="83">
        <f t="shared" si="18"/>
        <v>-2821679</v>
      </c>
      <c r="S62" s="83">
        <f t="shared" si="7"/>
        <v>29061070</v>
      </c>
      <c r="T62" s="89">
        <f t="shared" si="15"/>
        <v>1.1765615384615384</v>
      </c>
      <c r="U62" s="204"/>
      <c r="V62" s="208">
        <f t="shared" si="19"/>
        <v>-2821679</v>
      </c>
    </row>
    <row r="63" spans="1:22" ht="51" x14ac:dyDescent="0.2">
      <c r="B63" s="20" t="s">
        <v>66</v>
      </c>
      <c r="C63" s="73"/>
      <c r="D63" s="71"/>
      <c r="E63" s="71"/>
      <c r="F63" s="71"/>
      <c r="G63" s="71"/>
      <c r="H63" s="83"/>
      <c r="I63" s="83"/>
      <c r="J63" s="83"/>
      <c r="K63" s="71"/>
      <c r="L63" s="163"/>
      <c r="M63" s="164"/>
      <c r="N63" s="164"/>
      <c r="O63" s="71"/>
      <c r="P63" s="83">
        <f t="shared" si="16"/>
        <v>0</v>
      </c>
      <c r="Q63" s="83">
        <f t="shared" si="17"/>
        <v>0</v>
      </c>
      <c r="R63" s="83">
        <f t="shared" si="18"/>
        <v>0</v>
      </c>
      <c r="S63" s="83">
        <f t="shared" si="7"/>
        <v>0</v>
      </c>
      <c r="T63" s="89">
        <f t="shared" si="15"/>
        <v>0</v>
      </c>
      <c r="U63" s="204"/>
      <c r="V63" s="208">
        <f t="shared" si="19"/>
        <v>0</v>
      </c>
    </row>
    <row r="64" spans="1:22" x14ac:dyDescent="0.2">
      <c r="A64" s="14" t="s">
        <v>67</v>
      </c>
      <c r="B64" s="20" t="s">
        <v>68</v>
      </c>
      <c r="C64" s="73"/>
      <c r="D64" s="71"/>
      <c r="E64" s="71">
        <v>0</v>
      </c>
      <c r="F64" s="71"/>
      <c r="G64" s="71"/>
      <c r="H64" s="83">
        <v>0</v>
      </c>
      <c r="I64" s="83">
        <v>0</v>
      </c>
      <c r="J64" s="83"/>
      <c r="K64" s="71"/>
      <c r="L64" s="163"/>
      <c r="M64" s="164"/>
      <c r="N64" s="164" t="e">
        <f>+J64/E64</f>
        <v>#DIV/0!</v>
      </c>
      <c r="O64" s="71"/>
      <c r="P64" s="83">
        <f t="shared" si="16"/>
        <v>0</v>
      </c>
      <c r="Q64" s="83">
        <f t="shared" si="17"/>
        <v>0</v>
      </c>
      <c r="R64" s="83">
        <f t="shared" si="18"/>
        <v>0</v>
      </c>
      <c r="S64" s="83">
        <f t="shared" si="7"/>
        <v>0</v>
      </c>
      <c r="T64" s="89">
        <f t="shared" si="15"/>
        <v>0</v>
      </c>
      <c r="U64" s="204"/>
      <c r="V64" s="208">
        <f t="shared" si="19"/>
        <v>0</v>
      </c>
    </row>
    <row r="65" spans="1:22" x14ac:dyDescent="0.2">
      <c r="A65" s="14" t="s">
        <v>69</v>
      </c>
      <c r="B65" s="20" t="s">
        <v>70</v>
      </c>
      <c r="C65" s="73"/>
      <c r="D65" s="71">
        <v>204000</v>
      </c>
      <c r="E65" s="71">
        <v>242000</v>
      </c>
      <c r="F65" s="71">
        <v>244000</v>
      </c>
      <c r="G65" s="71"/>
      <c r="H65" s="83">
        <v>150505</v>
      </c>
      <c r="I65" s="83">
        <v>222214</v>
      </c>
      <c r="J65" s="83">
        <v>243363</v>
      </c>
      <c r="K65" s="71"/>
      <c r="L65" s="163"/>
      <c r="M65" s="164"/>
      <c r="N65" s="164"/>
      <c r="O65" s="71"/>
      <c r="P65" s="83">
        <f t="shared" si="16"/>
        <v>204000</v>
      </c>
      <c r="Q65" s="83">
        <f t="shared" si="17"/>
        <v>38000</v>
      </c>
      <c r="R65" s="83">
        <f t="shared" si="18"/>
        <v>2000</v>
      </c>
      <c r="S65" s="83">
        <f t="shared" si="7"/>
        <v>244000</v>
      </c>
      <c r="T65" s="89">
        <f t="shared" si="15"/>
        <v>0</v>
      </c>
      <c r="U65" s="204"/>
      <c r="V65" s="208">
        <f t="shared" si="19"/>
        <v>2000</v>
      </c>
    </row>
    <row r="66" spans="1:22" ht="38.25" x14ac:dyDescent="0.2">
      <c r="B66" s="20" t="s">
        <v>71</v>
      </c>
      <c r="C66" s="73"/>
      <c r="D66" s="71"/>
      <c r="E66" s="71">
        <v>0</v>
      </c>
      <c r="F66" s="71"/>
      <c r="G66" s="71"/>
      <c r="H66" s="83"/>
      <c r="I66" s="83"/>
      <c r="J66" s="83"/>
      <c r="K66" s="71"/>
      <c r="L66" s="163"/>
      <c r="M66" s="164"/>
      <c r="N66" s="164"/>
      <c r="O66" s="71"/>
      <c r="P66" s="83">
        <f t="shared" si="16"/>
        <v>0</v>
      </c>
      <c r="Q66" s="83">
        <f t="shared" si="17"/>
        <v>0</v>
      </c>
      <c r="R66" s="83">
        <f t="shared" si="18"/>
        <v>0</v>
      </c>
      <c r="S66" s="83">
        <f t="shared" si="7"/>
        <v>0</v>
      </c>
      <c r="T66" s="89">
        <f t="shared" si="15"/>
        <v>0</v>
      </c>
      <c r="U66" s="204"/>
      <c r="V66" s="208">
        <f t="shared" si="19"/>
        <v>0</v>
      </c>
    </row>
    <row r="67" spans="1:22" x14ac:dyDescent="0.2">
      <c r="A67" s="14" t="s">
        <v>72</v>
      </c>
      <c r="B67" s="20" t="s">
        <v>109</v>
      </c>
      <c r="C67" s="73">
        <v>350000</v>
      </c>
      <c r="D67" s="71">
        <v>181000</v>
      </c>
      <c r="E67" s="71">
        <v>0</v>
      </c>
      <c r="F67" s="71">
        <v>0</v>
      </c>
      <c r="G67" s="71"/>
      <c r="H67" s="83">
        <v>0</v>
      </c>
      <c r="I67" s="83">
        <v>0</v>
      </c>
      <c r="J67" s="83">
        <v>0</v>
      </c>
      <c r="K67" s="71"/>
      <c r="L67" s="163">
        <f>H67/C67</f>
        <v>0</v>
      </c>
      <c r="M67" s="164">
        <f>I67/D67</f>
        <v>0</v>
      </c>
      <c r="N67" s="164" t="e">
        <f>+J67/E67</f>
        <v>#DIV/0!</v>
      </c>
      <c r="O67" s="71"/>
      <c r="P67" s="83">
        <f t="shared" si="16"/>
        <v>-169000</v>
      </c>
      <c r="Q67" s="83">
        <f t="shared" si="17"/>
        <v>-181000</v>
      </c>
      <c r="R67" s="83">
        <f t="shared" si="18"/>
        <v>0</v>
      </c>
      <c r="S67" s="83">
        <f t="shared" si="7"/>
        <v>-350000</v>
      </c>
      <c r="T67" s="89">
        <f t="shared" si="15"/>
        <v>-1</v>
      </c>
      <c r="U67" s="204"/>
      <c r="V67" s="208">
        <f t="shared" si="19"/>
        <v>0</v>
      </c>
    </row>
    <row r="68" spans="1:22" ht="38.25" x14ac:dyDescent="0.2">
      <c r="B68" s="20" t="s">
        <v>73</v>
      </c>
      <c r="C68" s="73"/>
      <c r="D68" s="71"/>
      <c r="E68" s="71">
        <v>0</v>
      </c>
      <c r="F68" s="71"/>
      <c r="G68" s="71"/>
      <c r="H68" s="83"/>
      <c r="I68" s="83"/>
      <c r="J68" s="83"/>
      <c r="K68" s="71"/>
      <c r="L68" s="163"/>
      <c r="M68" s="164"/>
      <c r="N68" s="164"/>
      <c r="O68" s="71"/>
      <c r="P68" s="83">
        <f t="shared" si="16"/>
        <v>0</v>
      </c>
      <c r="Q68" s="83">
        <f t="shared" si="17"/>
        <v>0</v>
      </c>
      <c r="R68" s="83">
        <f t="shared" si="18"/>
        <v>0</v>
      </c>
      <c r="S68" s="83">
        <f t="shared" si="7"/>
        <v>0</v>
      </c>
      <c r="T68" s="89">
        <f t="shared" si="15"/>
        <v>0</v>
      </c>
      <c r="U68" s="204"/>
      <c r="V68" s="208">
        <f t="shared" si="19"/>
        <v>0</v>
      </c>
    </row>
    <row r="69" spans="1:22" x14ac:dyDescent="0.2">
      <c r="A69" s="14" t="s">
        <v>74</v>
      </c>
      <c r="B69" s="20" t="s">
        <v>75</v>
      </c>
      <c r="C69" s="73"/>
      <c r="D69" s="71"/>
      <c r="E69" s="71">
        <v>0</v>
      </c>
      <c r="F69" s="71"/>
      <c r="G69" s="71"/>
      <c r="H69" s="83"/>
      <c r="I69" s="83"/>
      <c r="J69" s="83"/>
      <c r="K69" s="71"/>
      <c r="L69" s="163"/>
      <c r="M69" s="164"/>
      <c r="N69" s="164"/>
      <c r="O69" s="71"/>
      <c r="P69" s="83">
        <f t="shared" si="16"/>
        <v>0</v>
      </c>
      <c r="Q69" s="83">
        <f t="shared" si="17"/>
        <v>0</v>
      </c>
      <c r="R69" s="83">
        <f t="shared" si="18"/>
        <v>0</v>
      </c>
      <c r="S69" s="83">
        <f t="shared" si="7"/>
        <v>0</v>
      </c>
      <c r="T69" s="89">
        <f t="shared" si="15"/>
        <v>0</v>
      </c>
      <c r="U69" s="204"/>
      <c r="V69" s="208">
        <f t="shared" si="19"/>
        <v>0</v>
      </c>
    </row>
    <row r="70" spans="1:22" x14ac:dyDescent="0.2">
      <c r="A70" s="14" t="s">
        <v>76</v>
      </c>
      <c r="B70" s="20" t="s">
        <v>77</v>
      </c>
      <c r="C70" s="73">
        <v>23570000</v>
      </c>
      <c r="D70" s="71">
        <v>23187000</v>
      </c>
      <c r="E70" s="71">
        <v>30746395</v>
      </c>
      <c r="F70" s="71">
        <v>28039989</v>
      </c>
      <c r="G70" s="71"/>
      <c r="H70" s="83">
        <v>12156891</v>
      </c>
      <c r="I70" s="83">
        <v>23059205</v>
      </c>
      <c r="J70" s="83">
        <v>26169858</v>
      </c>
      <c r="K70" s="71"/>
      <c r="L70" s="163">
        <f>H70/C70</f>
        <v>0.51577815019092066</v>
      </c>
      <c r="M70" s="164">
        <f>I70/D70</f>
        <v>0.99448850649070597</v>
      </c>
      <c r="N70" s="164">
        <f>+J70/E70</f>
        <v>0.85115207815420313</v>
      </c>
      <c r="O70" s="71"/>
      <c r="P70" s="83">
        <f t="shared" si="16"/>
        <v>-383000</v>
      </c>
      <c r="Q70" s="83">
        <f t="shared" si="17"/>
        <v>7559395</v>
      </c>
      <c r="R70" s="83">
        <f t="shared" si="18"/>
        <v>-2706406</v>
      </c>
      <c r="S70" s="83">
        <f t="shared" si="7"/>
        <v>4469989</v>
      </c>
      <c r="T70" s="89">
        <f t="shared" si="15"/>
        <v>0.1896473907509546</v>
      </c>
      <c r="U70" s="204"/>
      <c r="V70" s="208">
        <f t="shared" si="19"/>
        <v>-2706406</v>
      </c>
    </row>
    <row r="71" spans="1:22" x14ac:dyDescent="0.2">
      <c r="B71" s="20" t="s">
        <v>78</v>
      </c>
      <c r="C71" s="73"/>
      <c r="D71" s="71"/>
      <c r="E71" s="71">
        <v>0</v>
      </c>
      <c r="F71" s="71"/>
      <c r="G71" s="71"/>
      <c r="H71" s="83"/>
      <c r="I71" s="83"/>
      <c r="J71" s="83"/>
      <c r="K71" s="71"/>
      <c r="L71" s="163"/>
      <c r="M71" s="164"/>
      <c r="N71" s="164"/>
      <c r="O71" s="71"/>
      <c r="P71" s="83">
        <f t="shared" si="16"/>
        <v>0</v>
      </c>
      <c r="Q71" s="83">
        <f t="shared" si="17"/>
        <v>0</v>
      </c>
      <c r="R71" s="83">
        <f t="shared" si="18"/>
        <v>0</v>
      </c>
      <c r="S71" s="83">
        <f t="shared" si="7"/>
        <v>0</v>
      </c>
      <c r="T71" s="89">
        <f t="shared" si="15"/>
        <v>0</v>
      </c>
      <c r="U71" s="204"/>
      <c r="V71" s="208">
        <f t="shared" si="19"/>
        <v>0</v>
      </c>
    </row>
    <row r="72" spans="1:22" x14ac:dyDescent="0.2">
      <c r="A72" s="14" t="s">
        <v>79</v>
      </c>
      <c r="B72" s="20" t="s">
        <v>80</v>
      </c>
      <c r="C72" s="73">
        <v>21426000</v>
      </c>
      <c r="D72" s="71">
        <v>11427000</v>
      </c>
      <c r="E72" s="71">
        <v>11427000</v>
      </c>
      <c r="F72" s="71">
        <v>23010000</v>
      </c>
      <c r="G72" s="71"/>
      <c r="H72" s="83">
        <v>6102000</v>
      </c>
      <c r="I72" s="83">
        <v>9108000</v>
      </c>
      <c r="J72" s="83">
        <v>23009002</v>
      </c>
      <c r="K72" s="71"/>
      <c r="L72" s="163"/>
      <c r="M72" s="164">
        <f>I72/D72</f>
        <v>0.79705959569440799</v>
      </c>
      <c r="N72" s="164">
        <f>+J72/E72</f>
        <v>2.0135645401242672</v>
      </c>
      <c r="O72" s="71"/>
      <c r="P72" s="83">
        <f t="shared" si="16"/>
        <v>-9999000</v>
      </c>
      <c r="Q72" s="83">
        <f t="shared" si="17"/>
        <v>0</v>
      </c>
      <c r="R72" s="83">
        <f t="shared" si="18"/>
        <v>11583000</v>
      </c>
      <c r="S72" s="83">
        <f t="shared" si="7"/>
        <v>1584000</v>
      </c>
      <c r="T72" s="89">
        <f t="shared" si="15"/>
        <v>7.3928871464575746E-2</v>
      </c>
      <c r="U72" s="204"/>
      <c r="V72" s="208">
        <f t="shared" si="19"/>
        <v>11583000</v>
      </c>
    </row>
    <row r="73" spans="1:22" ht="25.5" x14ac:dyDescent="0.2">
      <c r="B73" s="20" t="s">
        <v>110</v>
      </c>
      <c r="C73" s="73"/>
      <c r="D73" s="71"/>
      <c r="E73" s="71">
        <v>0</v>
      </c>
      <c r="F73" s="71"/>
      <c r="G73" s="71"/>
      <c r="H73" s="83"/>
      <c r="I73" s="83"/>
      <c r="J73" s="83"/>
      <c r="K73" s="71"/>
      <c r="L73" s="163"/>
      <c r="M73" s="164"/>
      <c r="N73" s="164"/>
      <c r="O73" s="71"/>
      <c r="P73" s="83">
        <f t="shared" si="16"/>
        <v>0</v>
      </c>
      <c r="Q73" s="83">
        <f t="shared" si="17"/>
        <v>0</v>
      </c>
      <c r="R73" s="83">
        <f t="shared" si="18"/>
        <v>0</v>
      </c>
      <c r="S73" s="83">
        <f t="shared" si="7"/>
        <v>0</v>
      </c>
      <c r="T73" s="89">
        <f t="shared" si="15"/>
        <v>0</v>
      </c>
      <c r="U73" s="204"/>
      <c r="V73" s="208">
        <f t="shared" si="19"/>
        <v>0</v>
      </c>
    </row>
    <row r="74" spans="1:22" x14ac:dyDescent="0.2">
      <c r="A74" s="14" t="s">
        <v>81</v>
      </c>
      <c r="B74" s="20" t="s">
        <v>82</v>
      </c>
      <c r="C74" s="73"/>
      <c r="D74" s="71">
        <v>1000</v>
      </c>
      <c r="E74" s="71">
        <v>68000</v>
      </c>
      <c r="F74" s="71">
        <v>0</v>
      </c>
      <c r="G74" s="71"/>
      <c r="H74" s="83">
        <v>0</v>
      </c>
      <c r="I74" s="83">
        <v>67347</v>
      </c>
      <c r="J74" s="83">
        <v>0</v>
      </c>
      <c r="K74" s="71"/>
      <c r="L74" s="163"/>
      <c r="M74" s="164"/>
      <c r="N74" s="164"/>
      <c r="O74" s="71"/>
      <c r="P74" s="83">
        <f t="shared" si="16"/>
        <v>1000</v>
      </c>
      <c r="Q74" s="83">
        <f t="shared" si="17"/>
        <v>67000</v>
      </c>
      <c r="R74" s="83">
        <f t="shared" si="18"/>
        <v>-68000</v>
      </c>
      <c r="S74" s="83">
        <f t="shared" si="7"/>
        <v>0</v>
      </c>
      <c r="T74" s="89">
        <f t="shared" si="15"/>
        <v>0</v>
      </c>
      <c r="U74" s="204"/>
      <c r="V74" s="208">
        <f t="shared" si="19"/>
        <v>-68000</v>
      </c>
    </row>
    <row r="75" spans="1:22" ht="38.25" x14ac:dyDescent="0.2">
      <c r="B75" s="20" t="s">
        <v>83</v>
      </c>
      <c r="C75" s="73"/>
      <c r="D75" s="71"/>
      <c r="E75" s="71">
        <v>0</v>
      </c>
      <c r="F75" s="71"/>
      <c r="G75" s="71"/>
      <c r="H75" s="83"/>
      <c r="I75" s="83"/>
      <c r="J75" s="83"/>
      <c r="K75" s="71"/>
      <c r="L75" s="163"/>
      <c r="M75" s="164"/>
      <c r="N75" s="164"/>
      <c r="O75" s="71"/>
      <c r="P75" s="83">
        <f t="shared" si="16"/>
        <v>0</v>
      </c>
      <c r="Q75" s="83">
        <f t="shared" si="17"/>
        <v>0</v>
      </c>
      <c r="R75" s="83">
        <f t="shared" si="18"/>
        <v>0</v>
      </c>
      <c r="S75" s="83">
        <f t="shared" si="7"/>
        <v>0</v>
      </c>
      <c r="T75" s="89">
        <f t="shared" si="15"/>
        <v>0</v>
      </c>
      <c r="U75" s="204"/>
      <c r="V75" s="208">
        <f t="shared" si="19"/>
        <v>0</v>
      </c>
    </row>
    <row r="76" spans="1:22" x14ac:dyDescent="0.2">
      <c r="A76" s="14" t="s">
        <v>84</v>
      </c>
      <c r="B76" s="20" t="s">
        <v>85</v>
      </c>
      <c r="C76" s="73"/>
      <c r="D76" s="71"/>
      <c r="E76" s="71">
        <v>0</v>
      </c>
      <c r="F76" s="71"/>
      <c r="G76" s="71"/>
      <c r="H76" s="83"/>
      <c r="I76" s="83"/>
      <c r="J76" s="83">
        <v>0</v>
      </c>
      <c r="K76" s="71"/>
      <c r="L76" s="163"/>
      <c r="M76" s="164"/>
      <c r="N76" s="164"/>
      <c r="O76" s="71"/>
      <c r="P76" s="83">
        <f t="shared" si="16"/>
        <v>0</v>
      </c>
      <c r="Q76" s="83">
        <f t="shared" si="17"/>
        <v>0</v>
      </c>
      <c r="R76" s="83">
        <f t="shared" si="18"/>
        <v>0</v>
      </c>
      <c r="S76" s="83">
        <f t="shared" si="7"/>
        <v>0</v>
      </c>
      <c r="T76" s="89">
        <f t="shared" si="15"/>
        <v>0</v>
      </c>
      <c r="U76" s="204"/>
      <c r="V76" s="208">
        <f t="shared" si="19"/>
        <v>0</v>
      </c>
    </row>
    <row r="77" spans="1:22" x14ac:dyDescent="0.2">
      <c r="B77" s="20" t="s">
        <v>86</v>
      </c>
      <c r="C77" s="73"/>
      <c r="D77" s="71"/>
      <c r="E77" s="71">
        <v>0</v>
      </c>
      <c r="F77" s="71"/>
      <c r="G77" s="71"/>
      <c r="H77" s="83"/>
      <c r="I77" s="83"/>
      <c r="J77" s="83"/>
      <c r="K77" s="71"/>
      <c r="L77" s="163"/>
      <c r="M77" s="164"/>
      <c r="N77" s="164"/>
      <c r="O77" s="71"/>
      <c r="P77" s="83">
        <f t="shared" si="16"/>
        <v>0</v>
      </c>
      <c r="Q77" s="83">
        <f t="shared" si="17"/>
        <v>0</v>
      </c>
      <c r="R77" s="83">
        <f t="shared" si="18"/>
        <v>0</v>
      </c>
      <c r="S77" s="83">
        <f t="shared" si="7"/>
        <v>0</v>
      </c>
      <c r="T77" s="89">
        <f t="shared" si="15"/>
        <v>0</v>
      </c>
      <c r="U77" s="204"/>
      <c r="V77" s="208">
        <f t="shared" ref="V77:V104" si="20">+S77-E77+C77</f>
        <v>0</v>
      </c>
    </row>
    <row r="78" spans="1:22" x14ac:dyDescent="0.2">
      <c r="A78" s="14" t="s">
        <v>87</v>
      </c>
      <c r="B78" s="20" t="s">
        <v>88</v>
      </c>
      <c r="C78" s="73">
        <v>340000</v>
      </c>
      <c r="D78" s="71">
        <v>9674000</v>
      </c>
      <c r="E78" s="71">
        <v>23623000</v>
      </c>
      <c r="F78" s="71">
        <v>21599714</v>
      </c>
      <c r="G78" s="71"/>
      <c r="H78" s="83">
        <v>8162063</v>
      </c>
      <c r="I78" s="83">
        <v>14007150</v>
      </c>
      <c r="J78" s="83">
        <v>21531114</v>
      </c>
      <c r="K78" s="71"/>
      <c r="L78" s="163">
        <f>H78/C78</f>
        <v>24.006067647058824</v>
      </c>
      <c r="M78" s="164">
        <f>I78/D78</f>
        <v>1.4479170973744055</v>
      </c>
      <c r="N78" s="164">
        <f>+J78/E78</f>
        <v>0.91144706430173983</v>
      </c>
      <c r="O78" s="71"/>
      <c r="P78" s="83">
        <f t="shared" si="16"/>
        <v>9334000</v>
      </c>
      <c r="Q78" s="83">
        <f t="shared" si="17"/>
        <v>13949000</v>
      </c>
      <c r="R78" s="83">
        <f t="shared" si="18"/>
        <v>-2023286</v>
      </c>
      <c r="S78" s="83">
        <f t="shared" si="7"/>
        <v>21259714</v>
      </c>
      <c r="T78" s="89">
        <f t="shared" si="15"/>
        <v>62.528570588235297</v>
      </c>
      <c r="U78" s="204"/>
      <c r="V78" s="208">
        <f t="shared" si="20"/>
        <v>-2023286</v>
      </c>
    </row>
    <row r="79" spans="1:22" ht="63.75" x14ac:dyDescent="0.2">
      <c r="B79" s="20" t="s">
        <v>92</v>
      </c>
      <c r="C79" s="73"/>
      <c r="D79" s="71"/>
      <c r="E79" s="71">
        <v>0</v>
      </c>
      <c r="F79" s="71"/>
      <c r="G79" s="71"/>
      <c r="H79" s="83"/>
      <c r="I79" s="83"/>
      <c r="J79" s="83"/>
      <c r="K79" s="71"/>
      <c r="L79" s="163"/>
      <c r="M79" s="164"/>
      <c r="N79" s="164"/>
      <c r="O79" s="71"/>
      <c r="P79" s="83">
        <f t="shared" si="16"/>
        <v>0</v>
      </c>
      <c r="Q79" s="83">
        <f t="shared" si="17"/>
        <v>0</v>
      </c>
      <c r="R79" s="83">
        <f t="shared" si="18"/>
        <v>0</v>
      </c>
      <c r="S79" s="83">
        <f t="shared" si="7"/>
        <v>0</v>
      </c>
      <c r="T79" s="89">
        <f t="shared" si="15"/>
        <v>0</v>
      </c>
      <c r="U79" s="204"/>
      <c r="V79" s="208">
        <f t="shared" si="20"/>
        <v>0</v>
      </c>
    </row>
    <row r="80" spans="1:22" x14ac:dyDescent="0.2">
      <c r="A80" s="29"/>
      <c r="B80" s="21"/>
      <c r="C80" s="73"/>
      <c r="D80" s="71"/>
      <c r="E80" s="71"/>
      <c r="F80" s="71"/>
      <c r="G80" s="71"/>
      <c r="H80" s="83"/>
      <c r="I80" s="83"/>
      <c r="J80" s="83"/>
      <c r="K80" s="71"/>
      <c r="L80" s="163"/>
      <c r="M80" s="164"/>
      <c r="N80" s="164"/>
      <c r="O80" s="71"/>
      <c r="P80" s="83"/>
      <c r="Q80" s="83"/>
      <c r="R80" s="83"/>
      <c r="S80" s="83"/>
      <c r="T80" s="89"/>
      <c r="U80" s="204"/>
      <c r="V80" s="208">
        <f t="shared" si="20"/>
        <v>0</v>
      </c>
    </row>
    <row r="81" spans="1:22" x14ac:dyDescent="0.2">
      <c r="A81" s="4" t="s">
        <v>111</v>
      </c>
      <c r="B81" s="3" t="s">
        <v>112</v>
      </c>
      <c r="C81" s="68">
        <f t="shared" ref="C81" si="21">SUM(C82:C105)</f>
        <v>19500000</v>
      </c>
      <c r="D81" s="68">
        <f>SUM(D82:D105)</f>
        <v>20000000</v>
      </c>
      <c r="E81" s="68">
        <f>SUM(E82:E105)</f>
        <v>22040000</v>
      </c>
      <c r="F81" s="68">
        <f>SUM(F82:F105)</f>
        <v>22398000</v>
      </c>
      <c r="G81" s="68"/>
      <c r="H81" s="85">
        <f>SUM(H82:H105)</f>
        <v>8657425</v>
      </c>
      <c r="I81" s="85">
        <f>SUM(I82:I105)</f>
        <v>14557125</v>
      </c>
      <c r="J81" s="85">
        <f>SUM(J82:J105)</f>
        <v>21198245</v>
      </c>
      <c r="K81" s="68"/>
      <c r="L81" s="91">
        <f>H81/C81</f>
        <v>0.44397051282051281</v>
      </c>
      <c r="M81" s="87">
        <f>I81/D81</f>
        <v>0.72785624999999998</v>
      </c>
      <c r="N81" s="87">
        <f>+J81/E81</f>
        <v>0.96180784936479125</v>
      </c>
      <c r="O81" s="68"/>
      <c r="P81" s="85">
        <f t="shared" ref="P81:R82" si="22">IF(D81&gt;0,+D81-C81,0)</f>
        <v>500000</v>
      </c>
      <c r="Q81" s="85">
        <f t="shared" si="22"/>
        <v>2040000</v>
      </c>
      <c r="R81" s="85">
        <f t="shared" si="22"/>
        <v>358000</v>
      </c>
      <c r="S81" s="85">
        <f t="shared" ref="S81:S143" si="23">SUM(P81:R81)</f>
        <v>2898000</v>
      </c>
      <c r="T81" s="89">
        <f t="shared" ref="T81:T104" si="24">IF(C81=0,0,+S81/C81)</f>
        <v>0.14861538461538462</v>
      </c>
      <c r="U81" s="206"/>
      <c r="V81" s="208">
        <f t="shared" si="20"/>
        <v>358000</v>
      </c>
    </row>
    <row r="82" spans="1:22" x14ac:dyDescent="0.2">
      <c r="A82" s="14" t="s">
        <v>113</v>
      </c>
      <c r="B82" s="20" t="s">
        <v>114</v>
      </c>
      <c r="C82" s="73">
        <v>3500000</v>
      </c>
      <c r="D82" s="71">
        <v>3000000</v>
      </c>
      <c r="E82" s="292">
        <v>2759000</v>
      </c>
      <c r="F82" s="71">
        <v>3414000</v>
      </c>
      <c r="G82" s="71"/>
      <c r="H82" s="83">
        <v>0</v>
      </c>
      <c r="I82" s="83">
        <v>2028550</v>
      </c>
      <c r="J82" s="83">
        <v>3413050</v>
      </c>
      <c r="K82" s="71"/>
      <c r="L82" s="163">
        <f>H82/C82</f>
        <v>0</v>
      </c>
      <c r="M82" s="164">
        <f>I82/D82</f>
        <v>0.67618333333333336</v>
      </c>
      <c r="N82" s="164">
        <f>+J82/E82</f>
        <v>1.2370605291772381</v>
      </c>
      <c r="O82" s="71"/>
      <c r="P82" s="83">
        <f t="shared" si="22"/>
        <v>-500000</v>
      </c>
      <c r="Q82" s="83">
        <f t="shared" si="22"/>
        <v>-241000</v>
      </c>
      <c r="R82" s="83">
        <f t="shared" si="22"/>
        <v>655000</v>
      </c>
      <c r="S82" s="83">
        <f t="shared" si="23"/>
        <v>-86000</v>
      </c>
      <c r="T82" s="89">
        <f t="shared" si="24"/>
        <v>-2.457142857142857E-2</v>
      </c>
      <c r="U82" s="204"/>
      <c r="V82" s="208">
        <f t="shared" si="20"/>
        <v>655000</v>
      </c>
    </row>
    <row r="83" spans="1:22" ht="76.5" customHeight="1" x14ac:dyDescent="0.2">
      <c r="B83" s="20" t="s">
        <v>366</v>
      </c>
      <c r="C83" s="73"/>
      <c r="D83" s="71">
        <v>0</v>
      </c>
      <c r="E83" s="71">
        <v>0</v>
      </c>
      <c r="F83" s="71"/>
      <c r="G83" s="71"/>
      <c r="H83" s="83">
        <v>0</v>
      </c>
      <c r="I83" s="83">
        <v>0</v>
      </c>
      <c r="J83" s="83"/>
      <c r="K83" s="71"/>
      <c r="L83" s="163"/>
      <c r="M83" s="164" t="e">
        <f>I83/D83</f>
        <v>#DIV/0!</v>
      </c>
      <c r="N83" s="164" t="e">
        <f>+J83/E83</f>
        <v>#DIV/0!</v>
      </c>
      <c r="O83" s="71"/>
      <c r="P83" s="83">
        <f t="shared" ref="P83:P104" si="25">+(D83-C83)*P$8</f>
        <v>0</v>
      </c>
      <c r="Q83" s="83">
        <f t="shared" ref="Q83:Q104" si="26">+(E83-D83)*Q$8</f>
        <v>0</v>
      </c>
      <c r="R83" s="83">
        <f t="shared" ref="R83:R104" si="27">+(F83-E83)*R$8</f>
        <v>0</v>
      </c>
      <c r="S83" s="83">
        <f t="shared" si="23"/>
        <v>0</v>
      </c>
      <c r="T83" s="89">
        <f t="shared" si="24"/>
        <v>0</v>
      </c>
      <c r="U83" s="204"/>
      <c r="V83" s="208">
        <f t="shared" si="20"/>
        <v>0</v>
      </c>
    </row>
    <row r="84" spans="1:22" x14ac:dyDescent="0.2">
      <c r="A84" s="14" t="s">
        <v>115</v>
      </c>
      <c r="B84" s="20" t="s">
        <v>116</v>
      </c>
      <c r="C84" s="73"/>
      <c r="D84" s="71">
        <v>0</v>
      </c>
      <c r="E84" s="71">
        <f>I84*1.13</f>
        <v>0</v>
      </c>
      <c r="F84" s="71"/>
      <c r="G84" s="71"/>
      <c r="H84" s="83">
        <v>0</v>
      </c>
      <c r="I84" s="83"/>
      <c r="J84" s="83"/>
      <c r="K84" s="71"/>
      <c r="L84" s="163"/>
      <c r="M84" s="164"/>
      <c r="N84" s="164"/>
      <c r="O84" s="71"/>
      <c r="P84" s="83">
        <f t="shared" si="25"/>
        <v>0</v>
      </c>
      <c r="Q84" s="83">
        <f t="shared" si="26"/>
        <v>0</v>
      </c>
      <c r="R84" s="83">
        <f t="shared" si="27"/>
        <v>0</v>
      </c>
      <c r="S84" s="83">
        <f t="shared" si="23"/>
        <v>0</v>
      </c>
      <c r="T84" s="89">
        <f t="shared" si="24"/>
        <v>0</v>
      </c>
      <c r="U84" s="204"/>
      <c r="V84" s="208">
        <f t="shared" si="20"/>
        <v>0</v>
      </c>
    </row>
    <row r="85" spans="1:22" x14ac:dyDescent="0.2">
      <c r="B85" s="20" t="s">
        <v>117</v>
      </c>
      <c r="C85" s="73"/>
      <c r="D85" s="71"/>
      <c r="E85" s="71">
        <f>I85*1.13</f>
        <v>0</v>
      </c>
      <c r="F85" s="71"/>
      <c r="G85" s="71"/>
      <c r="H85" s="83"/>
      <c r="I85" s="83"/>
      <c r="J85" s="83"/>
      <c r="K85" s="71"/>
      <c r="L85" s="163"/>
      <c r="M85" s="164"/>
      <c r="N85" s="164"/>
      <c r="O85" s="71"/>
      <c r="P85" s="83">
        <f t="shared" si="25"/>
        <v>0</v>
      </c>
      <c r="Q85" s="83">
        <f t="shared" si="26"/>
        <v>0</v>
      </c>
      <c r="R85" s="83">
        <f t="shared" si="27"/>
        <v>0</v>
      </c>
      <c r="S85" s="83">
        <f t="shared" si="23"/>
        <v>0</v>
      </c>
      <c r="T85" s="89">
        <f t="shared" si="24"/>
        <v>0</v>
      </c>
      <c r="U85" s="204"/>
      <c r="V85" s="208">
        <f t="shared" si="20"/>
        <v>0</v>
      </c>
    </row>
    <row r="86" spans="1:22" x14ac:dyDescent="0.2">
      <c r="B86" s="20" t="s">
        <v>118</v>
      </c>
      <c r="C86" s="73"/>
      <c r="D86" s="71"/>
      <c r="E86" s="71">
        <f>I86*1.13</f>
        <v>0</v>
      </c>
      <c r="F86" s="71"/>
      <c r="G86" s="71"/>
      <c r="H86" s="83">
        <v>0</v>
      </c>
      <c r="I86" s="83"/>
      <c r="J86" s="83"/>
      <c r="K86" s="71"/>
      <c r="L86" s="163"/>
      <c r="M86" s="164"/>
      <c r="N86" s="164"/>
      <c r="O86" s="71"/>
      <c r="P86" s="83">
        <f t="shared" si="25"/>
        <v>0</v>
      </c>
      <c r="Q86" s="83">
        <f t="shared" si="26"/>
        <v>0</v>
      </c>
      <c r="R86" s="83">
        <f t="shared" si="27"/>
        <v>0</v>
      </c>
      <c r="S86" s="83">
        <f t="shared" si="23"/>
        <v>0</v>
      </c>
      <c r="T86" s="89">
        <f t="shared" si="24"/>
        <v>0</v>
      </c>
      <c r="U86" s="204"/>
      <c r="V86" s="208">
        <f t="shared" si="20"/>
        <v>0</v>
      </c>
    </row>
    <row r="87" spans="1:22" x14ac:dyDescent="0.2">
      <c r="B87" s="20" t="s">
        <v>119</v>
      </c>
      <c r="C87" s="73"/>
      <c r="D87" s="71">
        <v>0</v>
      </c>
      <c r="E87" s="71">
        <v>0</v>
      </c>
      <c r="F87" s="71"/>
      <c r="G87" s="71"/>
      <c r="H87" s="83">
        <v>0</v>
      </c>
      <c r="I87" s="83">
        <v>0</v>
      </c>
      <c r="J87" s="83"/>
      <c r="K87" s="71"/>
      <c r="L87" s="163"/>
      <c r="M87" s="164" t="e">
        <f>I87/D87</f>
        <v>#DIV/0!</v>
      </c>
      <c r="N87" s="164" t="e">
        <f>+J87/E87</f>
        <v>#DIV/0!</v>
      </c>
      <c r="O87" s="71"/>
      <c r="P87" s="83">
        <f t="shared" si="25"/>
        <v>0</v>
      </c>
      <c r="Q87" s="83">
        <f t="shared" si="26"/>
        <v>0</v>
      </c>
      <c r="R87" s="83">
        <f t="shared" si="27"/>
        <v>0</v>
      </c>
      <c r="S87" s="83">
        <f t="shared" si="23"/>
        <v>0</v>
      </c>
      <c r="T87" s="89">
        <f t="shared" si="24"/>
        <v>0</v>
      </c>
      <c r="U87" s="204"/>
      <c r="V87" s="208">
        <f t="shared" si="20"/>
        <v>0</v>
      </c>
    </row>
    <row r="88" spans="1:22" x14ac:dyDescent="0.2">
      <c r="A88" s="14" t="s">
        <v>120</v>
      </c>
      <c r="B88" s="20" t="s">
        <v>121</v>
      </c>
      <c r="C88" s="73"/>
      <c r="D88" s="71">
        <v>0</v>
      </c>
      <c r="E88" s="71">
        <v>0</v>
      </c>
      <c r="F88" s="71"/>
      <c r="G88" s="71"/>
      <c r="H88" s="83">
        <v>0</v>
      </c>
      <c r="I88" s="83">
        <v>0</v>
      </c>
      <c r="J88" s="83"/>
      <c r="K88" s="71"/>
      <c r="L88" s="163"/>
      <c r="M88" s="164" t="e">
        <f>I88/D88</f>
        <v>#DIV/0!</v>
      </c>
      <c r="N88" s="164" t="e">
        <f>+J88/E88</f>
        <v>#DIV/0!</v>
      </c>
      <c r="O88" s="71"/>
      <c r="P88" s="83">
        <f t="shared" si="25"/>
        <v>0</v>
      </c>
      <c r="Q88" s="83">
        <f t="shared" si="26"/>
        <v>0</v>
      </c>
      <c r="R88" s="83">
        <f t="shared" si="27"/>
        <v>0</v>
      </c>
      <c r="S88" s="83">
        <f t="shared" si="23"/>
        <v>0</v>
      </c>
      <c r="T88" s="89">
        <f t="shared" si="24"/>
        <v>0</v>
      </c>
      <c r="U88" s="204"/>
      <c r="V88" s="208">
        <f t="shared" si="20"/>
        <v>0</v>
      </c>
    </row>
    <row r="89" spans="1:22" x14ac:dyDescent="0.2">
      <c r="B89" s="20" t="s">
        <v>122</v>
      </c>
      <c r="C89" s="73"/>
      <c r="D89" s="71"/>
      <c r="E89" s="71"/>
      <c r="F89" s="71"/>
      <c r="G89" s="71"/>
      <c r="H89" s="83"/>
      <c r="I89" s="83"/>
      <c r="J89" s="83"/>
      <c r="K89" s="71"/>
      <c r="L89" s="163"/>
      <c r="M89" s="164"/>
      <c r="N89" s="164"/>
      <c r="O89" s="71"/>
      <c r="P89" s="83">
        <f t="shared" si="25"/>
        <v>0</v>
      </c>
      <c r="Q89" s="83">
        <f t="shared" si="26"/>
        <v>0</v>
      </c>
      <c r="R89" s="83">
        <f t="shared" si="27"/>
        <v>0</v>
      </c>
      <c r="S89" s="83">
        <f t="shared" si="23"/>
        <v>0</v>
      </c>
      <c r="T89" s="89">
        <f t="shared" si="24"/>
        <v>0</v>
      </c>
      <c r="U89" s="204"/>
      <c r="V89" s="208">
        <f t="shared" si="20"/>
        <v>0</v>
      </c>
    </row>
    <row r="90" spans="1:22" x14ac:dyDescent="0.2">
      <c r="A90" s="14" t="s">
        <v>123</v>
      </c>
      <c r="B90" s="20" t="s">
        <v>124</v>
      </c>
      <c r="C90" s="73"/>
      <c r="D90" s="71"/>
      <c r="E90" s="71">
        <v>0</v>
      </c>
      <c r="F90" s="71"/>
      <c r="G90" s="71"/>
      <c r="H90" s="83"/>
      <c r="I90" s="83">
        <v>0</v>
      </c>
      <c r="J90" s="83"/>
      <c r="K90" s="71"/>
      <c r="L90" s="163"/>
      <c r="M90" s="164"/>
      <c r="N90" s="164" t="e">
        <f>+J90/E90</f>
        <v>#DIV/0!</v>
      </c>
      <c r="O90" s="71"/>
      <c r="P90" s="83">
        <f t="shared" si="25"/>
        <v>0</v>
      </c>
      <c r="Q90" s="83">
        <f t="shared" si="26"/>
        <v>0</v>
      </c>
      <c r="R90" s="83">
        <f t="shared" si="27"/>
        <v>0</v>
      </c>
      <c r="S90" s="83">
        <f t="shared" si="23"/>
        <v>0</v>
      </c>
      <c r="T90" s="89">
        <f t="shared" si="24"/>
        <v>0</v>
      </c>
      <c r="U90" s="204"/>
      <c r="V90" s="208">
        <f t="shared" si="20"/>
        <v>0</v>
      </c>
    </row>
    <row r="91" spans="1:22" x14ac:dyDescent="0.2">
      <c r="B91" s="20" t="s">
        <v>125</v>
      </c>
      <c r="C91" s="73"/>
      <c r="D91" s="71"/>
      <c r="E91" s="71">
        <v>0</v>
      </c>
      <c r="F91" s="71"/>
      <c r="G91" s="71"/>
      <c r="H91" s="83">
        <v>0</v>
      </c>
      <c r="I91" s="83">
        <v>0</v>
      </c>
      <c r="J91" s="83"/>
      <c r="K91" s="71"/>
      <c r="L91" s="163"/>
      <c r="M91" s="164" t="e">
        <f>I91/D91</f>
        <v>#DIV/0!</v>
      </c>
      <c r="N91" s="164" t="e">
        <f>+J91/E91</f>
        <v>#DIV/0!</v>
      </c>
      <c r="O91" s="71"/>
      <c r="P91" s="83">
        <f t="shared" si="25"/>
        <v>0</v>
      </c>
      <c r="Q91" s="83">
        <f t="shared" si="26"/>
        <v>0</v>
      </c>
      <c r="R91" s="83">
        <f t="shared" si="27"/>
        <v>0</v>
      </c>
      <c r="S91" s="83">
        <f t="shared" si="23"/>
        <v>0</v>
      </c>
      <c r="T91" s="89">
        <f t="shared" si="24"/>
        <v>0</v>
      </c>
      <c r="U91" s="204"/>
      <c r="V91" s="208">
        <f t="shared" si="20"/>
        <v>0</v>
      </c>
    </row>
    <row r="92" spans="1:22" x14ac:dyDescent="0.2">
      <c r="A92" s="14" t="s">
        <v>126</v>
      </c>
      <c r="B92" s="20" t="s">
        <v>127</v>
      </c>
      <c r="C92" s="73">
        <v>16000000</v>
      </c>
      <c r="D92" s="71">
        <v>17000000</v>
      </c>
      <c r="E92" s="71">
        <v>19281000</v>
      </c>
      <c r="F92" s="71">
        <v>18984000</v>
      </c>
      <c r="G92" s="71"/>
      <c r="H92" s="83">
        <v>8657425</v>
      </c>
      <c r="I92" s="83">
        <v>12528575</v>
      </c>
      <c r="J92" s="83">
        <v>17785195</v>
      </c>
      <c r="K92" s="71"/>
      <c r="L92" s="163"/>
      <c r="M92" s="164">
        <f>I92/D92</f>
        <v>0.73697500000000005</v>
      </c>
      <c r="N92" s="164">
        <f>+J92/E92</f>
        <v>0.92242077693065716</v>
      </c>
      <c r="O92" s="71"/>
      <c r="P92" s="83">
        <f t="shared" si="25"/>
        <v>1000000</v>
      </c>
      <c r="Q92" s="83">
        <f t="shared" si="26"/>
        <v>2281000</v>
      </c>
      <c r="R92" s="83">
        <f t="shared" si="27"/>
        <v>-297000</v>
      </c>
      <c r="S92" s="83">
        <f t="shared" si="23"/>
        <v>2984000</v>
      </c>
      <c r="T92" s="89">
        <f t="shared" si="24"/>
        <v>0.1865</v>
      </c>
      <c r="U92" s="204"/>
      <c r="V92" s="208">
        <f t="shared" si="20"/>
        <v>-297000</v>
      </c>
    </row>
    <row r="93" spans="1:22" ht="38.25" x14ac:dyDescent="0.2">
      <c r="B93" s="20" t="s">
        <v>128</v>
      </c>
      <c r="C93" s="149" t="s">
        <v>477</v>
      </c>
      <c r="D93" s="71"/>
      <c r="E93" s="71"/>
      <c r="F93" s="71"/>
      <c r="G93" s="71"/>
      <c r="H93" s="83"/>
      <c r="I93" s="83"/>
      <c r="J93" s="83"/>
      <c r="K93" s="71"/>
      <c r="L93" s="163"/>
      <c r="M93" s="164"/>
      <c r="N93" s="164"/>
      <c r="O93" s="71"/>
      <c r="P93" s="83" t="e">
        <f t="shared" si="25"/>
        <v>#VALUE!</v>
      </c>
      <c r="Q93" s="83">
        <f t="shared" si="26"/>
        <v>0</v>
      </c>
      <c r="R93" s="83">
        <f t="shared" si="27"/>
        <v>0</v>
      </c>
      <c r="S93" s="83" t="e">
        <f t="shared" si="23"/>
        <v>#VALUE!</v>
      </c>
      <c r="T93" s="89" t="e">
        <f t="shared" si="24"/>
        <v>#VALUE!</v>
      </c>
      <c r="U93" s="204"/>
      <c r="V93" s="208" t="e">
        <f t="shared" si="20"/>
        <v>#VALUE!</v>
      </c>
    </row>
    <row r="94" spans="1:22" x14ac:dyDescent="0.2">
      <c r="B94" s="20" t="s">
        <v>129</v>
      </c>
      <c r="C94" s="73"/>
      <c r="D94" s="71"/>
      <c r="E94" s="71"/>
      <c r="F94" s="71"/>
      <c r="G94" s="71"/>
      <c r="H94" s="83"/>
      <c r="I94" s="83"/>
      <c r="J94" s="83"/>
      <c r="K94" s="71"/>
      <c r="L94" s="163"/>
      <c r="M94" s="164"/>
      <c r="N94" s="164"/>
      <c r="O94" s="71"/>
      <c r="P94" s="83">
        <f t="shared" si="25"/>
        <v>0</v>
      </c>
      <c r="Q94" s="83">
        <f t="shared" si="26"/>
        <v>0</v>
      </c>
      <c r="R94" s="83">
        <f t="shared" si="27"/>
        <v>0</v>
      </c>
      <c r="S94" s="83">
        <f t="shared" si="23"/>
        <v>0</v>
      </c>
      <c r="T94" s="89">
        <f t="shared" si="24"/>
        <v>0</v>
      </c>
      <c r="U94" s="204"/>
      <c r="V94" s="208">
        <f t="shared" si="20"/>
        <v>0</v>
      </c>
    </row>
    <row r="95" spans="1:22" x14ac:dyDescent="0.2">
      <c r="B95" s="20" t="s">
        <v>130</v>
      </c>
      <c r="C95" s="73"/>
      <c r="D95" s="71"/>
      <c r="E95" s="71"/>
      <c r="F95" s="71"/>
      <c r="G95" s="71"/>
      <c r="H95" s="83"/>
      <c r="I95" s="83"/>
      <c r="J95" s="83"/>
      <c r="K95" s="71"/>
      <c r="L95" s="163"/>
      <c r="M95" s="164"/>
      <c r="N95" s="164"/>
      <c r="O95" s="71"/>
      <c r="P95" s="83">
        <f t="shared" si="25"/>
        <v>0</v>
      </c>
      <c r="Q95" s="83">
        <f t="shared" si="26"/>
        <v>0</v>
      </c>
      <c r="R95" s="83">
        <f t="shared" si="27"/>
        <v>0</v>
      </c>
      <c r="S95" s="83">
        <f t="shared" si="23"/>
        <v>0</v>
      </c>
      <c r="T95" s="89">
        <f t="shared" si="24"/>
        <v>0</v>
      </c>
      <c r="U95" s="204"/>
      <c r="V95" s="208">
        <f t="shared" si="20"/>
        <v>0</v>
      </c>
    </row>
    <row r="96" spans="1:22" x14ac:dyDescent="0.2">
      <c r="B96" s="20" t="s">
        <v>131</v>
      </c>
      <c r="C96" s="73"/>
      <c r="D96" s="71"/>
      <c r="E96" s="71"/>
      <c r="F96" s="71"/>
      <c r="G96" s="71"/>
      <c r="H96" s="83"/>
      <c r="I96" s="83"/>
      <c r="J96" s="83"/>
      <c r="K96" s="71"/>
      <c r="L96" s="163"/>
      <c r="M96" s="164"/>
      <c r="N96" s="164"/>
      <c r="O96" s="71"/>
      <c r="P96" s="83">
        <f t="shared" si="25"/>
        <v>0</v>
      </c>
      <c r="Q96" s="83">
        <f t="shared" si="26"/>
        <v>0</v>
      </c>
      <c r="R96" s="83">
        <f t="shared" si="27"/>
        <v>0</v>
      </c>
      <c r="S96" s="83">
        <f t="shared" si="23"/>
        <v>0</v>
      </c>
      <c r="T96" s="89">
        <f t="shared" si="24"/>
        <v>0</v>
      </c>
      <c r="U96" s="204"/>
      <c r="V96" s="208">
        <f t="shared" si="20"/>
        <v>0</v>
      </c>
    </row>
    <row r="97" spans="1:22" x14ac:dyDescent="0.2">
      <c r="B97" s="20" t="s">
        <v>132</v>
      </c>
      <c r="C97" s="73"/>
      <c r="D97" s="71"/>
      <c r="E97" s="71"/>
      <c r="F97" s="71"/>
      <c r="G97" s="71"/>
      <c r="H97" s="83"/>
      <c r="I97" s="83"/>
      <c r="J97" s="83"/>
      <c r="K97" s="71"/>
      <c r="L97" s="163"/>
      <c r="M97" s="164"/>
      <c r="N97" s="164"/>
      <c r="O97" s="71"/>
      <c r="P97" s="83">
        <f t="shared" si="25"/>
        <v>0</v>
      </c>
      <c r="Q97" s="83">
        <f t="shared" si="26"/>
        <v>0</v>
      </c>
      <c r="R97" s="83">
        <f t="shared" si="27"/>
        <v>0</v>
      </c>
      <c r="S97" s="83">
        <f t="shared" si="23"/>
        <v>0</v>
      </c>
      <c r="T97" s="89">
        <f t="shared" si="24"/>
        <v>0</v>
      </c>
      <c r="U97" s="204"/>
      <c r="V97" s="208">
        <f t="shared" si="20"/>
        <v>0</v>
      </c>
    </row>
    <row r="98" spans="1:22" x14ac:dyDescent="0.2">
      <c r="B98" s="20" t="s">
        <v>133</v>
      </c>
      <c r="C98" s="73"/>
      <c r="D98" s="71"/>
      <c r="E98" s="71"/>
      <c r="F98" s="71"/>
      <c r="G98" s="71"/>
      <c r="H98" s="83"/>
      <c r="I98" s="83"/>
      <c r="J98" s="83"/>
      <c r="K98" s="71"/>
      <c r="L98" s="163"/>
      <c r="M98" s="164"/>
      <c r="N98" s="164"/>
      <c r="O98" s="71"/>
      <c r="P98" s="83">
        <f t="shared" si="25"/>
        <v>0</v>
      </c>
      <c r="Q98" s="83">
        <f t="shared" si="26"/>
        <v>0</v>
      </c>
      <c r="R98" s="83">
        <f t="shared" si="27"/>
        <v>0</v>
      </c>
      <c r="S98" s="83">
        <f t="shared" si="23"/>
        <v>0</v>
      </c>
      <c r="T98" s="89">
        <f t="shared" si="24"/>
        <v>0</v>
      </c>
      <c r="U98" s="204"/>
      <c r="V98" s="208">
        <f t="shared" si="20"/>
        <v>0</v>
      </c>
    </row>
    <row r="99" spans="1:22" x14ac:dyDescent="0.2">
      <c r="B99" s="20" t="s">
        <v>134</v>
      </c>
      <c r="C99" s="73"/>
      <c r="D99" s="71"/>
      <c r="E99" s="71"/>
      <c r="F99" s="71"/>
      <c r="G99" s="71"/>
      <c r="H99" s="83"/>
      <c r="I99" s="83"/>
      <c r="J99" s="83"/>
      <c r="K99" s="71"/>
      <c r="L99" s="163"/>
      <c r="M99" s="164"/>
      <c r="N99" s="164"/>
      <c r="O99" s="71"/>
      <c r="P99" s="83">
        <f t="shared" si="25"/>
        <v>0</v>
      </c>
      <c r="Q99" s="83">
        <f t="shared" si="26"/>
        <v>0</v>
      </c>
      <c r="R99" s="83">
        <f t="shared" si="27"/>
        <v>0</v>
      </c>
      <c r="S99" s="83">
        <f t="shared" si="23"/>
        <v>0</v>
      </c>
      <c r="T99" s="89">
        <f t="shared" si="24"/>
        <v>0</v>
      </c>
      <c r="U99" s="204"/>
      <c r="V99" s="208">
        <f t="shared" si="20"/>
        <v>0</v>
      </c>
    </row>
    <row r="100" spans="1:22" x14ac:dyDescent="0.2">
      <c r="B100" s="20" t="s">
        <v>135</v>
      </c>
      <c r="C100" s="73"/>
      <c r="D100" s="71"/>
      <c r="E100" s="71"/>
      <c r="F100" s="71"/>
      <c r="G100" s="71"/>
      <c r="H100" s="83"/>
      <c r="I100" s="83"/>
      <c r="J100" s="83"/>
      <c r="K100" s="71"/>
      <c r="L100" s="163"/>
      <c r="M100" s="164"/>
      <c r="N100" s="164"/>
      <c r="O100" s="71"/>
      <c r="P100" s="83">
        <f t="shared" si="25"/>
        <v>0</v>
      </c>
      <c r="Q100" s="83">
        <f t="shared" si="26"/>
        <v>0</v>
      </c>
      <c r="R100" s="83">
        <f t="shared" si="27"/>
        <v>0</v>
      </c>
      <c r="S100" s="83">
        <f t="shared" si="23"/>
        <v>0</v>
      </c>
      <c r="T100" s="89">
        <f t="shared" si="24"/>
        <v>0</v>
      </c>
      <c r="U100" s="204"/>
      <c r="V100" s="208">
        <f t="shared" si="20"/>
        <v>0</v>
      </c>
    </row>
    <row r="101" spans="1:22" x14ac:dyDescent="0.2">
      <c r="B101" s="20" t="s">
        <v>136</v>
      </c>
      <c r="C101" s="73"/>
      <c r="D101" s="71"/>
      <c r="E101" s="71"/>
      <c r="F101" s="71"/>
      <c r="G101" s="71"/>
      <c r="H101" s="83"/>
      <c r="I101" s="83"/>
      <c r="J101" s="83"/>
      <c r="K101" s="71"/>
      <c r="L101" s="163"/>
      <c r="M101" s="164"/>
      <c r="N101" s="164"/>
      <c r="O101" s="71"/>
      <c r="P101" s="83">
        <f t="shared" si="25"/>
        <v>0</v>
      </c>
      <c r="Q101" s="83">
        <f t="shared" si="26"/>
        <v>0</v>
      </c>
      <c r="R101" s="83">
        <f t="shared" si="27"/>
        <v>0</v>
      </c>
      <c r="S101" s="83">
        <f t="shared" si="23"/>
        <v>0</v>
      </c>
      <c r="T101" s="89">
        <f t="shared" si="24"/>
        <v>0</v>
      </c>
      <c r="U101" s="204"/>
      <c r="V101" s="208">
        <f t="shared" si="20"/>
        <v>0</v>
      </c>
    </row>
    <row r="102" spans="1:22" x14ac:dyDescent="0.2">
      <c r="B102" s="20" t="s">
        <v>137</v>
      </c>
      <c r="C102" s="73"/>
      <c r="D102" s="71"/>
      <c r="E102" s="71"/>
      <c r="F102" s="71"/>
      <c r="G102" s="71"/>
      <c r="H102" s="83"/>
      <c r="I102" s="83"/>
      <c r="J102" s="83"/>
      <c r="K102" s="71"/>
      <c r="L102" s="163"/>
      <c r="M102" s="164"/>
      <c r="N102" s="164"/>
      <c r="O102" s="71"/>
      <c r="P102" s="83">
        <f t="shared" si="25"/>
        <v>0</v>
      </c>
      <c r="Q102" s="83">
        <f t="shared" si="26"/>
        <v>0</v>
      </c>
      <c r="R102" s="83">
        <f t="shared" si="27"/>
        <v>0</v>
      </c>
      <c r="S102" s="83">
        <f t="shared" si="23"/>
        <v>0</v>
      </c>
      <c r="T102" s="89">
        <f t="shared" si="24"/>
        <v>0</v>
      </c>
      <c r="U102" s="204"/>
      <c r="V102" s="208">
        <f t="shared" si="20"/>
        <v>0</v>
      </c>
    </row>
    <row r="103" spans="1:22" ht="25.5" x14ac:dyDescent="0.2">
      <c r="B103" s="20" t="s">
        <v>138</v>
      </c>
      <c r="C103" s="73"/>
      <c r="D103" s="71"/>
      <c r="E103" s="71"/>
      <c r="F103" s="71"/>
      <c r="G103" s="71"/>
      <c r="H103" s="83"/>
      <c r="I103" s="83"/>
      <c r="J103" s="83"/>
      <c r="K103" s="71"/>
      <c r="L103" s="163"/>
      <c r="M103" s="164"/>
      <c r="N103" s="164"/>
      <c r="O103" s="71"/>
      <c r="P103" s="83">
        <f t="shared" si="25"/>
        <v>0</v>
      </c>
      <c r="Q103" s="83">
        <f t="shared" si="26"/>
        <v>0</v>
      </c>
      <c r="R103" s="83">
        <f t="shared" si="27"/>
        <v>0</v>
      </c>
      <c r="S103" s="83">
        <f t="shared" si="23"/>
        <v>0</v>
      </c>
      <c r="T103" s="89">
        <f t="shared" si="24"/>
        <v>0</v>
      </c>
      <c r="U103" s="204"/>
      <c r="V103" s="208">
        <f t="shared" si="20"/>
        <v>0</v>
      </c>
    </row>
    <row r="104" spans="1:22" ht="25.5" x14ac:dyDescent="0.2">
      <c r="B104" s="20" t="s">
        <v>139</v>
      </c>
      <c r="C104" s="73"/>
      <c r="D104" s="71"/>
      <c r="E104" s="71"/>
      <c r="F104" s="71"/>
      <c r="G104" s="71"/>
      <c r="H104" s="83"/>
      <c r="I104" s="83"/>
      <c r="J104" s="83"/>
      <c r="K104" s="71"/>
      <c r="L104" s="163"/>
      <c r="M104" s="164"/>
      <c r="N104" s="164"/>
      <c r="O104" s="71"/>
      <c r="P104" s="83">
        <f t="shared" si="25"/>
        <v>0</v>
      </c>
      <c r="Q104" s="83">
        <f t="shared" si="26"/>
        <v>0</v>
      </c>
      <c r="R104" s="83">
        <f t="shared" si="27"/>
        <v>0</v>
      </c>
      <c r="S104" s="83">
        <f t="shared" si="23"/>
        <v>0</v>
      </c>
      <c r="T104" s="89">
        <f t="shared" si="24"/>
        <v>0</v>
      </c>
      <c r="U104" s="204"/>
      <c r="V104" s="208">
        <f t="shared" si="20"/>
        <v>0</v>
      </c>
    </row>
    <row r="105" spans="1:22" x14ac:dyDescent="0.2">
      <c r="C105" s="73"/>
      <c r="D105" s="71"/>
      <c r="E105" s="71"/>
      <c r="F105" s="71"/>
      <c r="G105" s="71"/>
      <c r="H105" s="83"/>
      <c r="I105" s="83"/>
      <c r="J105" s="83"/>
      <c r="K105" s="71"/>
      <c r="L105" s="163"/>
      <c r="M105" s="164"/>
      <c r="N105" s="164"/>
      <c r="O105" s="71"/>
      <c r="P105" s="83"/>
      <c r="Q105" s="83"/>
      <c r="R105" s="83"/>
      <c r="S105" s="83"/>
      <c r="T105" s="89"/>
      <c r="U105" s="204"/>
      <c r="V105" s="208"/>
    </row>
    <row r="106" spans="1:22" x14ac:dyDescent="0.2">
      <c r="A106" s="4" t="s">
        <v>140</v>
      </c>
      <c r="B106" s="3" t="s">
        <v>141</v>
      </c>
      <c r="C106" s="68">
        <f>SUM(C107:C119)</f>
        <v>174456925</v>
      </c>
      <c r="D106" s="68">
        <f>SUM(D107:D119)</f>
        <v>144494000</v>
      </c>
      <c r="E106" s="68">
        <f t="shared" ref="E106:F106" si="28">SUM(E107:E118)</f>
        <v>144625000</v>
      </c>
      <c r="F106" s="68">
        <f t="shared" si="28"/>
        <v>142311000</v>
      </c>
      <c r="G106" s="68"/>
      <c r="H106" s="85">
        <f>SUM(H107:H119)</f>
        <v>97482764</v>
      </c>
      <c r="I106" s="85">
        <f>SUM(I107:I118)</f>
        <v>117252118</v>
      </c>
      <c r="J106" s="85">
        <f>SUM(J107:J118)</f>
        <v>138791262</v>
      </c>
      <c r="K106" s="68"/>
      <c r="L106" s="91">
        <f>H106/C106</f>
        <v>0.55877841478634338</v>
      </c>
      <c r="M106" s="87">
        <f>I106/D106</f>
        <v>0.81146703669356512</v>
      </c>
      <c r="N106" s="87">
        <f t="shared" ref="N106:N112" si="29">+J106/E106</f>
        <v>0.95966300432152118</v>
      </c>
      <c r="O106" s="68"/>
      <c r="P106" s="85">
        <f>IF(D106&gt;0,+D106-C106,0)</f>
        <v>-29962925</v>
      </c>
      <c r="Q106" s="85">
        <f>IF(E106&gt;0,+E106-D106,0)</f>
        <v>131000</v>
      </c>
      <c r="R106" s="85">
        <f>IF(F106&gt;0,+F106-E106,0)</f>
        <v>-2314000</v>
      </c>
      <c r="S106" s="85">
        <f t="shared" si="23"/>
        <v>-32145925</v>
      </c>
      <c r="T106" s="89">
        <f t="shared" ref="T106:T118" si="30">IF(C106=0,0,+S106/C106)</f>
        <v>-0.18426282017753093</v>
      </c>
      <c r="U106" s="206"/>
      <c r="V106" s="208">
        <f t="shared" ref="V106:V137" si="31">+S106-E106+C106</f>
        <v>-2314000</v>
      </c>
    </row>
    <row r="107" spans="1:22" x14ac:dyDescent="0.2">
      <c r="A107" s="14" t="s">
        <v>142</v>
      </c>
      <c r="B107" s="20" t="s">
        <v>143</v>
      </c>
      <c r="C107" s="73"/>
      <c r="D107" s="71">
        <v>10000</v>
      </c>
      <c r="E107" s="71">
        <v>1444000</v>
      </c>
      <c r="F107" s="71">
        <v>1444000</v>
      </c>
      <c r="G107" s="71"/>
      <c r="H107" s="83">
        <v>9133</v>
      </c>
      <c r="I107" s="83">
        <v>1443620</v>
      </c>
      <c r="J107" s="83">
        <v>1443620</v>
      </c>
      <c r="K107" s="71"/>
      <c r="L107" s="163"/>
      <c r="M107" s="164"/>
      <c r="N107" s="164">
        <f t="shared" si="29"/>
        <v>0.99973684210526315</v>
      </c>
      <c r="O107" s="71"/>
      <c r="P107" s="83">
        <f t="shared" ref="P107:P118" si="32">+(D107-C107)*P$8</f>
        <v>10000</v>
      </c>
      <c r="Q107" s="83">
        <f t="shared" ref="Q107:Q118" si="33">+(E107-D107)*Q$8</f>
        <v>1434000</v>
      </c>
      <c r="R107" s="83">
        <f t="shared" ref="R107:R118" si="34">+(F107-E107)*R$8</f>
        <v>0</v>
      </c>
      <c r="S107" s="83">
        <f t="shared" si="23"/>
        <v>1444000</v>
      </c>
      <c r="T107" s="89">
        <f t="shared" si="30"/>
        <v>0</v>
      </c>
      <c r="U107" s="204"/>
      <c r="V107" s="208">
        <f t="shared" si="31"/>
        <v>0</v>
      </c>
    </row>
    <row r="108" spans="1:22" x14ac:dyDescent="0.2">
      <c r="B108" s="20" t="s">
        <v>144</v>
      </c>
      <c r="C108" s="73"/>
      <c r="D108" s="71"/>
      <c r="E108" s="71">
        <v>0</v>
      </c>
      <c r="F108" s="71"/>
      <c r="G108" s="71"/>
      <c r="H108" s="83"/>
      <c r="I108" s="83">
        <v>0</v>
      </c>
      <c r="J108" s="83"/>
      <c r="K108" s="71"/>
      <c r="L108" s="163"/>
      <c r="M108" s="164"/>
      <c r="N108" s="164" t="e">
        <f t="shared" si="29"/>
        <v>#DIV/0!</v>
      </c>
      <c r="O108" s="71"/>
      <c r="P108" s="83">
        <f t="shared" si="32"/>
        <v>0</v>
      </c>
      <c r="Q108" s="83">
        <f t="shared" si="33"/>
        <v>0</v>
      </c>
      <c r="R108" s="83">
        <f t="shared" si="34"/>
        <v>0</v>
      </c>
      <c r="S108" s="83">
        <f t="shared" si="23"/>
        <v>0</v>
      </c>
      <c r="T108" s="89">
        <f t="shared" si="30"/>
        <v>0</v>
      </c>
      <c r="U108" s="204"/>
      <c r="V108" s="208">
        <f t="shared" si="31"/>
        <v>0</v>
      </c>
    </row>
    <row r="109" spans="1:22" ht="25.5" x14ac:dyDescent="0.2">
      <c r="A109" s="14" t="s">
        <v>145</v>
      </c>
      <c r="B109" s="20" t="s">
        <v>147</v>
      </c>
      <c r="C109" s="73"/>
      <c r="D109" s="71"/>
      <c r="E109" s="71">
        <v>0</v>
      </c>
      <c r="F109" s="71"/>
      <c r="G109" s="71"/>
      <c r="H109" s="83"/>
      <c r="I109" s="83"/>
      <c r="J109" s="83"/>
      <c r="K109" s="71"/>
      <c r="L109" s="163"/>
      <c r="M109" s="164"/>
      <c r="N109" s="164" t="e">
        <f t="shared" si="29"/>
        <v>#DIV/0!</v>
      </c>
      <c r="O109" s="71"/>
      <c r="P109" s="83">
        <f t="shared" si="32"/>
        <v>0</v>
      </c>
      <c r="Q109" s="83">
        <f t="shared" si="33"/>
        <v>0</v>
      </c>
      <c r="R109" s="83">
        <f t="shared" si="34"/>
        <v>0</v>
      </c>
      <c r="S109" s="83">
        <f t="shared" si="23"/>
        <v>0</v>
      </c>
      <c r="T109" s="89">
        <f t="shared" si="30"/>
        <v>0</v>
      </c>
      <c r="U109" s="204"/>
      <c r="V109" s="208">
        <f t="shared" si="31"/>
        <v>0</v>
      </c>
    </row>
    <row r="110" spans="1:22" ht="25.5" x14ac:dyDescent="0.2">
      <c r="A110" s="14" t="s">
        <v>146</v>
      </c>
      <c r="B110" s="20" t="s">
        <v>148</v>
      </c>
      <c r="C110" s="73"/>
      <c r="D110" s="71"/>
      <c r="E110" s="71">
        <v>0</v>
      </c>
      <c r="F110" s="71"/>
      <c r="G110" s="71"/>
      <c r="H110" s="83"/>
      <c r="I110" s="83"/>
      <c r="J110" s="83"/>
      <c r="K110" s="71"/>
      <c r="L110" s="163"/>
      <c r="M110" s="164"/>
      <c r="N110" s="164" t="e">
        <f t="shared" si="29"/>
        <v>#DIV/0!</v>
      </c>
      <c r="O110" s="71"/>
      <c r="P110" s="83">
        <f t="shared" si="32"/>
        <v>0</v>
      </c>
      <c r="Q110" s="83">
        <f t="shared" si="33"/>
        <v>0</v>
      </c>
      <c r="R110" s="83">
        <f t="shared" si="34"/>
        <v>0</v>
      </c>
      <c r="S110" s="83">
        <f t="shared" si="23"/>
        <v>0</v>
      </c>
      <c r="T110" s="89">
        <f t="shared" si="30"/>
        <v>0</v>
      </c>
      <c r="U110" s="204"/>
      <c r="V110" s="208">
        <f t="shared" si="31"/>
        <v>0</v>
      </c>
    </row>
    <row r="111" spans="1:22" ht="25.5" x14ac:dyDescent="0.2">
      <c r="A111" s="14" t="s">
        <v>149</v>
      </c>
      <c r="B111" s="20" t="s">
        <v>150</v>
      </c>
      <c r="C111" s="73"/>
      <c r="D111" s="71"/>
      <c r="E111" s="71">
        <v>0</v>
      </c>
      <c r="F111" s="71"/>
      <c r="G111" s="71"/>
      <c r="H111" s="83"/>
      <c r="I111" s="83"/>
      <c r="J111" s="83"/>
      <c r="K111" s="71"/>
      <c r="L111" s="163"/>
      <c r="M111" s="164"/>
      <c r="N111" s="164" t="e">
        <f t="shared" si="29"/>
        <v>#DIV/0!</v>
      </c>
      <c r="O111" s="71"/>
      <c r="P111" s="83">
        <f t="shared" si="32"/>
        <v>0</v>
      </c>
      <c r="Q111" s="83">
        <f t="shared" si="33"/>
        <v>0</v>
      </c>
      <c r="R111" s="83">
        <f t="shared" si="34"/>
        <v>0</v>
      </c>
      <c r="S111" s="83">
        <f t="shared" si="23"/>
        <v>0</v>
      </c>
      <c r="T111" s="89">
        <f t="shared" si="30"/>
        <v>0</v>
      </c>
      <c r="U111" s="204"/>
      <c r="V111" s="208">
        <f t="shared" si="31"/>
        <v>0</v>
      </c>
    </row>
    <row r="112" spans="1:22" x14ac:dyDescent="0.2">
      <c r="A112" s="14" t="s">
        <v>151</v>
      </c>
      <c r="B112" s="20" t="s">
        <v>152</v>
      </c>
      <c r="C112" s="73">
        <v>0</v>
      </c>
      <c r="D112" s="71">
        <v>507000</v>
      </c>
      <c r="E112" s="71">
        <v>768000</v>
      </c>
      <c r="F112" s="71">
        <v>734000</v>
      </c>
      <c r="G112" s="71"/>
      <c r="H112" s="83">
        <v>383200</v>
      </c>
      <c r="I112" s="83">
        <v>733200</v>
      </c>
      <c r="J112" s="83">
        <v>733200</v>
      </c>
      <c r="K112" s="71"/>
      <c r="L112" s="163" t="e">
        <f>H112/C112</f>
        <v>#DIV/0!</v>
      </c>
      <c r="M112" s="164">
        <f>I112/D112</f>
        <v>1.4461538461538461</v>
      </c>
      <c r="N112" s="164">
        <f t="shared" si="29"/>
        <v>0.95468750000000002</v>
      </c>
      <c r="O112" s="71"/>
      <c r="P112" s="83">
        <f t="shared" si="32"/>
        <v>507000</v>
      </c>
      <c r="Q112" s="83">
        <f t="shared" si="33"/>
        <v>261000</v>
      </c>
      <c r="R112" s="83">
        <f t="shared" si="34"/>
        <v>-34000</v>
      </c>
      <c r="S112" s="83">
        <f t="shared" si="23"/>
        <v>734000</v>
      </c>
      <c r="T112" s="89">
        <f t="shared" si="30"/>
        <v>0</v>
      </c>
      <c r="U112" s="204"/>
      <c r="V112" s="208">
        <f t="shared" si="31"/>
        <v>-34000</v>
      </c>
    </row>
    <row r="113" spans="1:22" ht="51" x14ac:dyDescent="0.2">
      <c r="B113" s="20" t="s">
        <v>153</v>
      </c>
      <c r="C113" s="73"/>
      <c r="D113" s="71"/>
      <c r="E113" s="71"/>
      <c r="F113" s="71"/>
      <c r="G113" s="71"/>
      <c r="H113" s="83"/>
      <c r="I113" s="83"/>
      <c r="J113" s="83"/>
      <c r="K113" s="71"/>
      <c r="L113" s="163"/>
      <c r="M113" s="164"/>
      <c r="N113" s="164"/>
      <c r="O113" s="71"/>
      <c r="P113" s="83">
        <f t="shared" si="32"/>
        <v>0</v>
      </c>
      <c r="Q113" s="83">
        <f t="shared" si="33"/>
        <v>0</v>
      </c>
      <c r="R113" s="83">
        <f t="shared" si="34"/>
        <v>0</v>
      </c>
      <c r="S113" s="83">
        <f t="shared" si="23"/>
        <v>0</v>
      </c>
      <c r="T113" s="89">
        <f t="shared" si="30"/>
        <v>0</v>
      </c>
      <c r="U113" s="204"/>
      <c r="V113" s="208">
        <f t="shared" si="31"/>
        <v>0</v>
      </c>
    </row>
    <row r="114" spans="1:22" ht="51" x14ac:dyDescent="0.2">
      <c r="A114" s="14" t="s">
        <v>154</v>
      </c>
      <c r="B114" s="20" t="s">
        <v>155</v>
      </c>
      <c r="C114" s="73">
        <v>0</v>
      </c>
      <c r="D114" s="71">
        <f>+C114</f>
        <v>0</v>
      </c>
      <c r="E114" s="71">
        <v>0</v>
      </c>
      <c r="F114" s="71"/>
      <c r="G114" s="71"/>
      <c r="H114" s="83">
        <v>0</v>
      </c>
      <c r="I114" s="83">
        <v>0</v>
      </c>
      <c r="J114" s="83"/>
      <c r="K114" s="71"/>
      <c r="L114" s="163" t="e">
        <f>H114/C114</f>
        <v>#DIV/0!</v>
      </c>
      <c r="M114" s="164" t="e">
        <f>I114/D114</f>
        <v>#DIV/0!</v>
      </c>
      <c r="N114" s="164" t="e">
        <f>+J114/E114</f>
        <v>#DIV/0!</v>
      </c>
      <c r="O114" s="71"/>
      <c r="P114" s="83">
        <f t="shared" si="32"/>
        <v>0</v>
      </c>
      <c r="Q114" s="83">
        <f t="shared" si="33"/>
        <v>0</v>
      </c>
      <c r="R114" s="83">
        <f t="shared" si="34"/>
        <v>0</v>
      </c>
      <c r="S114" s="83">
        <f t="shared" si="23"/>
        <v>0</v>
      </c>
      <c r="T114" s="89">
        <f t="shared" si="30"/>
        <v>0</v>
      </c>
      <c r="U114" s="204"/>
      <c r="V114" s="208">
        <f t="shared" si="31"/>
        <v>0</v>
      </c>
    </row>
    <row r="115" spans="1:22" ht="51" x14ac:dyDescent="0.2">
      <c r="A115" s="14" t="s">
        <v>156</v>
      </c>
      <c r="B115" s="20" t="s">
        <v>157</v>
      </c>
      <c r="C115" s="73"/>
      <c r="D115" s="71">
        <v>500000</v>
      </c>
      <c r="E115" s="71">
        <v>200000</v>
      </c>
      <c r="F115" s="71">
        <v>300000</v>
      </c>
      <c r="G115" s="71"/>
      <c r="H115" s="83">
        <v>100000</v>
      </c>
      <c r="I115" s="83">
        <v>100000</v>
      </c>
      <c r="J115" s="83">
        <v>300000</v>
      </c>
      <c r="K115" s="71"/>
      <c r="L115" s="163"/>
      <c r="M115" s="164"/>
      <c r="N115" s="164">
        <f>+J115/E115</f>
        <v>1.5</v>
      </c>
      <c r="O115" s="71"/>
      <c r="P115" s="83">
        <f t="shared" si="32"/>
        <v>500000</v>
      </c>
      <c r="Q115" s="83">
        <f t="shared" si="33"/>
        <v>-300000</v>
      </c>
      <c r="R115" s="83">
        <f t="shared" si="34"/>
        <v>100000</v>
      </c>
      <c r="S115" s="83">
        <f t="shared" si="23"/>
        <v>300000</v>
      </c>
      <c r="T115" s="89">
        <f t="shared" si="30"/>
        <v>0</v>
      </c>
      <c r="U115" s="204"/>
      <c r="V115" s="208">
        <f t="shared" si="31"/>
        <v>100000</v>
      </c>
    </row>
    <row r="116" spans="1:22" x14ac:dyDescent="0.2">
      <c r="A116" s="44" t="s">
        <v>369</v>
      </c>
      <c r="B116" s="20" t="s">
        <v>367</v>
      </c>
      <c r="C116" s="73">
        <v>142477000</v>
      </c>
      <c r="D116" s="71">
        <v>143477000</v>
      </c>
      <c r="E116" s="71">
        <v>142213000</v>
      </c>
      <c r="F116" s="71">
        <v>139833000</v>
      </c>
      <c r="G116" s="71"/>
      <c r="H116" s="83">
        <v>96990431</v>
      </c>
      <c r="I116" s="83">
        <v>114975298</v>
      </c>
      <c r="J116" s="83">
        <v>136314442</v>
      </c>
      <c r="K116" s="71"/>
      <c r="L116" s="163">
        <f>H116/C116</f>
        <v>0.68074447805610727</v>
      </c>
      <c r="M116" s="164">
        <f>I116/D116</f>
        <v>0.80135002822752077</v>
      </c>
      <c r="N116" s="164">
        <f>+J116/E116</f>
        <v>0.95852307454311492</v>
      </c>
      <c r="O116" s="71"/>
      <c r="P116" s="83">
        <f t="shared" si="32"/>
        <v>1000000</v>
      </c>
      <c r="Q116" s="83">
        <f t="shared" si="33"/>
        <v>-1264000</v>
      </c>
      <c r="R116" s="83">
        <f t="shared" si="34"/>
        <v>-2380000</v>
      </c>
      <c r="S116" s="83">
        <f t="shared" si="23"/>
        <v>-2644000</v>
      </c>
      <c r="T116" s="89">
        <f t="shared" si="30"/>
        <v>-1.8557381191350183E-2</v>
      </c>
      <c r="U116" s="204"/>
      <c r="V116" s="208">
        <f t="shared" si="31"/>
        <v>-2380000</v>
      </c>
    </row>
    <row r="117" spans="1:22" ht="25.5" x14ac:dyDescent="0.2">
      <c r="B117" s="20" t="s">
        <v>368</v>
      </c>
      <c r="C117" s="73"/>
      <c r="D117" s="71"/>
      <c r="E117" s="71">
        <v>0</v>
      </c>
      <c r="F117" s="71"/>
      <c r="G117" s="71"/>
      <c r="H117" s="83"/>
      <c r="I117" s="83"/>
      <c r="J117" s="83"/>
      <c r="K117" s="71"/>
      <c r="L117" s="163"/>
      <c r="M117" s="164"/>
      <c r="N117" s="164"/>
      <c r="O117" s="71"/>
      <c r="P117" s="83">
        <f t="shared" si="32"/>
        <v>0</v>
      </c>
      <c r="Q117" s="83">
        <f t="shared" si="33"/>
        <v>0</v>
      </c>
      <c r="R117" s="83">
        <f t="shared" si="34"/>
        <v>0</v>
      </c>
      <c r="S117" s="83">
        <f t="shared" si="23"/>
        <v>0</v>
      </c>
      <c r="T117" s="89">
        <f t="shared" si="30"/>
        <v>0</v>
      </c>
      <c r="U117" s="204"/>
      <c r="V117" s="208">
        <f t="shared" si="31"/>
        <v>0</v>
      </c>
    </row>
    <row r="118" spans="1:22" x14ac:dyDescent="0.2">
      <c r="A118" s="44" t="s">
        <v>390</v>
      </c>
      <c r="B118" s="20" t="s">
        <v>370</v>
      </c>
      <c r="C118" s="73">
        <v>31979925</v>
      </c>
      <c r="D118" s="71">
        <v>0</v>
      </c>
      <c r="E118" s="187">
        <v>0</v>
      </c>
      <c r="F118" s="71">
        <v>0</v>
      </c>
      <c r="G118" s="71"/>
      <c r="H118" s="83">
        <v>0</v>
      </c>
      <c r="I118" s="83">
        <v>0</v>
      </c>
      <c r="J118" s="83">
        <v>0</v>
      </c>
      <c r="K118" s="71"/>
      <c r="L118" s="163">
        <f>H118/C118</f>
        <v>0</v>
      </c>
      <c r="M118" s="164" t="e">
        <f>I118/D118</f>
        <v>#DIV/0!</v>
      </c>
      <c r="N118" s="164" t="e">
        <f>+J118/E118</f>
        <v>#DIV/0!</v>
      </c>
      <c r="O118" s="71"/>
      <c r="P118" s="83">
        <f t="shared" si="32"/>
        <v>-31979925</v>
      </c>
      <c r="Q118" s="83">
        <f t="shared" si="33"/>
        <v>0</v>
      </c>
      <c r="R118" s="83">
        <f t="shared" si="34"/>
        <v>0</v>
      </c>
      <c r="S118" s="83">
        <f t="shared" si="23"/>
        <v>-31979925</v>
      </c>
      <c r="T118" s="89">
        <f t="shared" si="30"/>
        <v>-1</v>
      </c>
      <c r="U118" s="204"/>
      <c r="V118" s="208">
        <f t="shared" si="31"/>
        <v>0</v>
      </c>
    </row>
    <row r="119" spans="1:22" x14ac:dyDescent="0.2">
      <c r="A119" s="44"/>
      <c r="B119" s="20"/>
      <c r="C119" s="73"/>
      <c r="D119" s="71"/>
      <c r="E119" s="187"/>
      <c r="F119" s="71"/>
      <c r="G119" s="71"/>
      <c r="H119" s="83"/>
      <c r="I119" s="83"/>
      <c r="J119" s="83"/>
      <c r="K119" s="71"/>
      <c r="L119" s="163"/>
      <c r="M119" s="164"/>
      <c r="N119" s="164"/>
      <c r="O119" s="71"/>
      <c r="P119" s="83"/>
      <c r="Q119" s="83"/>
      <c r="R119" s="83"/>
      <c r="S119" s="83"/>
      <c r="T119" s="89"/>
      <c r="U119" s="204"/>
      <c r="V119" s="208">
        <f t="shared" si="31"/>
        <v>0</v>
      </c>
    </row>
    <row r="120" spans="1:22" x14ac:dyDescent="0.2">
      <c r="A120" s="4" t="s">
        <v>158</v>
      </c>
      <c r="B120" s="3" t="s">
        <v>159</v>
      </c>
      <c r="C120" s="68">
        <f>SUM(C121:C128)</f>
        <v>211500000</v>
      </c>
      <c r="D120" s="68">
        <f>SUM(D121:D128)</f>
        <v>425525752</v>
      </c>
      <c r="E120" s="68">
        <f>SUM(E121:E127)</f>
        <v>232468080</v>
      </c>
      <c r="F120" s="68">
        <f>SUM(F121:F127)</f>
        <v>211886399</v>
      </c>
      <c r="G120" s="68"/>
      <c r="H120" s="85">
        <f>SUM(H121:H128)</f>
        <v>7083713</v>
      </c>
      <c r="I120" s="85">
        <f>SUM(I121:I127)</f>
        <v>16863789</v>
      </c>
      <c r="J120" s="85">
        <f>SUM(J121:J127)</f>
        <v>65115830</v>
      </c>
      <c r="K120" s="68"/>
      <c r="L120" s="91">
        <f>H120/C120</f>
        <v>3.3492732860520097E-2</v>
      </c>
      <c r="M120" s="87">
        <f>I120/D120</f>
        <v>3.9630478110288372E-2</v>
      </c>
      <c r="N120" s="87">
        <f t="shared" ref="N120:N127" si="35">+J120/E120</f>
        <v>0.28010654193900514</v>
      </c>
      <c r="O120" s="68"/>
      <c r="P120" s="85">
        <f>IF(D120&gt;0,+D120-C120,0)</f>
        <v>214025752</v>
      </c>
      <c r="Q120" s="85">
        <f>IF(E120&gt;0,+E120-D120,0)</f>
        <v>-193057672</v>
      </c>
      <c r="R120" s="85">
        <f>IF(F120&gt;0,+F120-E120,0)</f>
        <v>-20581681</v>
      </c>
      <c r="S120" s="85">
        <f t="shared" si="23"/>
        <v>386399</v>
      </c>
      <c r="T120" s="89">
        <f t="shared" ref="T120:T127" si="36">IF(C120=0,0,+S120/C120)</f>
        <v>1.8269456264775415E-3</v>
      </c>
      <c r="U120" s="206"/>
      <c r="V120" s="208">
        <f t="shared" si="31"/>
        <v>-20581681</v>
      </c>
    </row>
    <row r="121" spans="1:22" x14ac:dyDescent="0.2">
      <c r="A121" s="14" t="s">
        <v>160</v>
      </c>
      <c r="B121" s="20" t="s">
        <v>161</v>
      </c>
      <c r="C121" s="73"/>
      <c r="D121" s="71"/>
      <c r="E121" s="71">
        <v>0</v>
      </c>
      <c r="F121" s="71">
        <v>1632000</v>
      </c>
      <c r="G121" s="71"/>
      <c r="H121" s="83"/>
      <c r="I121" s="83"/>
      <c r="J121" s="83">
        <v>1632000</v>
      </c>
      <c r="K121" s="71"/>
      <c r="L121" s="163"/>
      <c r="M121" s="164"/>
      <c r="N121" s="164" t="e">
        <f t="shared" si="35"/>
        <v>#DIV/0!</v>
      </c>
      <c r="O121" s="71"/>
      <c r="P121" s="83">
        <f t="shared" ref="P121:R127" si="37">+(D121-C121)*P$8</f>
        <v>0</v>
      </c>
      <c r="Q121" s="83">
        <f t="shared" si="37"/>
        <v>0</v>
      </c>
      <c r="R121" s="83">
        <f t="shared" si="37"/>
        <v>1632000</v>
      </c>
      <c r="S121" s="83">
        <f t="shared" si="23"/>
        <v>1632000</v>
      </c>
      <c r="T121" s="89">
        <f t="shared" si="36"/>
        <v>0</v>
      </c>
      <c r="U121" s="204"/>
      <c r="V121" s="208">
        <f t="shared" si="31"/>
        <v>1632000</v>
      </c>
    </row>
    <row r="122" spans="1:22" x14ac:dyDescent="0.2">
      <c r="A122" s="14" t="s">
        <v>162</v>
      </c>
      <c r="B122" s="20" t="s">
        <v>163</v>
      </c>
      <c r="C122" s="73">
        <v>211500000</v>
      </c>
      <c r="D122" s="73">
        <v>421581752</v>
      </c>
      <c r="E122" s="187">
        <v>183527936</v>
      </c>
      <c r="F122" s="71">
        <v>174873615</v>
      </c>
      <c r="G122" s="71"/>
      <c r="H122" s="83">
        <v>4536211</v>
      </c>
      <c r="I122" s="83">
        <v>8970961</v>
      </c>
      <c r="J122" s="83">
        <v>52929562</v>
      </c>
      <c r="K122" s="71"/>
      <c r="L122" s="163">
        <f>H122/C122</f>
        <v>2.1447806146572105E-2</v>
      </c>
      <c r="M122" s="164">
        <f>I122/D122</f>
        <v>2.1279291519240139E-2</v>
      </c>
      <c r="N122" s="164">
        <f t="shared" si="35"/>
        <v>0.28840057352358606</v>
      </c>
      <c r="O122" s="71"/>
      <c r="P122" s="83">
        <f t="shared" si="37"/>
        <v>210081752</v>
      </c>
      <c r="Q122" s="83">
        <f t="shared" si="37"/>
        <v>-238053816</v>
      </c>
      <c r="R122" s="83">
        <f t="shared" si="37"/>
        <v>-8654321</v>
      </c>
      <c r="S122" s="83">
        <f t="shared" si="23"/>
        <v>-36626385</v>
      </c>
      <c r="T122" s="89">
        <f t="shared" si="36"/>
        <v>-0.17317439716312058</v>
      </c>
      <c r="U122" s="204"/>
      <c r="V122" s="208">
        <f t="shared" si="31"/>
        <v>-8654321</v>
      </c>
    </row>
    <row r="123" spans="1:22" x14ac:dyDescent="0.2">
      <c r="B123" s="20" t="s">
        <v>164</v>
      </c>
      <c r="C123" s="73"/>
      <c r="D123" s="73"/>
      <c r="E123" s="71">
        <v>0</v>
      </c>
      <c r="F123" s="71"/>
      <c r="G123" s="71"/>
      <c r="H123" s="83"/>
      <c r="I123" s="83"/>
      <c r="J123" s="83"/>
      <c r="K123" s="71"/>
      <c r="L123" s="163"/>
      <c r="M123" s="164"/>
      <c r="N123" s="164" t="e">
        <f t="shared" si="35"/>
        <v>#DIV/0!</v>
      </c>
      <c r="O123" s="71"/>
      <c r="P123" s="83">
        <f t="shared" si="37"/>
        <v>0</v>
      </c>
      <c r="Q123" s="83">
        <f t="shared" si="37"/>
        <v>0</v>
      </c>
      <c r="R123" s="83">
        <f t="shared" si="37"/>
        <v>0</v>
      </c>
      <c r="S123" s="83">
        <f t="shared" si="23"/>
        <v>0</v>
      </c>
      <c r="T123" s="89">
        <f t="shared" si="36"/>
        <v>0</v>
      </c>
      <c r="U123" s="204"/>
      <c r="V123" s="208">
        <f t="shared" si="31"/>
        <v>0</v>
      </c>
    </row>
    <row r="124" spans="1:22" x14ac:dyDescent="0.2">
      <c r="A124" s="14" t="s">
        <v>165</v>
      </c>
      <c r="B124" s="20" t="s">
        <v>166</v>
      </c>
      <c r="C124" s="73">
        <v>0</v>
      </c>
      <c r="D124" s="73">
        <v>0</v>
      </c>
      <c r="E124" s="71">
        <v>0</v>
      </c>
      <c r="F124" s="71"/>
      <c r="G124" s="71"/>
      <c r="H124" s="83">
        <v>0</v>
      </c>
      <c r="I124" s="83">
        <v>0</v>
      </c>
      <c r="J124" s="83"/>
      <c r="K124" s="71"/>
      <c r="L124" s="163" t="e">
        <f t="shared" ref="L124:M127" si="38">H124/C124</f>
        <v>#DIV/0!</v>
      </c>
      <c r="M124" s="164" t="e">
        <f t="shared" si="38"/>
        <v>#DIV/0!</v>
      </c>
      <c r="N124" s="164" t="e">
        <f t="shared" si="35"/>
        <v>#DIV/0!</v>
      </c>
      <c r="O124" s="71"/>
      <c r="P124" s="83">
        <f t="shared" si="37"/>
        <v>0</v>
      </c>
      <c r="Q124" s="83">
        <f t="shared" si="37"/>
        <v>0</v>
      </c>
      <c r="R124" s="83">
        <f t="shared" si="37"/>
        <v>0</v>
      </c>
      <c r="S124" s="83">
        <f t="shared" si="23"/>
        <v>0</v>
      </c>
      <c r="T124" s="89">
        <f t="shared" si="36"/>
        <v>0</v>
      </c>
      <c r="U124" s="204"/>
      <c r="V124" s="208">
        <f t="shared" si="31"/>
        <v>0</v>
      </c>
    </row>
    <row r="125" spans="1:22" x14ac:dyDescent="0.2">
      <c r="A125" s="14" t="s">
        <v>167</v>
      </c>
      <c r="B125" s="20" t="s">
        <v>168</v>
      </c>
      <c r="C125" s="73">
        <v>0</v>
      </c>
      <c r="D125" s="73">
        <v>1955000</v>
      </c>
      <c r="E125" s="71">
        <v>5712000</v>
      </c>
      <c r="F125" s="71">
        <v>6712000</v>
      </c>
      <c r="G125" s="71"/>
      <c r="H125" s="83">
        <v>1299772</v>
      </c>
      <c r="I125" s="83">
        <v>5503861</v>
      </c>
      <c r="J125" s="83">
        <v>6433479</v>
      </c>
      <c r="K125" s="71"/>
      <c r="L125" s="163" t="e">
        <f t="shared" si="38"/>
        <v>#DIV/0!</v>
      </c>
      <c r="M125" s="164">
        <f t="shared" si="38"/>
        <v>2.8152741687979539</v>
      </c>
      <c r="N125" s="164">
        <f t="shared" si="35"/>
        <v>1.1263093487394957</v>
      </c>
      <c r="O125" s="71"/>
      <c r="P125" s="83">
        <f t="shared" si="37"/>
        <v>1955000</v>
      </c>
      <c r="Q125" s="83">
        <f t="shared" si="37"/>
        <v>3757000</v>
      </c>
      <c r="R125" s="83">
        <f t="shared" si="37"/>
        <v>1000000</v>
      </c>
      <c r="S125" s="83">
        <f t="shared" si="23"/>
        <v>6712000</v>
      </c>
      <c r="T125" s="89">
        <f t="shared" si="36"/>
        <v>0</v>
      </c>
      <c r="U125" s="204"/>
      <c r="V125" s="208">
        <f t="shared" si="31"/>
        <v>1000000</v>
      </c>
    </row>
    <row r="126" spans="1:22" x14ac:dyDescent="0.2">
      <c r="A126" s="14" t="s">
        <v>169</v>
      </c>
      <c r="B126" s="20" t="s">
        <v>170</v>
      </c>
      <c r="C126" s="73">
        <v>0</v>
      </c>
      <c r="D126" s="73">
        <v>1384000</v>
      </c>
      <c r="E126" s="71">
        <v>1384000</v>
      </c>
      <c r="F126" s="71">
        <v>1384000</v>
      </c>
      <c r="G126" s="71"/>
      <c r="H126" s="83">
        <v>691592</v>
      </c>
      <c r="I126" s="83">
        <v>922122</v>
      </c>
      <c r="J126" s="83">
        <v>1383182</v>
      </c>
      <c r="K126" s="71"/>
      <c r="L126" s="163" t="e">
        <f t="shared" si="38"/>
        <v>#DIV/0!</v>
      </c>
      <c r="M126" s="164">
        <f t="shared" si="38"/>
        <v>0.66627312138728323</v>
      </c>
      <c r="N126" s="164">
        <f t="shared" si="35"/>
        <v>0.99940895953757225</v>
      </c>
      <c r="O126" s="71"/>
      <c r="P126" s="83">
        <f t="shared" si="37"/>
        <v>1384000</v>
      </c>
      <c r="Q126" s="83">
        <f t="shared" si="37"/>
        <v>0</v>
      </c>
      <c r="R126" s="83">
        <f t="shared" si="37"/>
        <v>0</v>
      </c>
      <c r="S126" s="83">
        <f t="shared" si="23"/>
        <v>1384000</v>
      </c>
      <c r="T126" s="89">
        <f t="shared" si="36"/>
        <v>0</v>
      </c>
      <c r="U126" s="204"/>
      <c r="V126" s="208">
        <f t="shared" si="31"/>
        <v>0</v>
      </c>
    </row>
    <row r="127" spans="1:22" x14ac:dyDescent="0.2">
      <c r="A127" s="14" t="s">
        <v>171</v>
      </c>
      <c r="B127" s="20" t="s">
        <v>172</v>
      </c>
      <c r="C127" s="73"/>
      <c r="D127" s="71">
        <v>605000</v>
      </c>
      <c r="E127" s="71">
        <v>41844144</v>
      </c>
      <c r="F127" s="71">
        <v>27284784</v>
      </c>
      <c r="G127" s="71"/>
      <c r="H127" s="83">
        <v>556138</v>
      </c>
      <c r="I127" s="83">
        <v>1466845</v>
      </c>
      <c r="J127" s="83">
        <v>2737607</v>
      </c>
      <c r="K127" s="71"/>
      <c r="L127" s="163"/>
      <c r="M127" s="164">
        <f t="shared" si="38"/>
        <v>2.4245371900826447</v>
      </c>
      <c r="N127" s="164">
        <f t="shared" si="35"/>
        <v>6.5423897786031901E-2</v>
      </c>
      <c r="O127" s="71"/>
      <c r="P127" s="83">
        <f t="shared" si="37"/>
        <v>605000</v>
      </c>
      <c r="Q127" s="83">
        <f t="shared" si="37"/>
        <v>41239144</v>
      </c>
      <c r="R127" s="83">
        <f t="shared" si="37"/>
        <v>-14559360</v>
      </c>
      <c r="S127" s="83">
        <f t="shared" si="23"/>
        <v>27284784</v>
      </c>
      <c r="T127" s="89">
        <f t="shared" si="36"/>
        <v>0</v>
      </c>
      <c r="U127" s="204"/>
      <c r="V127" s="208">
        <f t="shared" si="31"/>
        <v>-14559360</v>
      </c>
    </row>
    <row r="128" spans="1:22" x14ac:dyDescent="0.2">
      <c r="C128" s="73"/>
      <c r="D128" s="71"/>
      <c r="E128" s="71"/>
      <c r="F128" s="71"/>
      <c r="G128" s="71"/>
      <c r="H128" s="83"/>
      <c r="I128" s="83"/>
      <c r="J128" s="83"/>
      <c r="K128" s="71"/>
      <c r="L128" s="163"/>
      <c r="M128" s="164"/>
      <c r="N128" s="164"/>
      <c r="O128" s="71"/>
      <c r="P128" s="83"/>
      <c r="Q128" s="83"/>
      <c r="R128" s="83"/>
      <c r="S128" s="83"/>
      <c r="T128" s="89"/>
      <c r="U128" s="204"/>
      <c r="V128" s="208">
        <f t="shared" si="31"/>
        <v>0</v>
      </c>
    </row>
    <row r="129" spans="1:22" x14ac:dyDescent="0.2">
      <c r="A129" s="4" t="s">
        <v>173</v>
      </c>
      <c r="B129" s="3" t="s">
        <v>174</v>
      </c>
      <c r="C129" s="68">
        <f>SUM(C130:C134)</f>
        <v>108480000</v>
      </c>
      <c r="D129" s="68">
        <f>SUM(D130:D134)</f>
        <v>296686866</v>
      </c>
      <c r="E129" s="68">
        <f t="shared" ref="E129:F129" si="39">SUM(E130:E133)</f>
        <v>606662415</v>
      </c>
      <c r="F129" s="68">
        <f t="shared" si="39"/>
        <v>599031351</v>
      </c>
      <c r="G129" s="68"/>
      <c r="H129" s="85">
        <f>SUM(H130:H134)</f>
        <v>3723918</v>
      </c>
      <c r="I129" s="85">
        <f>SUM(I130:I133)</f>
        <v>167101844</v>
      </c>
      <c r="J129" s="85">
        <f>SUM(J130:J133)</f>
        <v>376257702</v>
      </c>
      <c r="K129" s="68"/>
      <c r="L129" s="91">
        <f>H129/C129</f>
        <v>3.4328152654867258E-2</v>
      </c>
      <c r="M129" s="87">
        <f>I129/D129</f>
        <v>0.56322629394723522</v>
      </c>
      <c r="N129" s="87">
        <f>+J129/E129</f>
        <v>0.62020934987376797</v>
      </c>
      <c r="O129" s="68"/>
      <c r="P129" s="85">
        <f>IF(D129&gt;0,+D129-C129,0)</f>
        <v>188206866</v>
      </c>
      <c r="Q129" s="85">
        <f>IF(E129&gt;0,+E129-D129,0)</f>
        <v>309975549</v>
      </c>
      <c r="R129" s="85">
        <f>IF(F129&gt;0,+F129-E129,0)</f>
        <v>-7631064</v>
      </c>
      <c r="S129" s="85">
        <f t="shared" si="23"/>
        <v>490551351</v>
      </c>
      <c r="T129" s="89">
        <f>IF(C129=0,0,+S129/C129)</f>
        <v>4.5220441648230087</v>
      </c>
      <c r="U129" s="206"/>
      <c r="V129" s="208">
        <f t="shared" si="31"/>
        <v>-7631064</v>
      </c>
    </row>
    <row r="130" spans="1:22" x14ac:dyDescent="0.2">
      <c r="A130" s="14" t="s">
        <v>175</v>
      </c>
      <c r="B130" s="20" t="s">
        <v>176</v>
      </c>
      <c r="C130" s="73">
        <v>108480000</v>
      </c>
      <c r="D130" s="71">
        <v>286222866</v>
      </c>
      <c r="E130" s="150">
        <v>477686942</v>
      </c>
      <c r="F130" s="71">
        <v>470055878</v>
      </c>
      <c r="G130" s="71"/>
      <c r="H130" s="83">
        <v>2932220</v>
      </c>
      <c r="I130" s="83">
        <v>131586886</v>
      </c>
      <c r="J130" s="83">
        <v>296265910</v>
      </c>
      <c r="K130" s="71"/>
      <c r="L130" s="163">
        <f>H130/C130</f>
        <v>2.703005162241888E-2</v>
      </c>
      <c r="M130" s="164">
        <f>I130/D130</f>
        <v>0.45973575710055253</v>
      </c>
      <c r="N130" s="164">
        <f>+J130/E130</f>
        <v>0.62020935460278925</v>
      </c>
      <c r="O130" s="71"/>
      <c r="P130" s="83">
        <f t="shared" ref="P130:R133" si="40">+(D130-C130)*P$8</f>
        <v>177742866</v>
      </c>
      <c r="Q130" s="83">
        <f t="shared" si="40"/>
        <v>191464076</v>
      </c>
      <c r="R130" s="83">
        <f t="shared" si="40"/>
        <v>-7631064</v>
      </c>
      <c r="S130" s="83">
        <f t="shared" si="23"/>
        <v>361575878</v>
      </c>
      <c r="T130" s="89">
        <f>IF(C130=0,0,+S130/C130)</f>
        <v>3.3331109697640118</v>
      </c>
      <c r="U130" s="204"/>
      <c r="V130" s="208">
        <f t="shared" si="31"/>
        <v>-7631064</v>
      </c>
    </row>
    <row r="131" spans="1:22" x14ac:dyDescent="0.2">
      <c r="A131" s="14" t="s">
        <v>177</v>
      </c>
      <c r="B131" s="20" t="s">
        <v>178</v>
      </c>
      <c r="C131" s="73"/>
      <c r="D131" s="71"/>
      <c r="E131" s="71"/>
      <c r="F131" s="71"/>
      <c r="G131" s="71"/>
      <c r="H131" s="83"/>
      <c r="I131" s="83"/>
      <c r="J131" s="83"/>
      <c r="K131" s="71"/>
      <c r="L131" s="163"/>
      <c r="M131" s="164"/>
      <c r="N131" s="164" t="e">
        <f>+J131/E131</f>
        <v>#DIV/0!</v>
      </c>
      <c r="O131" s="71"/>
      <c r="P131" s="83">
        <f t="shared" si="40"/>
        <v>0</v>
      </c>
      <c r="Q131" s="83">
        <f t="shared" si="40"/>
        <v>0</v>
      </c>
      <c r="R131" s="83">
        <f t="shared" si="40"/>
        <v>0</v>
      </c>
      <c r="S131" s="83">
        <f t="shared" si="23"/>
        <v>0</v>
      </c>
      <c r="T131" s="89">
        <f>IF(C131=0,0,+S131/C131)</f>
        <v>0</v>
      </c>
      <c r="U131" s="204"/>
      <c r="V131" s="208">
        <f t="shared" si="31"/>
        <v>0</v>
      </c>
    </row>
    <row r="132" spans="1:22" x14ac:dyDescent="0.2">
      <c r="A132" s="14" t="s">
        <v>179</v>
      </c>
      <c r="B132" s="20" t="s">
        <v>180</v>
      </c>
      <c r="C132" s="73">
        <v>0</v>
      </c>
      <c r="D132" s="71">
        <v>0</v>
      </c>
      <c r="E132" s="71">
        <v>0</v>
      </c>
      <c r="F132" s="71"/>
      <c r="G132" s="71"/>
      <c r="H132" s="83">
        <v>0</v>
      </c>
      <c r="I132" s="83"/>
      <c r="J132" s="83"/>
      <c r="K132" s="71"/>
      <c r="L132" s="163" t="e">
        <f>H132/C132</f>
        <v>#DIV/0!</v>
      </c>
      <c r="M132" s="164" t="e">
        <f>I132/D132</f>
        <v>#DIV/0!</v>
      </c>
      <c r="N132" s="164" t="e">
        <f>+J132/E132</f>
        <v>#DIV/0!</v>
      </c>
      <c r="O132" s="71"/>
      <c r="P132" s="83">
        <f t="shared" si="40"/>
        <v>0</v>
      </c>
      <c r="Q132" s="83">
        <f t="shared" si="40"/>
        <v>0</v>
      </c>
      <c r="R132" s="83">
        <f t="shared" si="40"/>
        <v>0</v>
      </c>
      <c r="S132" s="83">
        <f t="shared" si="23"/>
        <v>0</v>
      </c>
      <c r="T132" s="89">
        <f>IF(C132=0,0,+S132/C132)</f>
        <v>0</v>
      </c>
      <c r="U132" s="204"/>
      <c r="V132" s="208">
        <f t="shared" si="31"/>
        <v>0</v>
      </c>
    </row>
    <row r="133" spans="1:22" x14ac:dyDescent="0.2">
      <c r="A133" s="14" t="s">
        <v>181</v>
      </c>
      <c r="B133" s="20" t="s">
        <v>182</v>
      </c>
      <c r="C133" s="73"/>
      <c r="D133" s="71">
        <v>10464000</v>
      </c>
      <c r="E133" s="71">
        <v>128975473</v>
      </c>
      <c r="F133" s="71">
        <v>128975473</v>
      </c>
      <c r="G133" s="71"/>
      <c r="H133" s="83">
        <v>791698</v>
      </c>
      <c r="I133" s="83">
        <v>35514958</v>
      </c>
      <c r="J133" s="83">
        <v>79991792</v>
      </c>
      <c r="K133" s="71"/>
      <c r="L133" s="163"/>
      <c r="M133" s="164"/>
      <c r="N133" s="164">
        <f>+J133/E133</f>
        <v>0.62020933235887421</v>
      </c>
      <c r="O133" s="71"/>
      <c r="P133" s="83">
        <f t="shared" si="40"/>
        <v>10464000</v>
      </c>
      <c r="Q133" s="83">
        <f t="shared" si="40"/>
        <v>118511473</v>
      </c>
      <c r="R133" s="83">
        <f t="shared" si="40"/>
        <v>0</v>
      </c>
      <c r="S133" s="83">
        <f t="shared" si="23"/>
        <v>128975473</v>
      </c>
      <c r="T133" s="89">
        <f>IF(C133=0,0,+S133/C133)</f>
        <v>0</v>
      </c>
      <c r="U133" s="204"/>
      <c r="V133" s="208">
        <f t="shared" si="31"/>
        <v>0</v>
      </c>
    </row>
    <row r="134" spans="1:22" x14ac:dyDescent="0.2">
      <c r="C134" s="73"/>
      <c r="D134" s="71"/>
      <c r="E134" s="71"/>
      <c r="F134" s="71"/>
      <c r="G134" s="71"/>
      <c r="H134" s="83"/>
      <c r="I134" s="83"/>
      <c r="J134" s="83"/>
      <c r="K134" s="71"/>
      <c r="L134" s="163"/>
      <c r="M134" s="164"/>
      <c r="N134" s="164"/>
      <c r="O134" s="71"/>
      <c r="P134" s="83"/>
      <c r="Q134" s="83"/>
      <c r="R134" s="83"/>
      <c r="S134" s="83"/>
      <c r="T134" s="89"/>
      <c r="U134" s="204"/>
      <c r="V134" s="208">
        <f t="shared" si="31"/>
        <v>0</v>
      </c>
    </row>
    <row r="135" spans="1:22" x14ac:dyDescent="0.2">
      <c r="A135" s="4" t="s">
        <v>183</v>
      </c>
      <c r="B135" s="3" t="s">
        <v>184</v>
      </c>
      <c r="C135" s="68"/>
      <c r="D135" s="68">
        <f>SUM(D136:D143)</f>
        <v>0</v>
      </c>
      <c r="E135" s="68">
        <f>SUM(E136:E143)</f>
        <v>15000000</v>
      </c>
      <c r="F135" s="68">
        <f>SUM(F136:F143)</f>
        <v>15000000</v>
      </c>
      <c r="G135" s="74"/>
      <c r="H135" s="85">
        <f>SUM(H136:H143)</f>
        <v>0</v>
      </c>
      <c r="I135" s="85">
        <f>SUM(I136:I143)</f>
        <v>15000000</v>
      </c>
      <c r="J135" s="85">
        <f>SUM(J136:J143)</f>
        <v>15000000</v>
      </c>
      <c r="K135" s="74"/>
      <c r="L135" s="91"/>
      <c r="M135" s="87"/>
      <c r="N135" s="87">
        <f t="shared" ref="N135:N143" si="41">+J135/E135</f>
        <v>1</v>
      </c>
      <c r="O135" s="74"/>
      <c r="P135" s="85">
        <f>IF(D135&gt;0,+D135-C135,0)</f>
        <v>0</v>
      </c>
      <c r="Q135" s="85">
        <f>IF(E135&gt;0,+E135-D135,0)</f>
        <v>15000000</v>
      </c>
      <c r="R135" s="85">
        <f>IF(F135&gt;0,+F135-E135,0)</f>
        <v>0</v>
      </c>
      <c r="S135" s="85">
        <f t="shared" si="23"/>
        <v>15000000</v>
      </c>
      <c r="T135" s="89">
        <f t="shared" ref="T135:T143" si="42">IF(C135=0,0,+S135/C135)</f>
        <v>0</v>
      </c>
      <c r="U135" s="207"/>
      <c r="V135" s="208">
        <f t="shared" si="31"/>
        <v>0</v>
      </c>
    </row>
    <row r="136" spans="1:22" ht="25.5" x14ac:dyDescent="0.2">
      <c r="A136" s="14" t="s">
        <v>185</v>
      </c>
      <c r="B136" s="20" t="s">
        <v>186</v>
      </c>
      <c r="C136" s="73"/>
      <c r="D136" s="71"/>
      <c r="E136" s="71">
        <v>0</v>
      </c>
      <c r="F136" s="71"/>
      <c r="G136" s="71"/>
      <c r="H136" s="83"/>
      <c r="I136" s="83"/>
      <c r="J136" s="83"/>
      <c r="K136" s="71"/>
      <c r="L136" s="163"/>
      <c r="M136" s="164"/>
      <c r="N136" s="164" t="e">
        <f t="shared" si="41"/>
        <v>#DIV/0!</v>
      </c>
      <c r="O136" s="71"/>
      <c r="P136" s="83">
        <f t="shared" ref="P136:R143" si="43">+(D136-C136)*P$8</f>
        <v>0</v>
      </c>
      <c r="Q136" s="83">
        <f t="shared" si="43"/>
        <v>0</v>
      </c>
      <c r="R136" s="83">
        <f t="shared" si="43"/>
        <v>0</v>
      </c>
      <c r="S136" s="83">
        <f t="shared" si="23"/>
        <v>0</v>
      </c>
      <c r="T136" s="89">
        <f t="shared" si="42"/>
        <v>0</v>
      </c>
      <c r="U136" s="204"/>
      <c r="V136" s="208">
        <f t="shared" si="31"/>
        <v>0</v>
      </c>
    </row>
    <row r="137" spans="1:22" ht="25.5" x14ac:dyDescent="0.2">
      <c r="A137" s="14" t="s">
        <v>187</v>
      </c>
      <c r="B137" s="20" t="s">
        <v>188</v>
      </c>
      <c r="C137" s="73"/>
      <c r="D137" s="71"/>
      <c r="E137" s="71">
        <v>0</v>
      </c>
      <c r="F137" s="71"/>
      <c r="G137" s="71"/>
      <c r="H137" s="83"/>
      <c r="I137" s="83"/>
      <c r="J137" s="83"/>
      <c r="K137" s="71"/>
      <c r="L137" s="163"/>
      <c r="M137" s="164"/>
      <c r="N137" s="164" t="e">
        <f t="shared" si="41"/>
        <v>#DIV/0!</v>
      </c>
      <c r="O137" s="71"/>
      <c r="P137" s="83">
        <f t="shared" si="43"/>
        <v>0</v>
      </c>
      <c r="Q137" s="83">
        <f t="shared" si="43"/>
        <v>0</v>
      </c>
      <c r="R137" s="83">
        <f t="shared" si="43"/>
        <v>0</v>
      </c>
      <c r="S137" s="83">
        <f t="shared" si="23"/>
        <v>0</v>
      </c>
      <c r="T137" s="89">
        <f t="shared" si="42"/>
        <v>0</v>
      </c>
      <c r="U137" s="204"/>
      <c r="V137" s="208">
        <f t="shared" si="31"/>
        <v>0</v>
      </c>
    </row>
    <row r="138" spans="1:22" ht="25.5" x14ac:dyDescent="0.2">
      <c r="A138" s="14" t="s">
        <v>189</v>
      </c>
      <c r="B138" s="20" t="s">
        <v>190</v>
      </c>
      <c r="C138" s="73"/>
      <c r="D138" s="71"/>
      <c r="E138" s="71">
        <v>0</v>
      </c>
      <c r="F138" s="71"/>
      <c r="G138" s="71"/>
      <c r="H138" s="83"/>
      <c r="I138" s="83"/>
      <c r="J138" s="83"/>
      <c r="K138" s="71"/>
      <c r="L138" s="163"/>
      <c r="M138" s="164"/>
      <c r="N138" s="164" t="e">
        <f t="shared" si="41"/>
        <v>#DIV/0!</v>
      </c>
      <c r="O138" s="71"/>
      <c r="P138" s="83">
        <f t="shared" si="43"/>
        <v>0</v>
      </c>
      <c r="Q138" s="83">
        <f t="shared" si="43"/>
        <v>0</v>
      </c>
      <c r="R138" s="83">
        <f t="shared" si="43"/>
        <v>0</v>
      </c>
      <c r="S138" s="83">
        <f t="shared" si="23"/>
        <v>0</v>
      </c>
      <c r="T138" s="89">
        <f t="shared" si="42"/>
        <v>0</v>
      </c>
      <c r="U138" s="204"/>
      <c r="V138" s="208">
        <f t="shared" ref="V138:V168" si="44">+S138-E138+C138</f>
        <v>0</v>
      </c>
    </row>
    <row r="139" spans="1:22" ht="25.5" x14ac:dyDescent="0.2">
      <c r="A139" s="14" t="s">
        <v>191</v>
      </c>
      <c r="B139" s="20" t="s">
        <v>192</v>
      </c>
      <c r="C139" s="73"/>
      <c r="D139" s="71"/>
      <c r="E139" s="71">
        <v>0</v>
      </c>
      <c r="F139" s="71"/>
      <c r="G139" s="71"/>
      <c r="H139" s="83"/>
      <c r="I139" s="83"/>
      <c r="J139" s="83"/>
      <c r="K139" s="71"/>
      <c r="L139" s="163"/>
      <c r="M139" s="164"/>
      <c r="N139" s="164" t="e">
        <f t="shared" si="41"/>
        <v>#DIV/0!</v>
      </c>
      <c r="O139" s="71"/>
      <c r="P139" s="83">
        <f t="shared" si="43"/>
        <v>0</v>
      </c>
      <c r="Q139" s="83">
        <f t="shared" si="43"/>
        <v>0</v>
      </c>
      <c r="R139" s="83">
        <f t="shared" si="43"/>
        <v>0</v>
      </c>
      <c r="S139" s="83">
        <f t="shared" si="23"/>
        <v>0</v>
      </c>
      <c r="T139" s="89">
        <f t="shared" si="42"/>
        <v>0</v>
      </c>
      <c r="U139" s="204"/>
      <c r="V139" s="208">
        <f t="shared" si="44"/>
        <v>0</v>
      </c>
    </row>
    <row r="140" spans="1:22" ht="25.5" x14ac:dyDescent="0.2">
      <c r="A140" s="14" t="s">
        <v>193</v>
      </c>
      <c r="B140" s="20" t="s">
        <v>194</v>
      </c>
      <c r="C140" s="73"/>
      <c r="D140" s="71">
        <v>0</v>
      </c>
      <c r="E140" s="71">
        <v>0</v>
      </c>
      <c r="F140" s="71"/>
      <c r="G140" s="71"/>
      <c r="H140" s="83">
        <v>0</v>
      </c>
      <c r="I140" s="83">
        <v>0</v>
      </c>
      <c r="J140" s="83"/>
      <c r="K140" s="71"/>
      <c r="L140" s="163"/>
      <c r="M140" s="164"/>
      <c r="N140" s="164" t="e">
        <f t="shared" si="41"/>
        <v>#DIV/0!</v>
      </c>
      <c r="O140" s="71"/>
      <c r="P140" s="83">
        <f t="shared" si="43"/>
        <v>0</v>
      </c>
      <c r="Q140" s="83">
        <f t="shared" si="43"/>
        <v>0</v>
      </c>
      <c r="R140" s="83">
        <f t="shared" si="43"/>
        <v>0</v>
      </c>
      <c r="S140" s="83">
        <f t="shared" si="23"/>
        <v>0</v>
      </c>
      <c r="T140" s="89">
        <f t="shared" si="42"/>
        <v>0</v>
      </c>
      <c r="U140" s="204"/>
      <c r="V140" s="208">
        <f t="shared" si="44"/>
        <v>0</v>
      </c>
    </row>
    <row r="141" spans="1:22" ht="25.5" x14ac:dyDescent="0.2">
      <c r="A141" s="14" t="s">
        <v>195</v>
      </c>
      <c r="B141" s="20" t="s">
        <v>196</v>
      </c>
      <c r="C141" s="73"/>
      <c r="D141" s="71"/>
      <c r="E141" s="71">
        <v>15000000</v>
      </c>
      <c r="F141" s="71">
        <v>15000000</v>
      </c>
      <c r="G141" s="71"/>
      <c r="H141" s="83"/>
      <c r="I141" s="83">
        <v>15000000</v>
      </c>
      <c r="J141" s="83">
        <v>15000000</v>
      </c>
      <c r="K141" s="71"/>
      <c r="L141" s="163"/>
      <c r="M141" s="164"/>
      <c r="N141" s="164">
        <f t="shared" si="41"/>
        <v>1</v>
      </c>
      <c r="O141" s="71"/>
      <c r="P141" s="83">
        <f t="shared" si="43"/>
        <v>0</v>
      </c>
      <c r="Q141" s="83">
        <f t="shared" si="43"/>
        <v>15000000</v>
      </c>
      <c r="R141" s="83">
        <f t="shared" si="43"/>
        <v>0</v>
      </c>
      <c r="S141" s="83">
        <f t="shared" si="23"/>
        <v>15000000</v>
      </c>
      <c r="T141" s="89">
        <f t="shared" si="42"/>
        <v>0</v>
      </c>
      <c r="U141" s="204"/>
      <c r="V141" s="208">
        <f t="shared" si="44"/>
        <v>0</v>
      </c>
    </row>
    <row r="142" spans="1:22" x14ac:dyDescent="0.2">
      <c r="A142" s="14" t="s">
        <v>197</v>
      </c>
      <c r="B142" s="20" t="s">
        <v>198</v>
      </c>
      <c r="C142" s="73"/>
      <c r="D142" s="71"/>
      <c r="E142" s="71">
        <v>0</v>
      </c>
      <c r="F142" s="71"/>
      <c r="G142" s="71"/>
      <c r="H142" s="83"/>
      <c r="I142" s="83"/>
      <c r="J142" s="83"/>
      <c r="K142" s="71"/>
      <c r="L142" s="163"/>
      <c r="M142" s="164"/>
      <c r="N142" s="164" t="e">
        <f t="shared" si="41"/>
        <v>#DIV/0!</v>
      </c>
      <c r="O142" s="71"/>
      <c r="P142" s="83">
        <f t="shared" si="43"/>
        <v>0</v>
      </c>
      <c r="Q142" s="83">
        <f t="shared" si="43"/>
        <v>0</v>
      </c>
      <c r="R142" s="83">
        <f t="shared" si="43"/>
        <v>0</v>
      </c>
      <c r="S142" s="83">
        <f t="shared" si="23"/>
        <v>0</v>
      </c>
      <c r="T142" s="89">
        <f t="shared" si="42"/>
        <v>0</v>
      </c>
      <c r="U142" s="204"/>
      <c r="V142" s="208">
        <f t="shared" si="44"/>
        <v>0</v>
      </c>
    </row>
    <row r="143" spans="1:22" ht="25.5" x14ac:dyDescent="0.2">
      <c r="A143" s="14" t="s">
        <v>199</v>
      </c>
      <c r="B143" s="20" t="s">
        <v>200</v>
      </c>
      <c r="C143" s="73"/>
      <c r="D143" s="71"/>
      <c r="E143" s="71">
        <v>0</v>
      </c>
      <c r="F143" s="71"/>
      <c r="G143" s="71"/>
      <c r="H143" s="83"/>
      <c r="I143" s="83"/>
      <c r="J143" s="83"/>
      <c r="K143" s="71"/>
      <c r="L143" s="163"/>
      <c r="M143" s="164"/>
      <c r="N143" s="164" t="e">
        <f t="shared" si="41"/>
        <v>#DIV/0!</v>
      </c>
      <c r="O143" s="71"/>
      <c r="P143" s="83">
        <f t="shared" si="43"/>
        <v>0</v>
      </c>
      <c r="Q143" s="83">
        <f t="shared" si="43"/>
        <v>0</v>
      </c>
      <c r="R143" s="83">
        <f t="shared" si="43"/>
        <v>0</v>
      </c>
      <c r="S143" s="83">
        <f t="shared" si="23"/>
        <v>0</v>
      </c>
      <c r="T143" s="89">
        <f t="shared" si="42"/>
        <v>0</v>
      </c>
      <c r="U143" s="204"/>
      <c r="V143" s="208">
        <f t="shared" si="44"/>
        <v>0</v>
      </c>
    </row>
    <row r="144" spans="1:22" x14ac:dyDescent="0.2">
      <c r="C144" s="73"/>
      <c r="D144" s="71"/>
      <c r="E144" s="71"/>
      <c r="F144" s="71"/>
      <c r="G144" s="71"/>
      <c r="H144" s="83"/>
      <c r="I144" s="83"/>
      <c r="J144" s="83"/>
      <c r="K144" s="71"/>
      <c r="L144" s="163"/>
      <c r="M144" s="164"/>
      <c r="N144" s="164"/>
      <c r="O144" s="71"/>
      <c r="P144" s="83"/>
      <c r="Q144" s="83"/>
      <c r="R144" s="83"/>
      <c r="S144" s="83"/>
      <c r="T144" s="89"/>
      <c r="U144" s="204"/>
      <c r="V144" s="208">
        <f t="shared" si="44"/>
        <v>0</v>
      </c>
    </row>
    <row r="145" spans="1:22" x14ac:dyDescent="0.2">
      <c r="A145" s="4" t="s">
        <v>201</v>
      </c>
      <c r="B145" s="3" t="s">
        <v>202</v>
      </c>
      <c r="C145" s="68">
        <f>SUM(C146:C167)</f>
        <v>454166162</v>
      </c>
      <c r="D145" s="68">
        <f>SUM(D146:D167)</f>
        <v>474740182</v>
      </c>
      <c r="E145" s="68">
        <f t="shared" ref="E145:F145" si="45">SUM(E146:E166)</f>
        <v>476400182</v>
      </c>
      <c r="F145" s="68">
        <f t="shared" si="45"/>
        <v>485194019</v>
      </c>
      <c r="G145" s="68"/>
      <c r="H145" s="85">
        <f>SUM(H146:H167)</f>
        <v>254833995</v>
      </c>
      <c r="I145" s="85">
        <f>SUM(I146:I166)</f>
        <v>364039467</v>
      </c>
      <c r="J145" s="85">
        <f>SUM(J146:J166)</f>
        <v>474591152</v>
      </c>
      <c r="K145" s="68"/>
      <c r="L145" s="91">
        <f>H145/C145</f>
        <v>0.56110299780545958</v>
      </c>
      <c r="M145" s="87">
        <f>I145/D145</f>
        <v>0.76681831621322505</v>
      </c>
      <c r="N145" s="87">
        <f t="shared" ref="N145:N166" si="46">+J145/E145</f>
        <v>0.99620270925925047</v>
      </c>
      <c r="O145" s="68"/>
      <c r="P145" s="85">
        <f>IF(D145&gt;0,+D145-C145,0)</f>
        <v>20574020</v>
      </c>
      <c r="Q145" s="85">
        <f>IF(E145&gt;0,+E145-D145,0)</f>
        <v>1660000</v>
      </c>
      <c r="R145" s="85">
        <f>IF(F145&gt;0,+F145-E145,0)</f>
        <v>8793837</v>
      </c>
      <c r="S145" s="85">
        <f t="shared" ref="S145:S168" si="47">SUM(P145:R145)</f>
        <v>31027857</v>
      </c>
      <c r="T145" s="89">
        <f t="shared" ref="T145:T166" si="48">IF(C145=0,0,+S145/C145)</f>
        <v>6.8318293162492369E-2</v>
      </c>
      <c r="U145" s="206"/>
      <c r="V145" s="208">
        <f t="shared" si="44"/>
        <v>8793837</v>
      </c>
    </row>
    <row r="146" spans="1:22" x14ac:dyDescent="0.2">
      <c r="A146" s="14" t="s">
        <v>203</v>
      </c>
      <c r="B146" s="20" t="s">
        <v>204</v>
      </c>
      <c r="C146" s="73"/>
      <c r="D146" s="71"/>
      <c r="E146" s="71">
        <v>0</v>
      </c>
      <c r="F146" s="71"/>
      <c r="G146" s="71"/>
      <c r="H146" s="83"/>
      <c r="I146" s="83"/>
      <c r="J146" s="83"/>
      <c r="K146" s="71"/>
      <c r="L146" s="163"/>
      <c r="M146" s="164"/>
      <c r="N146" s="164" t="e">
        <f t="shared" si="46"/>
        <v>#DIV/0!</v>
      </c>
      <c r="O146" s="71"/>
      <c r="P146" s="83">
        <f t="shared" ref="P146:P166" si="49">+(D146-C146)*P$8</f>
        <v>0</v>
      </c>
      <c r="Q146" s="83">
        <f t="shared" ref="Q146:Q166" si="50">+(E146-D146)*Q$8</f>
        <v>0</v>
      </c>
      <c r="R146" s="83">
        <f t="shared" ref="R146:R166" si="51">+(F146-E146)*R$8</f>
        <v>0</v>
      </c>
      <c r="S146" s="83">
        <f t="shared" si="47"/>
        <v>0</v>
      </c>
      <c r="T146" s="89">
        <f t="shared" si="48"/>
        <v>0</v>
      </c>
      <c r="U146" s="204"/>
      <c r="V146" s="208">
        <f t="shared" si="44"/>
        <v>0</v>
      </c>
    </row>
    <row r="147" spans="1:22" x14ac:dyDescent="0.2">
      <c r="A147" s="14" t="s">
        <v>205</v>
      </c>
      <c r="B147" s="20" t="s">
        <v>206</v>
      </c>
      <c r="C147" s="73">
        <v>0</v>
      </c>
      <c r="D147" s="71">
        <v>0</v>
      </c>
      <c r="E147" s="71">
        <v>0</v>
      </c>
      <c r="F147" s="71"/>
      <c r="G147" s="71"/>
      <c r="H147" s="83"/>
      <c r="I147" s="83"/>
      <c r="J147" s="83"/>
      <c r="K147" s="71"/>
      <c r="L147" s="163"/>
      <c r="M147" s="164"/>
      <c r="N147" s="164" t="e">
        <f t="shared" si="46"/>
        <v>#DIV/0!</v>
      </c>
      <c r="O147" s="71"/>
      <c r="P147" s="83">
        <f t="shared" si="49"/>
        <v>0</v>
      </c>
      <c r="Q147" s="83">
        <f t="shared" si="50"/>
        <v>0</v>
      </c>
      <c r="R147" s="83">
        <f t="shared" si="51"/>
        <v>0</v>
      </c>
      <c r="S147" s="83">
        <f t="shared" si="47"/>
        <v>0</v>
      </c>
      <c r="T147" s="89">
        <f t="shared" si="48"/>
        <v>0</v>
      </c>
      <c r="U147" s="204"/>
      <c r="V147" s="208">
        <f t="shared" si="44"/>
        <v>0</v>
      </c>
    </row>
    <row r="148" spans="1:22" x14ac:dyDescent="0.2">
      <c r="A148" s="14" t="s">
        <v>207</v>
      </c>
      <c r="B148" s="20" t="s">
        <v>208</v>
      </c>
      <c r="C148" s="73"/>
      <c r="D148" s="71"/>
      <c r="E148" s="71">
        <v>0</v>
      </c>
      <c r="F148" s="71"/>
      <c r="G148" s="71"/>
      <c r="H148" s="83"/>
      <c r="I148" s="83"/>
      <c r="J148" s="83"/>
      <c r="K148" s="71"/>
      <c r="L148" s="163"/>
      <c r="M148" s="164"/>
      <c r="N148" s="164" t="e">
        <f t="shared" si="46"/>
        <v>#DIV/0!</v>
      </c>
      <c r="O148" s="71"/>
      <c r="P148" s="83">
        <f t="shared" si="49"/>
        <v>0</v>
      </c>
      <c r="Q148" s="83">
        <f t="shared" si="50"/>
        <v>0</v>
      </c>
      <c r="R148" s="83">
        <f t="shared" si="51"/>
        <v>0</v>
      </c>
      <c r="S148" s="83">
        <f t="shared" si="47"/>
        <v>0</v>
      </c>
      <c r="T148" s="89">
        <f t="shared" si="48"/>
        <v>0</v>
      </c>
      <c r="U148" s="204"/>
      <c r="V148" s="208">
        <f t="shared" si="44"/>
        <v>0</v>
      </c>
    </row>
    <row r="149" spans="1:22" ht="25.5" x14ac:dyDescent="0.2">
      <c r="A149" s="14" t="s">
        <v>209</v>
      </c>
      <c r="B149" s="20" t="s">
        <v>210</v>
      </c>
      <c r="C149" s="73"/>
      <c r="D149" s="71"/>
      <c r="E149" s="71">
        <v>0</v>
      </c>
      <c r="F149" s="71"/>
      <c r="G149" s="71"/>
      <c r="H149" s="83"/>
      <c r="I149" s="83"/>
      <c r="J149" s="83"/>
      <c r="K149" s="71"/>
      <c r="L149" s="163"/>
      <c r="M149" s="164"/>
      <c r="N149" s="164" t="e">
        <f t="shared" si="46"/>
        <v>#DIV/0!</v>
      </c>
      <c r="O149" s="71"/>
      <c r="P149" s="83">
        <f t="shared" si="49"/>
        <v>0</v>
      </c>
      <c r="Q149" s="83">
        <f t="shared" si="50"/>
        <v>0</v>
      </c>
      <c r="R149" s="83">
        <f t="shared" si="51"/>
        <v>0</v>
      </c>
      <c r="S149" s="83">
        <f t="shared" si="47"/>
        <v>0</v>
      </c>
      <c r="T149" s="89">
        <f t="shared" si="48"/>
        <v>0</v>
      </c>
      <c r="U149" s="204"/>
      <c r="V149" s="208">
        <f t="shared" si="44"/>
        <v>0</v>
      </c>
    </row>
    <row r="150" spans="1:22" ht="25.5" x14ac:dyDescent="0.2">
      <c r="B150" s="20" t="s">
        <v>211</v>
      </c>
      <c r="C150" s="73"/>
      <c r="D150" s="71"/>
      <c r="E150" s="71">
        <v>0</v>
      </c>
      <c r="F150" s="71"/>
      <c r="G150" s="71"/>
      <c r="H150" s="83"/>
      <c r="I150" s="83"/>
      <c r="J150" s="83"/>
      <c r="K150" s="71"/>
      <c r="L150" s="163"/>
      <c r="M150" s="164"/>
      <c r="N150" s="164" t="e">
        <f t="shared" si="46"/>
        <v>#DIV/0!</v>
      </c>
      <c r="O150" s="71"/>
      <c r="P150" s="83">
        <f t="shared" si="49"/>
        <v>0</v>
      </c>
      <c r="Q150" s="83">
        <f t="shared" si="50"/>
        <v>0</v>
      </c>
      <c r="R150" s="83">
        <f t="shared" si="51"/>
        <v>0</v>
      </c>
      <c r="S150" s="83">
        <f t="shared" si="47"/>
        <v>0</v>
      </c>
      <c r="T150" s="89">
        <f t="shared" si="48"/>
        <v>0</v>
      </c>
      <c r="U150" s="204"/>
      <c r="V150" s="208">
        <f t="shared" si="44"/>
        <v>0</v>
      </c>
    </row>
    <row r="151" spans="1:22" x14ac:dyDescent="0.2">
      <c r="A151" s="14" t="s">
        <v>212</v>
      </c>
      <c r="B151" s="20" t="s">
        <v>213</v>
      </c>
      <c r="C151" s="73"/>
      <c r="D151" s="71"/>
      <c r="E151" s="71">
        <v>0</v>
      </c>
      <c r="F151" s="71"/>
      <c r="G151" s="71"/>
      <c r="H151" s="83">
        <v>0</v>
      </c>
      <c r="I151" s="83"/>
      <c r="J151" s="83"/>
      <c r="K151" s="71"/>
      <c r="L151" s="163"/>
      <c r="M151" s="164"/>
      <c r="N151" s="164" t="e">
        <f t="shared" si="46"/>
        <v>#DIV/0!</v>
      </c>
      <c r="O151" s="71"/>
      <c r="P151" s="83">
        <f t="shared" si="49"/>
        <v>0</v>
      </c>
      <c r="Q151" s="83">
        <f t="shared" si="50"/>
        <v>0</v>
      </c>
      <c r="R151" s="83">
        <f t="shared" si="51"/>
        <v>0</v>
      </c>
      <c r="S151" s="83">
        <f t="shared" si="47"/>
        <v>0</v>
      </c>
      <c r="T151" s="89">
        <f t="shared" si="48"/>
        <v>0</v>
      </c>
      <c r="U151" s="204"/>
      <c r="V151" s="208">
        <f t="shared" si="44"/>
        <v>0</v>
      </c>
    </row>
    <row r="152" spans="1:22" ht="25.5" x14ac:dyDescent="0.2">
      <c r="B152" s="20" t="s">
        <v>214</v>
      </c>
      <c r="C152" s="73"/>
      <c r="D152" s="71"/>
      <c r="E152" s="71">
        <v>0</v>
      </c>
      <c r="F152" s="71"/>
      <c r="G152" s="71"/>
      <c r="H152" s="83"/>
      <c r="I152" s="83"/>
      <c r="J152" s="83"/>
      <c r="K152" s="71"/>
      <c r="L152" s="163"/>
      <c r="M152" s="164"/>
      <c r="N152" s="164" t="e">
        <f t="shared" si="46"/>
        <v>#DIV/0!</v>
      </c>
      <c r="O152" s="71"/>
      <c r="P152" s="83">
        <f t="shared" si="49"/>
        <v>0</v>
      </c>
      <c r="Q152" s="83">
        <f t="shared" si="50"/>
        <v>0</v>
      </c>
      <c r="R152" s="83">
        <f t="shared" si="51"/>
        <v>0</v>
      </c>
      <c r="S152" s="83">
        <f t="shared" si="47"/>
        <v>0</v>
      </c>
      <c r="T152" s="89">
        <f t="shared" si="48"/>
        <v>0</v>
      </c>
      <c r="U152" s="204"/>
      <c r="V152" s="208">
        <f t="shared" si="44"/>
        <v>0</v>
      </c>
    </row>
    <row r="153" spans="1:22" x14ac:dyDescent="0.2">
      <c r="A153" s="14" t="s">
        <v>215</v>
      </c>
      <c r="B153" s="20" t="s">
        <v>216</v>
      </c>
      <c r="C153" s="73"/>
      <c r="D153" s="71"/>
      <c r="E153" s="71">
        <v>0</v>
      </c>
      <c r="F153" s="71"/>
      <c r="G153" s="71"/>
      <c r="H153" s="83"/>
      <c r="I153" s="83">
        <v>0</v>
      </c>
      <c r="J153" s="83"/>
      <c r="K153" s="71"/>
      <c r="L153" s="163"/>
      <c r="M153" s="164"/>
      <c r="N153" s="164" t="e">
        <f t="shared" si="46"/>
        <v>#DIV/0!</v>
      </c>
      <c r="O153" s="71"/>
      <c r="P153" s="83">
        <f t="shared" si="49"/>
        <v>0</v>
      </c>
      <c r="Q153" s="83">
        <f t="shared" si="50"/>
        <v>0</v>
      </c>
      <c r="R153" s="83">
        <f t="shared" si="51"/>
        <v>0</v>
      </c>
      <c r="S153" s="83">
        <f t="shared" si="47"/>
        <v>0</v>
      </c>
      <c r="T153" s="89">
        <f t="shared" si="48"/>
        <v>0</v>
      </c>
      <c r="U153" s="204"/>
      <c r="V153" s="208">
        <f t="shared" si="44"/>
        <v>0</v>
      </c>
    </row>
    <row r="154" spans="1:22" x14ac:dyDescent="0.2">
      <c r="A154" s="14" t="s">
        <v>217</v>
      </c>
      <c r="B154" s="20" t="s">
        <v>218</v>
      </c>
      <c r="C154" s="73"/>
      <c r="D154" s="71"/>
      <c r="E154" s="71">
        <v>0</v>
      </c>
      <c r="F154" s="71"/>
      <c r="G154" s="71"/>
      <c r="H154" s="83"/>
      <c r="I154" s="83"/>
      <c r="J154" s="83"/>
      <c r="K154" s="71"/>
      <c r="L154" s="163"/>
      <c r="M154" s="164"/>
      <c r="N154" s="164" t="e">
        <f t="shared" si="46"/>
        <v>#DIV/0!</v>
      </c>
      <c r="O154" s="71"/>
      <c r="P154" s="83">
        <f t="shared" si="49"/>
        <v>0</v>
      </c>
      <c r="Q154" s="83">
        <f t="shared" si="50"/>
        <v>0</v>
      </c>
      <c r="R154" s="83">
        <f t="shared" si="51"/>
        <v>0</v>
      </c>
      <c r="S154" s="83">
        <f t="shared" si="47"/>
        <v>0</v>
      </c>
      <c r="T154" s="89">
        <f t="shared" si="48"/>
        <v>0</v>
      </c>
      <c r="U154" s="204"/>
      <c r="V154" s="208">
        <f t="shared" si="44"/>
        <v>0</v>
      </c>
    </row>
    <row r="155" spans="1:22" x14ac:dyDescent="0.2">
      <c r="A155" s="14" t="s">
        <v>219</v>
      </c>
      <c r="B155" s="20" t="s">
        <v>221</v>
      </c>
      <c r="C155" s="73"/>
      <c r="D155" s="71"/>
      <c r="E155" s="71">
        <v>0</v>
      </c>
      <c r="F155" s="71"/>
      <c r="G155" s="71"/>
      <c r="H155" s="83"/>
      <c r="I155" s="83"/>
      <c r="J155" s="83"/>
      <c r="K155" s="71"/>
      <c r="L155" s="163"/>
      <c r="M155" s="164"/>
      <c r="N155" s="164" t="e">
        <f t="shared" si="46"/>
        <v>#DIV/0!</v>
      </c>
      <c r="O155" s="71"/>
      <c r="P155" s="83">
        <f t="shared" si="49"/>
        <v>0</v>
      </c>
      <c r="Q155" s="83">
        <f t="shared" si="50"/>
        <v>0</v>
      </c>
      <c r="R155" s="83">
        <f t="shared" si="51"/>
        <v>0</v>
      </c>
      <c r="S155" s="83">
        <f t="shared" si="47"/>
        <v>0</v>
      </c>
      <c r="T155" s="89">
        <f t="shared" si="48"/>
        <v>0</v>
      </c>
      <c r="U155" s="204"/>
      <c r="V155" s="208">
        <f t="shared" si="44"/>
        <v>0</v>
      </c>
    </row>
    <row r="156" spans="1:22" x14ac:dyDescent="0.2">
      <c r="A156" s="14" t="s">
        <v>220</v>
      </c>
      <c r="B156" s="20" t="s">
        <v>222</v>
      </c>
      <c r="C156" s="73"/>
      <c r="D156" s="71"/>
      <c r="E156" s="71"/>
      <c r="F156" s="71"/>
      <c r="G156" s="71"/>
      <c r="H156" s="83"/>
      <c r="I156" s="83"/>
      <c r="J156" s="83"/>
      <c r="K156" s="71"/>
      <c r="L156" s="163"/>
      <c r="M156" s="164"/>
      <c r="N156" s="164" t="e">
        <f t="shared" si="46"/>
        <v>#DIV/0!</v>
      </c>
      <c r="O156" s="71"/>
      <c r="P156" s="83">
        <f t="shared" si="49"/>
        <v>0</v>
      </c>
      <c r="Q156" s="83">
        <f t="shared" si="50"/>
        <v>0</v>
      </c>
      <c r="R156" s="83">
        <f t="shared" si="51"/>
        <v>0</v>
      </c>
      <c r="S156" s="83">
        <f t="shared" si="47"/>
        <v>0</v>
      </c>
      <c r="T156" s="89">
        <f t="shared" si="48"/>
        <v>0</v>
      </c>
      <c r="U156" s="204"/>
      <c r="V156" s="208">
        <f t="shared" si="44"/>
        <v>0</v>
      </c>
    </row>
    <row r="157" spans="1:22" x14ac:dyDescent="0.2">
      <c r="A157" s="14" t="s">
        <v>223</v>
      </c>
      <c r="B157" s="20" t="s">
        <v>224</v>
      </c>
      <c r="C157" s="73"/>
      <c r="D157" s="71"/>
      <c r="E157" s="71"/>
      <c r="F157" s="71"/>
      <c r="G157" s="71"/>
      <c r="H157" s="83"/>
      <c r="I157" s="83"/>
      <c r="J157" s="83"/>
      <c r="K157" s="71"/>
      <c r="L157" s="163"/>
      <c r="M157" s="164"/>
      <c r="N157" s="164" t="e">
        <f t="shared" si="46"/>
        <v>#DIV/0!</v>
      </c>
      <c r="O157" s="71"/>
      <c r="P157" s="83">
        <f t="shared" si="49"/>
        <v>0</v>
      </c>
      <c r="Q157" s="83">
        <f t="shared" si="50"/>
        <v>0</v>
      </c>
      <c r="R157" s="83">
        <f t="shared" si="51"/>
        <v>0</v>
      </c>
      <c r="S157" s="83">
        <f t="shared" si="47"/>
        <v>0</v>
      </c>
      <c r="T157" s="89">
        <f t="shared" si="48"/>
        <v>0</v>
      </c>
      <c r="U157" s="204"/>
      <c r="V157" s="208">
        <f t="shared" si="44"/>
        <v>0</v>
      </c>
    </row>
    <row r="158" spans="1:22" x14ac:dyDescent="0.2">
      <c r="A158" s="14" t="s">
        <v>225</v>
      </c>
      <c r="B158" s="20" t="s">
        <v>226</v>
      </c>
      <c r="C158" s="73"/>
      <c r="D158" s="71"/>
      <c r="E158" s="71"/>
      <c r="F158" s="71"/>
      <c r="G158" s="71"/>
      <c r="H158" s="83"/>
      <c r="I158" s="83"/>
      <c r="J158" s="83"/>
      <c r="K158" s="71"/>
      <c r="L158" s="163"/>
      <c r="M158" s="164"/>
      <c r="N158" s="164" t="e">
        <f t="shared" si="46"/>
        <v>#DIV/0!</v>
      </c>
      <c r="O158" s="71"/>
      <c r="P158" s="83">
        <f t="shared" si="49"/>
        <v>0</v>
      </c>
      <c r="Q158" s="83">
        <f t="shared" si="50"/>
        <v>0</v>
      </c>
      <c r="R158" s="83">
        <f t="shared" si="51"/>
        <v>0</v>
      </c>
      <c r="S158" s="83">
        <f t="shared" si="47"/>
        <v>0</v>
      </c>
      <c r="T158" s="89">
        <f t="shared" si="48"/>
        <v>0</v>
      </c>
      <c r="U158" s="204"/>
      <c r="V158" s="208">
        <f t="shared" si="44"/>
        <v>0</v>
      </c>
    </row>
    <row r="159" spans="1:22" x14ac:dyDescent="0.2">
      <c r="A159" s="14" t="s">
        <v>227</v>
      </c>
      <c r="B159" s="20" t="s">
        <v>228</v>
      </c>
      <c r="C159" s="73"/>
      <c r="D159" s="71">
        <v>17121020</v>
      </c>
      <c r="E159" s="71">
        <v>17121020</v>
      </c>
      <c r="F159" s="71">
        <v>17121020</v>
      </c>
      <c r="G159" s="71"/>
      <c r="H159" s="83">
        <v>17121020</v>
      </c>
      <c r="I159" s="83">
        <v>17121020</v>
      </c>
      <c r="J159" s="83">
        <v>17121020</v>
      </c>
      <c r="K159" s="71"/>
      <c r="L159" s="163"/>
      <c r="M159" s="164"/>
      <c r="N159" s="164">
        <f t="shared" si="46"/>
        <v>1</v>
      </c>
      <c r="O159" s="71"/>
      <c r="P159" s="83">
        <f t="shared" si="49"/>
        <v>17121020</v>
      </c>
      <c r="Q159" s="83">
        <f t="shared" si="50"/>
        <v>0</v>
      </c>
      <c r="R159" s="83">
        <f t="shared" si="51"/>
        <v>0</v>
      </c>
      <c r="S159" s="83">
        <f t="shared" si="47"/>
        <v>17121020</v>
      </c>
      <c r="T159" s="89">
        <f t="shared" si="48"/>
        <v>0</v>
      </c>
      <c r="U159" s="204"/>
      <c r="V159" s="208">
        <f t="shared" si="44"/>
        <v>0</v>
      </c>
    </row>
    <row r="160" spans="1:22" x14ac:dyDescent="0.2">
      <c r="B160" s="20" t="s">
        <v>229</v>
      </c>
      <c r="C160" s="73"/>
      <c r="D160" s="71"/>
      <c r="E160" s="71"/>
      <c r="F160" s="71"/>
      <c r="G160" s="71"/>
      <c r="H160" s="83"/>
      <c r="I160" s="83"/>
      <c r="J160" s="83"/>
      <c r="K160" s="71"/>
      <c r="L160" s="163"/>
      <c r="M160" s="164"/>
      <c r="N160" s="164" t="e">
        <f t="shared" si="46"/>
        <v>#DIV/0!</v>
      </c>
      <c r="O160" s="71"/>
      <c r="P160" s="83">
        <f t="shared" si="49"/>
        <v>0</v>
      </c>
      <c r="Q160" s="83">
        <f t="shared" si="50"/>
        <v>0</v>
      </c>
      <c r="R160" s="83">
        <f t="shared" si="51"/>
        <v>0</v>
      </c>
      <c r="S160" s="83">
        <f t="shared" si="47"/>
        <v>0</v>
      </c>
      <c r="T160" s="89">
        <f t="shared" si="48"/>
        <v>0</v>
      </c>
      <c r="U160" s="204"/>
      <c r="V160" s="208">
        <f t="shared" si="44"/>
        <v>0</v>
      </c>
    </row>
    <row r="161" spans="1:22" x14ac:dyDescent="0.2">
      <c r="A161" s="560" t="s">
        <v>230</v>
      </c>
      <c r="B161" s="513" t="s">
        <v>231</v>
      </c>
      <c r="C161" s="149">
        <f>+'4. Dr Gáspár HSZK'!C100+'5. Csicsergő'!C100+'6. Gólyahír'!C100+'7. Polg.Hiv.'!C100+'8. WAMKK'!C100+'9. Közp. Konyha'!C100</f>
        <v>454166162</v>
      </c>
      <c r="D161" s="150">
        <v>457619162</v>
      </c>
      <c r="E161" s="187">
        <v>459279162</v>
      </c>
      <c r="F161" s="71">
        <v>468072999</v>
      </c>
      <c r="G161" s="71"/>
      <c r="H161" s="83">
        <v>237712975</v>
      </c>
      <c r="I161" s="83">
        <v>346918447</v>
      </c>
      <c r="J161" s="83">
        <v>457470132</v>
      </c>
      <c r="K161" s="71"/>
      <c r="L161" s="163">
        <f>H161/C161</f>
        <v>0.52340529720045503</v>
      </c>
      <c r="M161" s="164">
        <f>I161/D161</f>
        <v>0.75809423163971446</v>
      </c>
      <c r="N161" s="164">
        <f t="shared" si="46"/>
        <v>0.99606115376077087</v>
      </c>
      <c r="O161" s="71"/>
      <c r="P161" s="83">
        <f t="shared" si="49"/>
        <v>3453000</v>
      </c>
      <c r="Q161" s="83">
        <f t="shared" si="50"/>
        <v>1660000</v>
      </c>
      <c r="R161" s="83">
        <f t="shared" si="51"/>
        <v>8793837</v>
      </c>
      <c r="S161" s="83">
        <f t="shared" si="47"/>
        <v>13906837</v>
      </c>
      <c r="T161" s="89">
        <f t="shared" si="48"/>
        <v>3.0620592557487804E-2</v>
      </c>
      <c r="U161" s="204"/>
      <c r="V161" s="208">
        <f t="shared" si="44"/>
        <v>8793837</v>
      </c>
    </row>
    <row r="162" spans="1:22" x14ac:dyDescent="0.2">
      <c r="B162" s="20" t="s">
        <v>232</v>
      </c>
      <c r="C162" s="73"/>
      <c r="D162" s="71"/>
      <c r="E162" s="71"/>
      <c r="F162" s="71"/>
      <c r="G162" s="71"/>
      <c r="H162" s="83"/>
      <c r="I162" s="83"/>
      <c r="J162" s="83"/>
      <c r="K162" s="71"/>
      <c r="L162" s="163"/>
      <c r="M162" s="164"/>
      <c r="N162" s="164" t="e">
        <f t="shared" si="46"/>
        <v>#DIV/0!</v>
      </c>
      <c r="O162" s="71"/>
      <c r="P162" s="83">
        <f t="shared" si="49"/>
        <v>0</v>
      </c>
      <c r="Q162" s="83">
        <f t="shared" si="50"/>
        <v>0</v>
      </c>
      <c r="R162" s="83">
        <f t="shared" si="51"/>
        <v>0</v>
      </c>
      <c r="S162" s="83">
        <f t="shared" si="47"/>
        <v>0</v>
      </c>
      <c r="T162" s="89">
        <f t="shared" si="48"/>
        <v>0</v>
      </c>
      <c r="U162" s="204"/>
      <c r="V162" s="208">
        <f t="shared" si="44"/>
        <v>0</v>
      </c>
    </row>
    <row r="163" spans="1:22" x14ac:dyDescent="0.2">
      <c r="A163" s="14" t="s">
        <v>233</v>
      </c>
      <c r="B163" s="20" t="s">
        <v>234</v>
      </c>
      <c r="C163" s="73"/>
      <c r="D163" s="71"/>
      <c r="E163" s="71"/>
      <c r="F163" s="71"/>
      <c r="G163" s="71"/>
      <c r="H163" s="83"/>
      <c r="I163" s="83"/>
      <c r="J163" s="83"/>
      <c r="K163" s="71"/>
      <c r="L163" s="163"/>
      <c r="M163" s="164"/>
      <c r="N163" s="164" t="e">
        <f t="shared" si="46"/>
        <v>#DIV/0!</v>
      </c>
      <c r="O163" s="71"/>
      <c r="P163" s="83">
        <f t="shared" si="49"/>
        <v>0</v>
      </c>
      <c r="Q163" s="83">
        <f t="shared" si="50"/>
        <v>0</v>
      </c>
      <c r="R163" s="83">
        <f t="shared" si="51"/>
        <v>0</v>
      </c>
      <c r="S163" s="83">
        <f t="shared" si="47"/>
        <v>0</v>
      </c>
      <c r="T163" s="89">
        <f t="shared" si="48"/>
        <v>0</v>
      </c>
      <c r="U163" s="204"/>
      <c r="V163" s="208">
        <f t="shared" si="44"/>
        <v>0</v>
      </c>
    </row>
    <row r="164" spans="1:22" x14ac:dyDescent="0.2">
      <c r="A164" s="14" t="s">
        <v>235</v>
      </c>
      <c r="B164" s="20" t="s">
        <v>236</v>
      </c>
      <c r="C164" s="73"/>
      <c r="D164" s="71"/>
      <c r="E164" s="71"/>
      <c r="F164" s="71"/>
      <c r="G164" s="71"/>
      <c r="H164" s="83"/>
      <c r="I164" s="83"/>
      <c r="J164" s="83"/>
      <c r="K164" s="71"/>
      <c r="L164" s="163"/>
      <c r="M164" s="164"/>
      <c r="N164" s="164" t="e">
        <f t="shared" si="46"/>
        <v>#DIV/0!</v>
      </c>
      <c r="O164" s="71"/>
      <c r="P164" s="83">
        <f t="shared" si="49"/>
        <v>0</v>
      </c>
      <c r="Q164" s="83">
        <f t="shared" si="50"/>
        <v>0</v>
      </c>
      <c r="R164" s="83">
        <f t="shared" si="51"/>
        <v>0</v>
      </c>
      <c r="S164" s="83">
        <f t="shared" si="47"/>
        <v>0</v>
      </c>
      <c r="T164" s="89">
        <f t="shared" si="48"/>
        <v>0</v>
      </c>
      <c r="U164" s="204"/>
      <c r="V164" s="208">
        <f t="shared" si="44"/>
        <v>0</v>
      </c>
    </row>
    <row r="165" spans="1:22" x14ac:dyDescent="0.2">
      <c r="A165" s="14" t="s">
        <v>237</v>
      </c>
      <c r="B165" s="20" t="s">
        <v>238</v>
      </c>
      <c r="C165" s="73"/>
      <c r="D165" s="71"/>
      <c r="E165" s="71"/>
      <c r="F165" s="71"/>
      <c r="G165" s="71"/>
      <c r="H165" s="83"/>
      <c r="I165" s="83"/>
      <c r="J165" s="83"/>
      <c r="K165" s="71"/>
      <c r="L165" s="163"/>
      <c r="M165" s="164"/>
      <c r="N165" s="164" t="e">
        <f t="shared" si="46"/>
        <v>#DIV/0!</v>
      </c>
      <c r="O165" s="71"/>
      <c r="P165" s="83">
        <f t="shared" si="49"/>
        <v>0</v>
      </c>
      <c r="Q165" s="83">
        <f t="shared" si="50"/>
        <v>0</v>
      </c>
      <c r="R165" s="83">
        <f t="shared" si="51"/>
        <v>0</v>
      </c>
      <c r="S165" s="83">
        <f t="shared" si="47"/>
        <v>0</v>
      </c>
      <c r="T165" s="89">
        <f t="shared" si="48"/>
        <v>0</v>
      </c>
      <c r="U165" s="204"/>
      <c r="V165" s="208">
        <f t="shared" si="44"/>
        <v>0</v>
      </c>
    </row>
    <row r="166" spans="1:22" x14ac:dyDescent="0.2">
      <c r="A166" s="14" t="s">
        <v>239</v>
      </c>
      <c r="B166" s="20" t="s">
        <v>240</v>
      </c>
      <c r="C166" s="73"/>
      <c r="D166" s="71"/>
      <c r="E166" s="71"/>
      <c r="F166" s="71"/>
      <c r="G166" s="71"/>
      <c r="H166" s="83"/>
      <c r="I166" s="83"/>
      <c r="J166" s="83"/>
      <c r="K166" s="71"/>
      <c r="L166" s="163"/>
      <c r="M166" s="164"/>
      <c r="N166" s="164" t="e">
        <f t="shared" si="46"/>
        <v>#DIV/0!</v>
      </c>
      <c r="O166" s="71"/>
      <c r="P166" s="83">
        <f t="shared" si="49"/>
        <v>0</v>
      </c>
      <c r="Q166" s="83">
        <f t="shared" si="50"/>
        <v>0</v>
      </c>
      <c r="R166" s="83">
        <f t="shared" si="51"/>
        <v>0</v>
      </c>
      <c r="S166" s="83">
        <f t="shared" si="47"/>
        <v>0</v>
      </c>
      <c r="T166" s="89">
        <f t="shared" si="48"/>
        <v>0</v>
      </c>
      <c r="U166" s="204"/>
      <c r="V166" s="208">
        <f t="shared" si="44"/>
        <v>0</v>
      </c>
    </row>
    <row r="167" spans="1:22" x14ac:dyDescent="0.2">
      <c r="C167" s="73"/>
      <c r="D167" s="71"/>
      <c r="E167" s="71"/>
      <c r="F167" s="71"/>
      <c r="G167" s="71"/>
      <c r="H167" s="83"/>
      <c r="I167" s="83"/>
      <c r="J167" s="83"/>
      <c r="K167" s="71"/>
      <c r="L167" s="163"/>
      <c r="M167" s="164"/>
      <c r="N167" s="164"/>
      <c r="O167" s="71"/>
      <c r="P167" s="83"/>
      <c r="Q167" s="83"/>
      <c r="R167" s="83"/>
      <c r="S167" s="83"/>
      <c r="T167" s="89"/>
      <c r="U167" s="204"/>
      <c r="V167" s="208">
        <f t="shared" si="44"/>
        <v>0</v>
      </c>
    </row>
    <row r="168" spans="1:22" x14ac:dyDescent="0.2">
      <c r="A168" s="4"/>
      <c r="B168" s="3" t="s">
        <v>104</v>
      </c>
      <c r="C168" s="68">
        <f>C13+C29+C32+C81+C106+C120+C129+C135+C145</f>
        <v>1203415087</v>
      </c>
      <c r="D168" s="68">
        <f>D13+D29+D32+D81+D106+D120+D129+D135+D145</f>
        <v>1637706800</v>
      </c>
      <c r="E168" s="68">
        <f>E13+E29+E32+E81+E106+E120+E129+E135+E145</f>
        <v>1831200149</v>
      </c>
      <c r="F168" s="68">
        <f>F13+F29+F32+F81+F106+F120+F129+F135+F145</f>
        <v>1790500986</v>
      </c>
      <c r="G168" s="68"/>
      <c r="H168" s="85">
        <f t="shared" ref="H168" si="52">H13+H29+H32+H81+H106+H120+H129+H135+H145</f>
        <v>516926386</v>
      </c>
      <c r="I168" s="85">
        <f>I13+I29+I32+I81+I106+I120+I129+I135+I145</f>
        <v>934170493</v>
      </c>
      <c r="J168" s="85">
        <f>J13+J29+J32+J81+J106+J120+J129+J135+J145</f>
        <v>1395655508</v>
      </c>
      <c r="K168" s="68"/>
      <c r="L168" s="91">
        <f>H168/C168</f>
        <v>0.42954953081787317</v>
      </c>
      <c r="M168" s="87">
        <f>I168/D168</f>
        <v>0.57041375965465857</v>
      </c>
      <c r="N168" s="87">
        <f>+J168/E168</f>
        <v>0.76215344825204034</v>
      </c>
      <c r="O168" s="68"/>
      <c r="P168" s="85">
        <f>IF(D168&gt;0,+D168-C168,0)</f>
        <v>434291713</v>
      </c>
      <c r="Q168" s="85">
        <f>IF(E168&gt;0,+E168-D168,0)</f>
        <v>193493349</v>
      </c>
      <c r="R168" s="85">
        <f>IF(F168&gt;0,+F168-E168,0)</f>
        <v>-40699163</v>
      </c>
      <c r="S168" s="85">
        <f t="shared" si="47"/>
        <v>587085899</v>
      </c>
      <c r="T168" s="89">
        <f>IF(C168=0,0,+S168/C168)</f>
        <v>0.48784987436342486</v>
      </c>
      <c r="U168" s="206"/>
      <c r="V168" s="209">
        <f t="shared" si="44"/>
        <v>-40699163</v>
      </c>
    </row>
    <row r="169" spans="1:22" x14ac:dyDescent="0.2">
      <c r="A169" s="22"/>
      <c r="B169" s="22"/>
      <c r="C169" s="75"/>
      <c r="D169" s="76"/>
      <c r="E169" s="76"/>
      <c r="F169" s="76"/>
      <c r="G169" s="76"/>
      <c r="H169" s="86"/>
      <c r="I169" s="86"/>
      <c r="J169" s="86"/>
      <c r="K169" s="76"/>
      <c r="L169" s="92"/>
      <c r="M169" s="88"/>
      <c r="N169" s="88"/>
      <c r="O169" s="76"/>
      <c r="P169" s="86"/>
      <c r="Q169" s="86"/>
      <c r="R169" s="86"/>
      <c r="S169" s="86"/>
      <c r="T169" s="90"/>
      <c r="U169" s="76"/>
    </row>
    <row r="170" spans="1:22" hidden="1" x14ac:dyDescent="0.2">
      <c r="A170" s="22"/>
      <c r="B170" s="22"/>
      <c r="C170" s="75"/>
      <c r="D170" s="77"/>
      <c r="F170" s="76">
        <f>' 2. Önk. Bevételek'!M96-'3. Önk. Kiadások'!F168</f>
        <v>-1790500985.0972214</v>
      </c>
      <c r="G170" s="76"/>
      <c r="H170" s="75"/>
      <c r="K170" s="76"/>
      <c r="L170" s="93"/>
      <c r="M170" s="88"/>
      <c r="N170" s="88"/>
      <c r="O170" s="76"/>
      <c r="P170" s="75"/>
      <c r="Q170" s="75"/>
      <c r="R170" s="75"/>
      <c r="S170" s="75"/>
      <c r="T170" s="90"/>
      <c r="U170" s="76"/>
    </row>
    <row r="171" spans="1:22" hidden="1" x14ac:dyDescent="0.2">
      <c r="A171" s="22"/>
      <c r="B171" s="22"/>
      <c r="C171" s="75"/>
      <c r="D171" s="77" t="s">
        <v>446</v>
      </c>
      <c r="E171" s="76">
        <f>' 2. Önk. Bevételek'!E96-'3. Önk. Kiadások'!E168</f>
        <v>0</v>
      </c>
      <c r="F171" s="76"/>
      <c r="G171" s="76"/>
      <c r="H171" s="75"/>
      <c r="I171" s="293">
        <f>36792991*0+'4. Dr Gáspár HSZK'!I100+'5. Csicsergő'!I100+'6. Gólyahír'!I100+'7. Polg.Hiv.'!M100+'8. WAMKK'!M100+'9. Közp. Konyha'!M100</f>
        <v>195420939.24684724</v>
      </c>
      <c r="K171" s="76"/>
      <c r="L171" s="92"/>
      <c r="M171" s="88"/>
      <c r="N171" s="88"/>
      <c r="O171" s="76"/>
      <c r="P171" s="75"/>
      <c r="Q171" s="75"/>
      <c r="R171" s="75"/>
      <c r="S171" s="75"/>
      <c r="T171" s="90"/>
      <c r="U171" s="76"/>
    </row>
    <row r="172" spans="1:22" hidden="1" x14ac:dyDescent="0.2">
      <c r="A172" s="22"/>
      <c r="B172" s="58" t="s">
        <v>402</v>
      </c>
      <c r="C172" s="75"/>
      <c r="D172" s="75"/>
      <c r="E172" s="76"/>
      <c r="F172" s="76"/>
      <c r="G172" s="76"/>
      <c r="H172" s="75"/>
      <c r="I172" s="22"/>
      <c r="J172" s="22"/>
      <c r="K172" s="76"/>
      <c r="L172" s="93"/>
      <c r="M172" s="88"/>
      <c r="N172" s="88"/>
      <c r="O172" s="76"/>
      <c r="P172" s="75"/>
      <c r="Q172" s="75"/>
      <c r="R172" s="75"/>
      <c r="S172" s="75"/>
      <c r="U172" s="76"/>
    </row>
    <row r="173" spans="1:22" hidden="1" x14ac:dyDescent="0.2">
      <c r="A173" s="22"/>
      <c r="B173" s="22"/>
      <c r="C173" s="75"/>
      <c r="D173" s="76"/>
      <c r="E173" s="76"/>
      <c r="F173" s="76"/>
      <c r="G173" s="76"/>
      <c r="H173" s="75"/>
      <c r="K173" s="76"/>
      <c r="L173" s="93"/>
      <c r="M173" s="88"/>
      <c r="O173" s="76"/>
      <c r="P173" s="75"/>
      <c r="Q173" s="75"/>
      <c r="R173" s="75"/>
      <c r="S173" s="75"/>
      <c r="U173" s="76"/>
    </row>
    <row r="174" spans="1:22" hidden="1" x14ac:dyDescent="0.2">
      <c r="A174" s="22"/>
      <c r="B174" s="58" t="s">
        <v>403</v>
      </c>
      <c r="C174" s="75"/>
      <c r="D174" s="76"/>
      <c r="E174" s="76"/>
      <c r="F174" s="76"/>
      <c r="G174" s="76"/>
      <c r="H174" s="75"/>
      <c r="K174" s="76"/>
      <c r="L174" s="93"/>
      <c r="M174" s="88"/>
      <c r="O174" s="76"/>
      <c r="P174" s="75"/>
      <c r="Q174" s="75"/>
      <c r="R174" s="75"/>
      <c r="S174" s="75"/>
      <c r="U174" s="76"/>
    </row>
    <row r="175" spans="1:22" hidden="1" x14ac:dyDescent="0.2">
      <c r="A175" s="22"/>
      <c r="B175" s="22"/>
      <c r="C175" s="75"/>
      <c r="D175" s="77"/>
      <c r="E175" s="76"/>
      <c r="F175" s="76"/>
      <c r="G175" s="76"/>
      <c r="H175" s="75"/>
      <c r="K175" s="76"/>
      <c r="L175" s="93"/>
      <c r="M175" s="88"/>
      <c r="O175" s="76"/>
      <c r="P175" s="75"/>
      <c r="Q175" s="75"/>
      <c r="R175" s="75"/>
      <c r="S175" s="75"/>
      <c r="U175" s="76"/>
    </row>
    <row r="176" spans="1:22" hidden="1" x14ac:dyDescent="0.2">
      <c r="A176" s="22"/>
      <c r="B176" s="22"/>
      <c r="C176" s="75"/>
      <c r="D176" s="76"/>
      <c r="E176" s="76"/>
      <c r="F176" s="76"/>
      <c r="G176" s="76"/>
      <c r="H176" s="75"/>
      <c r="K176" s="76"/>
      <c r="L176" s="93"/>
      <c r="M176" s="88"/>
      <c r="O176" s="76"/>
      <c r="P176" s="75"/>
      <c r="Q176" s="75"/>
      <c r="R176" s="75"/>
      <c r="S176" s="75"/>
      <c r="U176" s="76"/>
    </row>
    <row r="177" spans="1:21" hidden="1" x14ac:dyDescent="0.2">
      <c r="A177" s="22"/>
      <c r="B177" s="22"/>
      <c r="C177" s="75"/>
      <c r="D177" s="76"/>
      <c r="E177" s="76"/>
      <c r="F177" s="76"/>
      <c r="G177" s="76"/>
      <c r="H177" s="75"/>
      <c r="K177" s="76"/>
      <c r="L177" s="93"/>
      <c r="M177" s="88"/>
      <c r="O177" s="76"/>
      <c r="P177" s="75"/>
      <c r="Q177" s="75"/>
      <c r="R177" s="75"/>
      <c r="S177" s="75"/>
      <c r="U177" s="76"/>
    </row>
    <row r="178" spans="1:21" hidden="1" x14ac:dyDescent="0.2">
      <c r="A178" s="346" t="s">
        <v>438</v>
      </c>
      <c r="B178" s="22"/>
      <c r="C178" s="75"/>
      <c r="D178" s="77"/>
      <c r="E178" s="76"/>
      <c r="F178" s="76"/>
      <c r="G178" s="76"/>
      <c r="H178" s="75"/>
      <c r="K178" s="76"/>
      <c r="L178" s="93"/>
      <c r="M178" s="88"/>
      <c r="O178" s="76"/>
      <c r="P178" s="75"/>
      <c r="Q178" s="75"/>
      <c r="R178" s="75"/>
      <c r="S178" s="75"/>
      <c r="U178" s="76"/>
    </row>
    <row r="179" spans="1:21" hidden="1" x14ac:dyDescent="0.2">
      <c r="A179" s="345" t="s">
        <v>436</v>
      </c>
      <c r="B179" s="58" t="str">
        <f>+'4. Dr Gáspár HSZK'!A1</f>
        <v>Dr. Gáspár István HSZK</v>
      </c>
      <c r="C179" s="75">
        <f>+'4. Dr Gáspár HSZK'!C5</f>
        <v>36750000</v>
      </c>
      <c r="D179" s="75">
        <f>+'4. Dr Gáspár HSZK'!D5</f>
        <v>37159000</v>
      </c>
      <c r="E179" s="75">
        <f>+'4. Dr Gáspár HSZK'!E5</f>
        <v>37159000</v>
      </c>
      <c r="F179" s="75">
        <f>+'4. Dr Gáspár HSZK'!F5</f>
        <v>37225000</v>
      </c>
      <c r="G179" s="75"/>
      <c r="H179" s="75">
        <f>+'4. Dr Gáspár HSZK'!H5</f>
        <v>17640024</v>
      </c>
      <c r="I179" s="75">
        <f>+'4. Dr Gáspár HSZK'!I5</f>
        <v>26250389</v>
      </c>
      <c r="J179" s="75">
        <f>+'4. Dr Gáspár HSZK'!J5</f>
        <v>35167699</v>
      </c>
      <c r="K179" s="75">
        <f>+'4. Dr Gáspár HSZK'!K5</f>
        <v>0</v>
      </c>
      <c r="L179" s="75"/>
      <c r="M179" s="75"/>
      <c r="N179" s="75"/>
      <c r="O179" s="75">
        <f>+'4. Dr Gáspár HSZK'!O5</f>
        <v>0</v>
      </c>
      <c r="P179" s="75">
        <f>+'4. Dr Gáspár HSZK'!P5</f>
        <v>409000</v>
      </c>
      <c r="Q179" s="75">
        <f>+'4. Dr Gáspár HSZK'!Q5</f>
        <v>0</v>
      </c>
      <c r="R179" s="75">
        <f>+'4. Dr Gáspár HSZK'!R5</f>
        <v>66000</v>
      </c>
      <c r="S179" s="75">
        <f>+'4. Dr Gáspár HSZK'!S5</f>
        <v>475000</v>
      </c>
      <c r="U179" s="76"/>
    </row>
    <row r="180" spans="1:21" hidden="1" x14ac:dyDescent="0.2">
      <c r="A180" s="22"/>
      <c r="B180" s="58" t="str">
        <f>+'5. Csicsergő'!A1</f>
        <v>SÜLYSÁPI CSICSERGŐ ÓVODA</v>
      </c>
      <c r="C180" s="75">
        <f>+'5. Csicsergő'!C5</f>
        <v>171876100</v>
      </c>
      <c r="D180" s="75">
        <f>+'5. Csicsergő'!D5</f>
        <v>173326100</v>
      </c>
      <c r="E180" s="75">
        <f>+'5. Csicsergő'!E5</f>
        <v>174986100</v>
      </c>
      <c r="F180" s="75">
        <f>+'5. Csicsergő'!F5</f>
        <v>185010115</v>
      </c>
      <c r="G180" s="75"/>
      <c r="H180" s="75">
        <f>+'5. Csicsergő'!H5</f>
        <v>87833991</v>
      </c>
      <c r="I180" s="75">
        <f>+'5. Csicsergő'!I5</f>
        <v>136992599</v>
      </c>
      <c r="J180" s="75">
        <f>+'5. Csicsergő'!J5</f>
        <v>184507577</v>
      </c>
      <c r="K180" s="75">
        <f>+'5. Csicsergő'!K5</f>
        <v>0</v>
      </c>
      <c r="L180" s="75"/>
      <c r="M180" s="75"/>
      <c r="N180" s="75"/>
      <c r="O180" s="75">
        <f>+'5. Csicsergő'!O5</f>
        <v>0</v>
      </c>
      <c r="P180" s="75">
        <f>+'5. Csicsergő'!P5</f>
        <v>1450000</v>
      </c>
      <c r="Q180" s="75">
        <f>+'5. Csicsergő'!Q5</f>
        <v>1660000</v>
      </c>
      <c r="R180" s="75">
        <f>+'5. Csicsergő'!R5</f>
        <v>10024015</v>
      </c>
      <c r="S180" s="75">
        <f>+'5. Csicsergő'!S5</f>
        <v>13134015</v>
      </c>
      <c r="U180" s="76"/>
    </row>
    <row r="181" spans="1:21" hidden="1" x14ac:dyDescent="0.2">
      <c r="A181" s="22"/>
      <c r="B181" s="22" t="str">
        <f>+'6. Gólyahír'!A1</f>
        <v>GÓLYAHÍR BÖLCSŐDE</v>
      </c>
      <c r="C181" s="75">
        <f>+'6. Gólyahír'!C5</f>
        <v>54963000</v>
      </c>
      <c r="D181" s="75">
        <f>+'6. Gólyahír'!D5</f>
        <v>54963000</v>
      </c>
      <c r="E181" s="75">
        <f>+'6. Gólyahír'!E5</f>
        <v>54963000</v>
      </c>
      <c r="F181" s="75">
        <f>+'6. Gólyahír'!F5</f>
        <v>56832500</v>
      </c>
      <c r="G181" s="75"/>
      <c r="H181" s="75">
        <f>+'6. Gólyahír'!H5</f>
        <v>25355939</v>
      </c>
      <c r="I181" s="75">
        <f>+'6. Gólyahír'!I5</f>
        <v>37588851</v>
      </c>
      <c r="J181" s="75">
        <f>+'6. Gólyahír'!J5</f>
        <v>52377285</v>
      </c>
      <c r="K181" s="75">
        <f>+'6. Gólyahír'!K5</f>
        <v>0</v>
      </c>
      <c r="L181" s="75"/>
      <c r="M181" s="75"/>
      <c r="N181" s="75"/>
      <c r="O181" s="75">
        <f>+'6. Gólyahír'!O5</f>
        <v>0</v>
      </c>
      <c r="P181" s="75">
        <f>+'6. Gólyahír'!P5</f>
        <v>0</v>
      </c>
      <c r="Q181" s="75">
        <f>+'6. Gólyahír'!Q5</f>
        <v>0</v>
      </c>
      <c r="R181" s="75">
        <f>+'6. Gólyahír'!R5</f>
        <v>1869500</v>
      </c>
      <c r="S181" s="75">
        <f>+'6. Gólyahír'!S5</f>
        <v>1869500</v>
      </c>
      <c r="U181" s="76"/>
    </row>
    <row r="182" spans="1:21" hidden="1" x14ac:dyDescent="0.2">
      <c r="A182" s="22"/>
      <c r="B182" s="75" t="str">
        <f>+'7. Polg.Hiv.'!A1</f>
        <v>POLGÁRMESTERI HIVATAL</v>
      </c>
      <c r="C182" s="75">
        <f>+'7. Polg.Hiv.'!C5</f>
        <v>113342899</v>
      </c>
      <c r="D182" s="75">
        <f>+'7. Polg.Hiv.'!D5</f>
        <v>113342899</v>
      </c>
      <c r="E182" s="75">
        <f>+'7. Polg.Hiv.'!E5</f>
        <v>113614175</v>
      </c>
      <c r="F182" s="75">
        <f>+'7. Polg.Hiv.'!F5</f>
        <v>113924941</v>
      </c>
      <c r="G182" s="75"/>
      <c r="H182" s="75">
        <f>+'7. Polg.Hiv.'!H5</f>
        <v>53128260</v>
      </c>
      <c r="I182" s="75">
        <f>+'7. Polg.Hiv.'!I5</f>
        <v>79755826</v>
      </c>
      <c r="J182" s="75">
        <f>+'7. Polg.Hiv.'!J5</f>
        <v>106938498</v>
      </c>
      <c r="K182" s="75">
        <f>+'7. Polg.Hiv.'!K5</f>
        <v>0</v>
      </c>
      <c r="L182" s="75"/>
      <c r="M182" s="75"/>
      <c r="N182" s="75"/>
      <c r="O182" s="75">
        <f>+'7. Polg.Hiv.'!O5</f>
        <v>0</v>
      </c>
      <c r="P182" s="75">
        <f>+'7. Polg.Hiv.'!P5</f>
        <v>0</v>
      </c>
      <c r="Q182" s="75">
        <f>+'7. Polg.Hiv.'!Q5</f>
        <v>271276</v>
      </c>
      <c r="R182" s="75">
        <f>+'7. Polg.Hiv.'!R5</f>
        <v>310766</v>
      </c>
      <c r="S182" s="75">
        <f>+'7. Polg.Hiv.'!S5</f>
        <v>582042</v>
      </c>
      <c r="U182" s="76"/>
    </row>
    <row r="183" spans="1:21" hidden="1" x14ac:dyDescent="0.2">
      <c r="A183" s="22"/>
      <c r="B183" s="75" t="str">
        <f>+'8. WAMKK'!A1</f>
        <v>Wass Albert Művelődési Központ és Könyvtár</v>
      </c>
      <c r="C183" s="75">
        <f>+'8. WAMKK'!C5</f>
        <v>31145000</v>
      </c>
      <c r="D183" s="75">
        <f>+'8. WAMKK'!D5</f>
        <v>32745000</v>
      </c>
      <c r="E183" s="75">
        <f>+'8. WAMKK'!E5</f>
        <v>32745000</v>
      </c>
      <c r="F183" s="75">
        <f>+'8. WAMKK'!F5</f>
        <v>33745000</v>
      </c>
      <c r="G183" s="75"/>
      <c r="H183" s="75">
        <f>+'8. WAMKK'!H5</f>
        <v>14585841</v>
      </c>
      <c r="I183" s="75">
        <f>+'8. WAMKK'!I5</f>
        <v>26249690</v>
      </c>
      <c r="J183" s="75">
        <f>+'8. WAMKK'!J5</f>
        <v>33240653</v>
      </c>
      <c r="K183" s="75">
        <f>+'8. WAMKK'!K5</f>
        <v>0</v>
      </c>
      <c r="L183" s="75"/>
      <c r="M183" s="75"/>
      <c r="N183" s="75"/>
      <c r="O183" s="75">
        <f>+'8. WAMKK'!O5</f>
        <v>0</v>
      </c>
      <c r="P183" s="75">
        <f>+'8. WAMKK'!P5</f>
        <v>1600000</v>
      </c>
      <c r="Q183" s="75">
        <f>+'8. WAMKK'!Q5</f>
        <v>0</v>
      </c>
      <c r="R183" s="75">
        <f>+'8. WAMKK'!R5</f>
        <v>1000000</v>
      </c>
      <c r="S183" s="75">
        <f>+'8. WAMKK'!S5</f>
        <v>2600000</v>
      </c>
      <c r="U183" s="76"/>
    </row>
    <row r="184" spans="1:21" hidden="1" x14ac:dyDescent="0.2">
      <c r="A184" s="22"/>
      <c r="B184" s="75" t="str">
        <f>+'9. Közp. Konyha'!A1</f>
        <v>Központi Konyha</v>
      </c>
      <c r="C184" s="75">
        <f>+'9. Közp. Konyha'!C5</f>
        <v>98992000</v>
      </c>
      <c r="D184" s="75">
        <f>+'9. Közp. Konyha'!D5</f>
        <v>98992000</v>
      </c>
      <c r="E184" s="75">
        <f>+'9. Közp. Konyha'!E5</f>
        <v>98992000</v>
      </c>
      <c r="F184" s="75">
        <f>+'9. Közp. Konyha'!F5</f>
        <v>98992000</v>
      </c>
      <c r="G184" s="75"/>
      <c r="H184" s="75">
        <f>+'9. Közp. Konyha'!H5</f>
        <v>50787336</v>
      </c>
      <c r="I184" s="75">
        <f>+'9. Közp. Konyha'!I5</f>
        <v>65747364</v>
      </c>
      <c r="J184" s="75">
        <f>+'9. Közp. Konyha'!J5</f>
        <v>91037806</v>
      </c>
      <c r="K184" s="75">
        <f>+'9. Közp. Konyha'!K5</f>
        <v>0</v>
      </c>
      <c r="L184" s="75"/>
      <c r="M184" s="75"/>
      <c r="N184" s="75"/>
      <c r="O184" s="75">
        <f>+'9. Közp. Konyha'!O5</f>
        <v>0</v>
      </c>
      <c r="P184" s="75">
        <f>+'9. Közp. Konyha'!P5</f>
        <v>0</v>
      </c>
      <c r="Q184" s="75">
        <f>+'9. Közp. Konyha'!Q5</f>
        <v>0</v>
      </c>
      <c r="R184" s="75">
        <f>+'9. Közp. Konyha'!R5</f>
        <v>0</v>
      </c>
      <c r="S184" s="75">
        <f>+'9. Közp. Konyha'!S5</f>
        <v>0</v>
      </c>
      <c r="U184" s="76"/>
    </row>
    <row r="185" spans="1:21" hidden="1" x14ac:dyDescent="0.2">
      <c r="A185" s="346" t="s">
        <v>437</v>
      </c>
      <c r="B185" s="75"/>
      <c r="C185" s="75"/>
      <c r="D185" s="76"/>
      <c r="E185" s="76"/>
      <c r="F185" s="76"/>
      <c r="G185" s="76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U185" s="76"/>
    </row>
    <row r="186" spans="1:21" hidden="1" x14ac:dyDescent="0.2">
      <c r="A186" s="347">
        <v>0</v>
      </c>
      <c r="B186" s="75" t="str">
        <f t="shared" ref="B186:B191" si="53">+B179</f>
        <v>Dr. Gáspár István HSZK</v>
      </c>
      <c r="C186" s="75">
        <v>0</v>
      </c>
      <c r="D186" s="76"/>
      <c r="E186" s="76"/>
      <c r="F186" s="76"/>
      <c r="G186" s="76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U186" s="76"/>
    </row>
    <row r="187" spans="1:21" hidden="1" x14ac:dyDescent="0.2">
      <c r="A187" s="348">
        <v>1</v>
      </c>
      <c r="B187" s="349" t="str">
        <f t="shared" si="53"/>
        <v>SÜLYSÁPI CSICSERGŐ ÓVODA</v>
      </c>
      <c r="C187" s="75">
        <f>-'5. Csicsergő'!C84*$A187</f>
        <v>-1070000</v>
      </c>
      <c r="D187" s="75">
        <f>-'5. Csicsergő'!D84*$A187</f>
        <v>-619000</v>
      </c>
      <c r="E187" s="75">
        <f>-'5. Csicsergő'!E84*$A187</f>
        <v>-589000</v>
      </c>
      <c r="F187" s="75">
        <f>-'5. Csicsergő'!F84*$A187</f>
        <v>-368000</v>
      </c>
      <c r="G187" s="75">
        <f>-'5. Csicsergő'!G84*$A187</f>
        <v>0</v>
      </c>
      <c r="H187" s="75">
        <f>-'5. Csicsergő'!H84*$A187</f>
        <v>-31989</v>
      </c>
      <c r="I187" s="75">
        <f>-'5. Csicsergő'!I84*$A187</f>
        <v>-31989</v>
      </c>
      <c r="J187" s="75">
        <f>-'5. Csicsergő'!J84*$A187</f>
        <v>-269302</v>
      </c>
      <c r="K187" s="75">
        <f>-'5. Csicsergő'!K84*$A187</f>
        <v>0</v>
      </c>
      <c r="L187" s="75"/>
      <c r="M187" s="75"/>
      <c r="N187" s="75"/>
      <c r="O187" s="75">
        <f>-'5. Csicsergő'!O84*$A187</f>
        <v>0</v>
      </c>
      <c r="P187" s="75">
        <f>-'5. Csicsergő'!P84*$A187</f>
        <v>451000</v>
      </c>
      <c r="Q187" s="75">
        <f>-'5. Csicsergő'!Q84*$A187</f>
        <v>30000</v>
      </c>
      <c r="R187" s="75">
        <f>-'5. Csicsergő'!R84*$A187</f>
        <v>221000</v>
      </c>
      <c r="S187" s="75">
        <f>-'5. Csicsergő'!S84*$A187</f>
        <v>702000</v>
      </c>
      <c r="U187" s="76"/>
    </row>
    <row r="188" spans="1:21" hidden="1" x14ac:dyDescent="0.2">
      <c r="A188" s="347">
        <v>0</v>
      </c>
      <c r="B188" s="75" t="str">
        <f t="shared" si="53"/>
        <v>GÓLYAHÍR BÖLCSŐDE</v>
      </c>
      <c r="C188" s="75">
        <v>0</v>
      </c>
      <c r="D188" s="76"/>
      <c r="E188" s="76"/>
      <c r="F188" s="76"/>
      <c r="G188" s="76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U188" s="76"/>
    </row>
    <row r="189" spans="1:21" hidden="1" x14ac:dyDescent="0.2">
      <c r="A189" s="348">
        <v>1</v>
      </c>
      <c r="B189" s="351" t="str">
        <f t="shared" si="53"/>
        <v>POLGÁRMESTERI HIVATAL</v>
      </c>
      <c r="C189" s="75" t="e">
        <f>-'7. Polg.Hiv.'!#REF!*$A189</f>
        <v>#REF!</v>
      </c>
      <c r="D189" s="75" t="e">
        <f>-'7. Polg.Hiv.'!#REF!*$A189</f>
        <v>#REF!</v>
      </c>
      <c r="E189" s="75" t="e">
        <f>-'7. Polg.Hiv.'!#REF!*$A189</f>
        <v>#REF!</v>
      </c>
      <c r="F189" s="75" t="e">
        <f>-'7. Polg.Hiv.'!#REF!*$A189</f>
        <v>#REF!</v>
      </c>
      <c r="G189" s="75" t="e">
        <f>-'7. Polg.Hiv.'!#REF!*$A189</f>
        <v>#REF!</v>
      </c>
      <c r="H189" s="75" t="e">
        <f>-'7. Polg.Hiv.'!#REF!*$A189</f>
        <v>#REF!</v>
      </c>
      <c r="I189" s="75" t="e">
        <f>-'7. Polg.Hiv.'!#REF!*$A189</f>
        <v>#REF!</v>
      </c>
      <c r="J189" s="75" t="e">
        <f>-'7. Polg.Hiv.'!#REF!*$A189</f>
        <v>#REF!</v>
      </c>
      <c r="K189" s="75" t="e">
        <f>-'7. Polg.Hiv.'!#REF!*$A189</f>
        <v>#REF!</v>
      </c>
      <c r="L189" s="75"/>
      <c r="M189" s="75"/>
      <c r="N189" s="75"/>
      <c r="O189" s="75" t="e">
        <f>-'7. Polg.Hiv.'!#REF!*$A189</f>
        <v>#REF!</v>
      </c>
      <c r="P189" s="75" t="e">
        <f>-'7. Polg.Hiv.'!#REF!*$A189</f>
        <v>#REF!</v>
      </c>
      <c r="Q189" s="75" t="e">
        <f>-'7. Polg.Hiv.'!#REF!*$A189</f>
        <v>#REF!</v>
      </c>
      <c r="R189" s="75" t="e">
        <f>-'7. Polg.Hiv.'!#REF!*$A189</f>
        <v>#REF!</v>
      </c>
      <c r="S189" s="75" t="e">
        <f>-'7. Polg.Hiv.'!#REF!*$A189</f>
        <v>#REF!</v>
      </c>
      <c r="U189" s="76"/>
    </row>
    <row r="190" spans="1:21" hidden="1" x14ac:dyDescent="0.2">
      <c r="A190" s="347">
        <v>0</v>
      </c>
      <c r="B190" s="75" t="str">
        <f t="shared" si="53"/>
        <v>Wass Albert Művelődési Központ és Könyvtár</v>
      </c>
      <c r="C190" s="75">
        <v>0</v>
      </c>
      <c r="D190" s="76"/>
      <c r="E190" s="76"/>
      <c r="F190" s="76"/>
      <c r="G190" s="76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U190" s="76"/>
    </row>
    <row r="191" spans="1:21" hidden="1" x14ac:dyDescent="0.2">
      <c r="A191" s="347">
        <v>0</v>
      </c>
      <c r="B191" s="75" t="str">
        <f t="shared" si="53"/>
        <v>Központi Konyha</v>
      </c>
      <c r="C191" s="75">
        <v>0</v>
      </c>
      <c r="D191" s="76"/>
      <c r="E191" s="76"/>
      <c r="F191" s="76"/>
      <c r="G191" s="76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U191" s="76"/>
    </row>
    <row r="192" spans="1:21" hidden="1" x14ac:dyDescent="0.2">
      <c r="A192" s="75"/>
      <c r="B192" s="75"/>
      <c r="C192" s="75"/>
      <c r="D192" s="76"/>
      <c r="E192" s="76"/>
      <c r="F192" s="76"/>
      <c r="G192" s="76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U192" s="76"/>
    </row>
    <row r="193" spans="1:21" hidden="1" x14ac:dyDescent="0.2">
      <c r="A193" s="347">
        <v>1</v>
      </c>
      <c r="B193" s="58" t="s">
        <v>433</v>
      </c>
      <c r="C193" s="75"/>
      <c r="D193" s="75" t="e">
        <f>+#REF!*$A193</f>
        <v>#REF!</v>
      </c>
      <c r="E193" s="75" t="e">
        <f>+#REF!*$A193</f>
        <v>#REF!</v>
      </c>
      <c r="F193" s="75" t="e">
        <f>+#REF!*$A193</f>
        <v>#REF!</v>
      </c>
      <c r="G193" s="76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U193" s="76"/>
    </row>
    <row r="194" spans="1:21" hidden="1" x14ac:dyDescent="0.2">
      <c r="A194" s="347">
        <v>1</v>
      </c>
      <c r="B194" s="58" t="s">
        <v>434</v>
      </c>
      <c r="C194" s="75">
        <f>+C120*$A194</f>
        <v>211500000</v>
      </c>
      <c r="D194" s="75">
        <f>+D120</f>
        <v>425525752</v>
      </c>
      <c r="E194" s="75">
        <f>+E120</f>
        <v>232468080</v>
      </c>
      <c r="F194" s="75">
        <f>+F120</f>
        <v>211886399</v>
      </c>
      <c r="G194" s="75"/>
      <c r="H194" s="75">
        <f>+H120</f>
        <v>7083713</v>
      </c>
      <c r="I194" s="75">
        <f>+I120</f>
        <v>16863789</v>
      </c>
      <c r="J194" s="75">
        <f>+J120</f>
        <v>65115830</v>
      </c>
      <c r="K194" s="75">
        <f>+K120</f>
        <v>0</v>
      </c>
      <c r="L194" s="75"/>
      <c r="M194" s="75"/>
      <c r="N194" s="75"/>
      <c r="O194" s="75">
        <f>+O120</f>
        <v>0</v>
      </c>
      <c r="P194" s="75">
        <f>+P120</f>
        <v>214025752</v>
      </c>
      <c r="Q194" s="75">
        <f>+Q120</f>
        <v>-193057672</v>
      </c>
      <c r="R194" s="75">
        <f>+R120</f>
        <v>-20581681</v>
      </c>
      <c r="S194" s="75">
        <f>+S120</f>
        <v>386399</v>
      </c>
      <c r="U194" s="76"/>
    </row>
    <row r="195" spans="1:21" hidden="1" x14ac:dyDescent="0.2">
      <c r="A195" s="347">
        <v>1</v>
      </c>
      <c r="B195" s="344" t="s">
        <v>435</v>
      </c>
      <c r="C195" s="75">
        <f>+C129*A195</f>
        <v>108480000</v>
      </c>
      <c r="D195" s="75">
        <f>+D129</f>
        <v>296686866</v>
      </c>
      <c r="E195" s="75">
        <f>+E129</f>
        <v>606662415</v>
      </c>
      <c r="F195" s="75">
        <f>+F129</f>
        <v>599031351</v>
      </c>
      <c r="G195" s="75"/>
      <c r="H195" s="75">
        <f>+H129</f>
        <v>3723918</v>
      </c>
      <c r="I195" s="75">
        <f>+I129</f>
        <v>167101844</v>
      </c>
      <c r="J195" s="75">
        <f>+J129</f>
        <v>376257702</v>
      </c>
      <c r="K195" s="75">
        <f>+K129</f>
        <v>0</v>
      </c>
      <c r="L195" s="75"/>
      <c r="M195" s="75"/>
      <c r="N195" s="75"/>
      <c r="O195" s="75">
        <f>+O129</f>
        <v>0</v>
      </c>
      <c r="P195" s="75">
        <f>+P129</f>
        <v>188206866</v>
      </c>
      <c r="Q195" s="75">
        <f>+Q129</f>
        <v>309975549</v>
      </c>
      <c r="R195" s="75">
        <f>+R129</f>
        <v>-7631064</v>
      </c>
      <c r="S195" s="75">
        <f>+S129</f>
        <v>490551351</v>
      </c>
      <c r="U195" s="76"/>
    </row>
    <row r="196" spans="1:21" hidden="1" x14ac:dyDescent="0.2">
      <c r="A196" s="75"/>
      <c r="B196" s="75"/>
      <c r="C196" s="75"/>
      <c r="D196" s="76"/>
      <c r="E196" s="76"/>
      <c r="F196" s="76"/>
      <c r="G196" s="76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U196" s="76"/>
    </row>
    <row r="197" spans="1:21" hidden="1" x14ac:dyDescent="0.2">
      <c r="A197" s="350">
        <v>1</v>
      </c>
      <c r="B197" s="58" t="s">
        <v>432</v>
      </c>
      <c r="C197" s="75">
        <f>+C145</f>
        <v>454166162</v>
      </c>
      <c r="D197" s="75">
        <f t="shared" ref="D197:E197" si="54">+D145</f>
        <v>474740182</v>
      </c>
      <c r="E197" s="75">
        <f t="shared" si="54"/>
        <v>476400182</v>
      </c>
      <c r="F197" s="75">
        <f>+F145</f>
        <v>485194019</v>
      </c>
      <c r="G197" s="75"/>
      <c r="H197" s="75">
        <f>+H145</f>
        <v>254833995</v>
      </c>
      <c r="I197" s="75">
        <f>+I145</f>
        <v>364039467</v>
      </c>
      <c r="J197" s="75">
        <f>+J145</f>
        <v>474591152</v>
      </c>
      <c r="K197" s="75"/>
      <c r="L197" s="75"/>
      <c r="M197" s="75"/>
      <c r="N197" s="75"/>
      <c r="O197" s="75"/>
      <c r="P197" s="75">
        <f>+P145</f>
        <v>20574020</v>
      </c>
      <c r="Q197" s="75">
        <f>+Q145</f>
        <v>1660000</v>
      </c>
      <c r="R197" s="75">
        <f>+R145</f>
        <v>8793837</v>
      </c>
      <c r="S197" s="75">
        <f>+S145</f>
        <v>31027857</v>
      </c>
      <c r="U197" s="76"/>
    </row>
    <row r="198" spans="1:21" hidden="1" x14ac:dyDescent="0.2">
      <c r="A198" s="22"/>
      <c r="B198" s="352" t="s">
        <v>440</v>
      </c>
      <c r="C198" s="75" t="e">
        <f>SUM(C179:C197)</f>
        <v>#REF!</v>
      </c>
      <c r="D198" s="75" t="e">
        <f>SUM(D179:D197)</f>
        <v>#REF!</v>
      </c>
      <c r="E198" s="75" t="e">
        <f>SUM(E179:E197)</f>
        <v>#REF!</v>
      </c>
      <c r="F198" s="75" t="e">
        <f>SUM(F179:F197)</f>
        <v>#REF!</v>
      </c>
      <c r="G198" s="75"/>
      <c r="H198" s="75" t="e">
        <f>SUM(H179:H197)</f>
        <v>#REF!</v>
      </c>
      <c r="I198" s="75" t="e">
        <f>SUM(I179:I197)</f>
        <v>#REF!</v>
      </c>
      <c r="J198" s="75" t="e">
        <f>SUM(J179:J197)</f>
        <v>#REF!</v>
      </c>
      <c r="K198" s="75"/>
      <c r="L198" s="75"/>
      <c r="M198" s="75"/>
      <c r="N198" s="75"/>
      <c r="O198" s="75"/>
      <c r="P198" s="75" t="e">
        <f>SUM(P179:P197)</f>
        <v>#REF!</v>
      </c>
      <c r="Q198" s="75" t="e">
        <f>SUM(Q179:Q197)</f>
        <v>#REF!</v>
      </c>
      <c r="R198" s="75" t="e">
        <f>SUM(R179:R197)</f>
        <v>#REF!</v>
      </c>
      <c r="S198" s="75" t="e">
        <f>SUM(S179:S197)</f>
        <v>#REF!</v>
      </c>
      <c r="U198" s="76"/>
    </row>
    <row r="199" spans="1:21" hidden="1" x14ac:dyDescent="0.2">
      <c r="A199" s="22"/>
      <c r="B199" s="22"/>
      <c r="C199" s="75"/>
      <c r="D199" s="76"/>
      <c r="E199" s="76"/>
      <c r="F199" s="76"/>
      <c r="G199" s="76"/>
      <c r="H199" s="75"/>
      <c r="L199" s="23"/>
      <c r="M199" s="23"/>
      <c r="N199" s="23"/>
      <c r="P199" s="23"/>
      <c r="Q199" s="23"/>
      <c r="R199" s="23"/>
      <c r="S199" s="23"/>
      <c r="U199" s="76"/>
    </row>
    <row r="200" spans="1:21" hidden="1" x14ac:dyDescent="0.2">
      <c r="A200" s="22"/>
      <c r="B200" s="353" t="s">
        <v>441</v>
      </c>
      <c r="C200" s="354" t="e">
        <f>+C198-C9</f>
        <v>#REF!</v>
      </c>
      <c r="D200" s="354" t="e">
        <f>+D198-D9</f>
        <v>#REF!</v>
      </c>
      <c r="E200" s="354" t="e">
        <f>+E198-E9</f>
        <v>#REF!</v>
      </c>
      <c r="F200" s="354" t="e">
        <f>+F198-F9</f>
        <v>#REF!</v>
      </c>
      <c r="G200" s="354"/>
      <c r="H200" s="354" t="e">
        <f>+H198-H9</f>
        <v>#REF!</v>
      </c>
      <c r="I200" s="354" t="e">
        <f>+I198-I9</f>
        <v>#REF!</v>
      </c>
      <c r="J200" s="354" t="e">
        <f>+J198-J9</f>
        <v>#REF!</v>
      </c>
      <c r="K200" s="354"/>
      <c r="L200" s="354"/>
      <c r="M200" s="354"/>
      <c r="N200" s="354"/>
      <c r="O200" s="354"/>
      <c r="P200" s="354" t="e">
        <f>+P198-P9</f>
        <v>#REF!</v>
      </c>
      <c r="Q200" s="354" t="e">
        <f>+Q198-Q9</f>
        <v>#REF!</v>
      </c>
      <c r="R200" s="354" t="e">
        <f>+R198-R9</f>
        <v>#REF!</v>
      </c>
      <c r="S200" s="354" t="e">
        <f>+S198-S9</f>
        <v>#REF!</v>
      </c>
      <c r="T200" s="355"/>
      <c r="U200" s="76"/>
    </row>
    <row r="201" spans="1:21" ht="3.6" hidden="1" customHeight="1" x14ac:dyDescent="0.2">
      <c r="A201" s="360"/>
      <c r="B201" s="360"/>
      <c r="C201" s="361"/>
      <c r="D201" s="362"/>
      <c r="E201" s="362"/>
      <c r="F201" s="362"/>
      <c r="G201" s="362"/>
      <c r="H201" s="361"/>
      <c r="I201" s="363"/>
      <c r="J201" s="363"/>
      <c r="K201" s="362"/>
      <c r="L201" s="364"/>
      <c r="M201" s="365"/>
      <c r="N201" s="366"/>
      <c r="O201" s="362"/>
      <c r="P201" s="361"/>
      <c r="Q201" s="361"/>
      <c r="R201" s="361"/>
      <c r="S201" s="361"/>
      <c r="T201" s="366"/>
      <c r="U201" s="76"/>
    </row>
    <row r="202" spans="1:21" hidden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idden="1" x14ac:dyDescent="0.2">
      <c r="A203" s="58" t="s">
        <v>442</v>
      </c>
      <c r="B203" s="22"/>
      <c r="C203" s="75"/>
      <c r="D203" s="76"/>
      <c r="E203" s="76"/>
      <c r="F203" s="76"/>
      <c r="G203" s="76"/>
      <c r="H203" s="75"/>
      <c r="K203" s="76"/>
      <c r="L203" s="93"/>
      <c r="M203" s="88"/>
      <c r="O203" s="76"/>
      <c r="P203" s="75"/>
      <c r="Q203" s="75"/>
      <c r="R203" s="75"/>
      <c r="S203" s="75"/>
      <c r="U203" s="76"/>
    </row>
    <row r="204" spans="1:21" hidden="1" x14ac:dyDescent="0.2">
      <c r="A204" s="22"/>
      <c r="B204" s="22"/>
      <c r="C204" s="75"/>
      <c r="D204" s="76"/>
      <c r="E204" s="76"/>
      <c r="F204" s="76"/>
      <c r="G204" s="76"/>
      <c r="H204" s="75"/>
      <c r="K204" s="76"/>
      <c r="L204" s="93"/>
      <c r="M204" s="88"/>
      <c r="O204" s="76"/>
      <c r="P204" s="75"/>
      <c r="Q204" s="75"/>
      <c r="R204" s="75"/>
      <c r="S204" s="75"/>
      <c r="U204" s="76"/>
    </row>
    <row r="205" spans="1:21" hidden="1" x14ac:dyDescent="0.2">
      <c r="A205" s="22"/>
      <c r="B205" s="58" t="s">
        <v>445</v>
      </c>
      <c r="C205" s="75" t="e">
        <f>SUM(C179:C191)</f>
        <v>#REF!</v>
      </c>
      <c r="D205" s="75" t="e">
        <f>SUM(D179:D191)</f>
        <v>#REF!</v>
      </c>
      <c r="E205" s="75" t="e">
        <f>SUM(E179:E191)</f>
        <v>#REF!</v>
      </c>
      <c r="F205" s="75" t="e">
        <f>SUM(F179:F191)</f>
        <v>#REF!</v>
      </c>
      <c r="G205" s="75"/>
      <c r="H205" s="75" t="e">
        <f>SUM(H179:H191)</f>
        <v>#REF!</v>
      </c>
      <c r="I205" s="75" t="e">
        <f>SUM(I179:I191)</f>
        <v>#REF!</v>
      </c>
      <c r="J205" s="75" t="e">
        <f>SUM(J179:J191)</f>
        <v>#REF!</v>
      </c>
      <c r="K205" s="76"/>
      <c r="L205" s="93"/>
      <c r="M205" s="88"/>
      <c r="O205" s="76"/>
      <c r="P205" s="75" t="e">
        <f t="shared" ref="P205:S205" si="55">SUM(P179:P191)</f>
        <v>#REF!</v>
      </c>
      <c r="Q205" s="75" t="e">
        <f t="shared" si="55"/>
        <v>#REF!</v>
      </c>
      <c r="R205" s="75" t="e">
        <f t="shared" si="55"/>
        <v>#REF!</v>
      </c>
      <c r="S205" s="75" t="e">
        <f t="shared" si="55"/>
        <v>#REF!</v>
      </c>
      <c r="U205" s="76"/>
    </row>
    <row r="206" spans="1:21" hidden="1" x14ac:dyDescent="0.2">
      <c r="A206" s="22"/>
      <c r="B206" s="356" t="s">
        <v>443</v>
      </c>
      <c r="C206" s="358" t="e">
        <f>+C205-C197</f>
        <v>#REF!</v>
      </c>
      <c r="D206" s="358" t="e">
        <f>+D205-D197</f>
        <v>#REF!</v>
      </c>
      <c r="E206" s="358" t="e">
        <f>+E205-E197</f>
        <v>#REF!</v>
      </c>
      <c r="F206" s="358" t="e">
        <f>+F205-F197</f>
        <v>#REF!</v>
      </c>
      <c r="G206" s="358"/>
      <c r="H206" s="358" t="e">
        <f>+H205-H197</f>
        <v>#REF!</v>
      </c>
      <c r="I206" s="358" t="e">
        <f>+I205-I197</f>
        <v>#REF!</v>
      </c>
      <c r="J206" s="358" t="e">
        <f>+J205-J197</f>
        <v>#REF!</v>
      </c>
      <c r="K206" s="359"/>
      <c r="L206" s="356"/>
      <c r="M206" s="357"/>
      <c r="N206" s="357"/>
      <c r="O206" s="359"/>
      <c r="P206" s="358" t="e">
        <f t="shared" ref="P206:S206" si="56">+P205-P197</f>
        <v>#REF!</v>
      </c>
      <c r="Q206" s="358" t="e">
        <f t="shared" si="56"/>
        <v>#REF!</v>
      </c>
      <c r="R206" s="358" t="e">
        <f t="shared" si="56"/>
        <v>#REF!</v>
      </c>
      <c r="S206" s="358" t="e">
        <f t="shared" si="56"/>
        <v>#REF!</v>
      </c>
      <c r="U206" s="76"/>
    </row>
    <row r="207" spans="1:21" hidden="1" x14ac:dyDescent="0.2">
      <c r="A207" s="22"/>
      <c r="B207" s="22"/>
      <c r="C207" s="75"/>
      <c r="D207" s="76"/>
      <c r="E207" s="76"/>
      <c r="F207" s="76"/>
      <c r="G207" s="76"/>
      <c r="H207" s="75"/>
      <c r="K207" s="76"/>
      <c r="L207" s="93"/>
      <c r="M207" s="88"/>
      <c r="O207" s="76"/>
      <c r="P207" s="23"/>
      <c r="Q207" s="23"/>
      <c r="R207" s="23"/>
      <c r="S207" s="23"/>
      <c r="U207" s="76"/>
    </row>
    <row r="208" spans="1:21" hidden="1" x14ac:dyDescent="0.2">
      <c r="A208" s="22"/>
      <c r="B208" s="58" t="s">
        <v>439</v>
      </c>
      <c r="C208" s="75" t="e">
        <f>+C205-C182-C189</f>
        <v>#REF!</v>
      </c>
      <c r="D208" s="75" t="e">
        <f>+D205-D182-D189</f>
        <v>#REF!</v>
      </c>
      <c r="E208" s="75" t="e">
        <f>+E205-E182-E189</f>
        <v>#REF!</v>
      </c>
      <c r="F208" s="75" t="e">
        <f>+F205-F182-F189</f>
        <v>#REF!</v>
      </c>
      <c r="G208" s="75"/>
      <c r="H208" s="75" t="e">
        <f>+H205-H182-H189</f>
        <v>#REF!</v>
      </c>
      <c r="I208" s="75" t="e">
        <f>+I205-I182-I189</f>
        <v>#REF!</v>
      </c>
      <c r="J208" s="75" t="e">
        <f>+J205-J182-J189</f>
        <v>#REF!</v>
      </c>
      <c r="K208" s="76"/>
      <c r="L208" s="93"/>
      <c r="M208" s="88"/>
      <c r="O208" s="76"/>
      <c r="P208" s="75" t="e">
        <f t="shared" ref="P208:S208" si="57">+P205-P182-P189</f>
        <v>#REF!</v>
      </c>
      <c r="Q208" s="75" t="e">
        <f t="shared" si="57"/>
        <v>#REF!</v>
      </c>
      <c r="R208" s="75" t="e">
        <f t="shared" si="57"/>
        <v>#REF!</v>
      </c>
      <c r="S208" s="75" t="e">
        <f t="shared" si="57"/>
        <v>#REF!</v>
      </c>
      <c r="U208" s="76"/>
    </row>
    <row r="209" spans="1:21" hidden="1" x14ac:dyDescent="0.2">
      <c r="A209" s="22"/>
      <c r="B209" s="356" t="s">
        <v>444</v>
      </c>
      <c r="C209" s="358" t="e">
        <f>+C208-C197</f>
        <v>#REF!</v>
      </c>
      <c r="D209" s="358" t="e">
        <f>+D208-D197</f>
        <v>#REF!</v>
      </c>
      <c r="E209" s="358" t="e">
        <f>+E208-E197</f>
        <v>#REF!</v>
      </c>
      <c r="F209" s="358" t="e">
        <f>+F208-F197</f>
        <v>#REF!</v>
      </c>
      <c r="G209" s="358"/>
      <c r="H209" s="358" t="e">
        <f>+H208-H197</f>
        <v>#REF!</v>
      </c>
      <c r="I209" s="358" t="e">
        <f>+I208-I197</f>
        <v>#REF!</v>
      </c>
      <c r="J209" s="358" t="e">
        <f>+J208-J197</f>
        <v>#REF!</v>
      </c>
      <c r="K209" s="359"/>
      <c r="L209" s="356"/>
      <c r="M209" s="357"/>
      <c r="N209" s="357"/>
      <c r="O209" s="359"/>
      <c r="P209" s="358" t="e">
        <f t="shared" ref="P209:S209" si="58">+P208-P197</f>
        <v>#REF!</v>
      </c>
      <c r="Q209" s="358" t="e">
        <f t="shared" si="58"/>
        <v>#REF!</v>
      </c>
      <c r="R209" s="358" t="e">
        <f t="shared" si="58"/>
        <v>#REF!</v>
      </c>
      <c r="S209" s="358" t="e">
        <f t="shared" si="58"/>
        <v>#REF!</v>
      </c>
      <c r="U209" s="76"/>
    </row>
    <row r="210" spans="1:21" hidden="1" x14ac:dyDescent="0.2">
      <c r="A210" s="22"/>
      <c r="B210" s="22"/>
      <c r="C210" s="75"/>
      <c r="D210" s="76"/>
      <c r="E210" s="76"/>
      <c r="F210" s="76"/>
      <c r="G210" s="76"/>
      <c r="H210" s="75"/>
      <c r="K210" s="76"/>
      <c r="L210" s="93"/>
      <c r="M210" s="88"/>
      <c r="O210" s="76"/>
      <c r="P210" s="75"/>
      <c r="Q210" s="75"/>
      <c r="R210" s="75"/>
      <c r="S210" s="75"/>
      <c r="U210" s="76"/>
    </row>
    <row r="211" spans="1:21" hidden="1" x14ac:dyDescent="0.2">
      <c r="A211" s="22"/>
      <c r="B211" s="22"/>
      <c r="C211" s="75"/>
      <c r="D211" s="76"/>
      <c r="E211" s="76"/>
      <c r="F211" s="76"/>
      <c r="G211" s="76"/>
      <c r="H211" s="75"/>
      <c r="K211" s="76"/>
      <c r="L211" s="93"/>
      <c r="M211" s="88"/>
      <c r="O211" s="76"/>
      <c r="P211" s="75"/>
      <c r="Q211" s="75"/>
      <c r="R211" s="75"/>
      <c r="S211" s="75"/>
      <c r="U211" s="76"/>
    </row>
    <row r="212" spans="1:21" hidden="1" x14ac:dyDescent="0.2">
      <c r="A212" s="58" t="s">
        <v>0</v>
      </c>
      <c r="B212" s="22"/>
      <c r="C212" s="75">
        <f>+C13</f>
        <v>107902000</v>
      </c>
      <c r="D212" s="76"/>
      <c r="E212" s="76"/>
      <c r="F212" s="76"/>
      <c r="G212" s="76"/>
      <c r="H212" s="75"/>
      <c r="K212" s="76"/>
      <c r="L212" s="93"/>
      <c r="M212" s="88"/>
      <c r="O212" s="76"/>
      <c r="P212" s="75"/>
      <c r="Q212" s="75"/>
      <c r="R212" s="75"/>
      <c r="S212" s="75"/>
      <c r="U212" s="76"/>
    </row>
    <row r="213" spans="1:21" hidden="1" x14ac:dyDescent="0.2">
      <c r="B213" s="58" t="str">
        <f>+'4. Dr Gáspár HSZK'!A1</f>
        <v>Dr. Gáspár István HSZK</v>
      </c>
      <c r="C213" s="75">
        <f>+'4. Dr Gáspár HSZK'!C13</f>
        <v>21347000</v>
      </c>
      <c r="D213" s="75">
        <f>+'4. Dr Gáspár HSZK'!D13</f>
        <v>21347000</v>
      </c>
      <c r="E213" s="75">
        <f>+'4. Dr Gáspár HSZK'!E13</f>
        <v>21347000</v>
      </c>
      <c r="F213" s="75">
        <f>+'4. Dr Gáspár HSZK'!F13</f>
        <v>21244000</v>
      </c>
      <c r="G213" s="75"/>
      <c r="H213" s="75">
        <f>+'4. Dr Gáspár HSZK'!H13</f>
        <v>9693006</v>
      </c>
      <c r="I213" s="75">
        <f>+'4. Dr Gáspár HSZK'!I13</f>
        <v>14973453</v>
      </c>
      <c r="J213" s="75">
        <f>+'4. Dr Gáspár HSZK'!J13</f>
        <v>20196955</v>
      </c>
      <c r="K213" s="75"/>
      <c r="L213" s="75"/>
      <c r="M213" s="75"/>
      <c r="N213" s="75"/>
      <c r="O213" s="75"/>
      <c r="P213" s="75">
        <f>+'4. Dr Gáspár HSZK'!P13</f>
        <v>0</v>
      </c>
      <c r="Q213" s="75">
        <f>+'4. Dr Gáspár HSZK'!Q13</f>
        <v>0</v>
      </c>
      <c r="R213" s="75">
        <f>+'4. Dr Gáspár HSZK'!R13</f>
        <v>-103000</v>
      </c>
      <c r="S213" s="75">
        <f>+'4. Dr Gáspár HSZK'!S13</f>
        <v>-103000</v>
      </c>
      <c r="U213" s="76"/>
    </row>
    <row r="214" spans="1:21" hidden="1" x14ac:dyDescent="0.2">
      <c r="A214" s="22"/>
      <c r="B214" s="58" t="str">
        <f>+'5. Csicsergő'!A1</f>
        <v>SÜLYSÁPI CSICSERGŐ ÓVODA</v>
      </c>
      <c r="C214" s="75">
        <f>+'5. Csicsergő'!C13</f>
        <v>133266100</v>
      </c>
      <c r="D214" s="75">
        <f>+'5. Csicsergő'!D13</f>
        <v>133266100</v>
      </c>
      <c r="E214" s="75">
        <f>+'5. Csicsergő'!E13</f>
        <v>133886100</v>
      </c>
      <c r="F214" s="75">
        <f>+'5. Csicsergő'!F13</f>
        <v>139676693</v>
      </c>
      <c r="G214" s="75"/>
      <c r="H214" s="75">
        <f>+'5. Csicsergő'!H13</f>
        <v>64161938</v>
      </c>
      <c r="I214" s="75">
        <f>+'5. Csicsergő'!I13</f>
        <v>102942419</v>
      </c>
      <c r="J214" s="75">
        <f>+'5. Csicsergő'!J13</f>
        <v>139672082</v>
      </c>
      <c r="K214" s="75"/>
      <c r="L214" s="75"/>
      <c r="M214" s="75"/>
      <c r="N214" s="75"/>
      <c r="O214" s="75"/>
      <c r="P214" s="75">
        <f>+'5. Csicsergő'!P13</f>
        <v>0</v>
      </c>
      <c r="Q214" s="75">
        <f>+'5. Csicsergő'!Q13</f>
        <v>620000</v>
      </c>
      <c r="R214" s="75">
        <f>+'5. Csicsergő'!R13</f>
        <v>5790593</v>
      </c>
      <c r="S214" s="75">
        <f>+'5. Csicsergő'!S13</f>
        <v>6410593</v>
      </c>
      <c r="U214" s="76"/>
    </row>
    <row r="215" spans="1:21" hidden="1" x14ac:dyDescent="0.2">
      <c r="A215" s="22"/>
      <c r="B215" s="22" t="str">
        <f>+'6. Gólyahír'!A1</f>
        <v>GÓLYAHÍR BÖLCSŐDE</v>
      </c>
      <c r="C215" s="75">
        <f>+'6. Gólyahír'!C13</f>
        <v>36545000</v>
      </c>
      <c r="D215" s="75">
        <f>+'6. Gólyahír'!D13</f>
        <v>36593000</v>
      </c>
      <c r="E215" s="75">
        <f>+'6. Gólyahír'!E13</f>
        <v>36593000</v>
      </c>
      <c r="F215" s="75">
        <f>+'6. Gólyahír'!F13</f>
        <v>36593000</v>
      </c>
      <c r="G215" s="75"/>
      <c r="H215" s="75">
        <f>+'6. Gólyahír'!H13</f>
        <v>17008819</v>
      </c>
      <c r="I215" s="75">
        <f>+'6. Gólyahír'!I13</f>
        <v>25128058</v>
      </c>
      <c r="J215" s="75">
        <f>+'6. Gólyahír'!J13</f>
        <v>34445561</v>
      </c>
      <c r="K215" s="75"/>
      <c r="L215" s="75"/>
      <c r="M215" s="75"/>
      <c r="N215" s="75"/>
      <c r="O215" s="75"/>
      <c r="P215" s="75">
        <f>+'6. Gólyahír'!P13</f>
        <v>48000</v>
      </c>
      <c r="Q215" s="75">
        <f>+'6. Gólyahír'!Q13</f>
        <v>0</v>
      </c>
      <c r="R215" s="75">
        <f>+'6. Gólyahír'!R13</f>
        <v>0</v>
      </c>
      <c r="S215" s="75">
        <f>+'6. Gólyahír'!S13</f>
        <v>48000</v>
      </c>
      <c r="U215" s="76"/>
    </row>
    <row r="216" spans="1:21" hidden="1" x14ac:dyDescent="0.2">
      <c r="A216" s="22"/>
      <c r="B216" s="75" t="str">
        <f>+'7. Polg.Hiv.'!A1</f>
        <v>POLGÁRMESTERI HIVATAL</v>
      </c>
      <c r="C216" s="75">
        <f>+'7. Polg.Hiv.'!C13</f>
        <v>82838000</v>
      </c>
      <c r="D216" s="75">
        <f>+'7. Polg.Hiv.'!D13</f>
        <v>82838000</v>
      </c>
      <c r="E216" s="75">
        <f>+'7. Polg.Hiv.'!E13</f>
        <v>81838000</v>
      </c>
      <c r="F216" s="75">
        <f>+'7. Polg.Hiv.'!F13</f>
        <v>81838000</v>
      </c>
      <c r="G216" s="75"/>
      <c r="H216" s="75">
        <f>+'7. Polg.Hiv.'!H13</f>
        <v>36864685</v>
      </c>
      <c r="I216" s="75">
        <f>+'7. Polg.Hiv.'!I13</f>
        <v>56172555</v>
      </c>
      <c r="J216" s="75">
        <f>+'7. Polg.Hiv.'!J13</f>
        <v>76474091</v>
      </c>
      <c r="K216" s="75"/>
      <c r="L216" s="75"/>
      <c r="M216" s="75"/>
      <c r="N216" s="75"/>
      <c r="O216" s="75"/>
      <c r="P216" s="75">
        <f>+'7. Polg.Hiv.'!P13</f>
        <v>0</v>
      </c>
      <c r="Q216" s="75">
        <f>+'7. Polg.Hiv.'!Q13</f>
        <v>-1000000</v>
      </c>
      <c r="R216" s="75">
        <f>+'7. Polg.Hiv.'!R13</f>
        <v>0</v>
      </c>
      <c r="S216" s="75">
        <f>+'7. Polg.Hiv.'!S13</f>
        <v>-1000000</v>
      </c>
      <c r="U216" s="76"/>
    </row>
    <row r="217" spans="1:21" hidden="1" x14ac:dyDescent="0.2">
      <c r="A217" s="22"/>
      <c r="B217" s="75" t="str">
        <f>+'8. WAMKK'!A1</f>
        <v>Wass Albert Művelődési Központ és Könyvtár</v>
      </c>
      <c r="C217" s="75">
        <f>+'8. WAMKK'!C13</f>
        <v>14060000</v>
      </c>
      <c r="D217" s="75">
        <f>+'8. WAMKK'!D13</f>
        <v>14060000</v>
      </c>
      <c r="E217" s="75">
        <f>+'8. WAMKK'!E13</f>
        <v>14060000</v>
      </c>
      <c r="F217" s="75">
        <f>+'8. WAMKK'!F13</f>
        <v>14053263</v>
      </c>
      <c r="G217" s="75"/>
      <c r="H217" s="75">
        <f>+'8. WAMKK'!H13</f>
        <v>6508406</v>
      </c>
      <c r="I217" s="75">
        <f>+'8. WAMKK'!I13</f>
        <v>10416832</v>
      </c>
      <c r="J217" s="75">
        <f>+'8. WAMKK'!J13</f>
        <v>14053263</v>
      </c>
      <c r="K217" s="75"/>
      <c r="L217" s="75"/>
      <c r="M217" s="75"/>
      <c r="N217" s="75"/>
      <c r="O217" s="75"/>
      <c r="P217" s="75">
        <f>+'8. WAMKK'!P13</f>
        <v>0</v>
      </c>
      <c r="Q217" s="75">
        <f>+'8. WAMKK'!Q13</f>
        <v>0</v>
      </c>
      <c r="R217" s="75">
        <f>+'8. WAMKK'!R13</f>
        <v>-6737</v>
      </c>
      <c r="S217" s="75">
        <f>+'8. WAMKK'!S13</f>
        <v>-6737</v>
      </c>
      <c r="U217" s="76"/>
    </row>
    <row r="218" spans="1:21" hidden="1" x14ac:dyDescent="0.2">
      <c r="A218" s="22"/>
      <c r="B218" s="75" t="str">
        <f>+'9. Közp. Konyha'!A1</f>
        <v>Központi Konyha</v>
      </c>
      <c r="C218" s="75">
        <f>+'9. Közp. Konyha'!C13</f>
        <v>23625000</v>
      </c>
      <c r="D218" s="75">
        <f>+'9. Közp. Konyha'!D13</f>
        <v>23625000</v>
      </c>
      <c r="E218" s="75">
        <f>+'9. Közp. Konyha'!E13</f>
        <v>23625000</v>
      </c>
      <c r="F218" s="75">
        <f>+'9. Közp. Konyha'!F13</f>
        <v>23560277</v>
      </c>
      <c r="G218" s="75"/>
      <c r="H218" s="75">
        <f>+'9. Közp. Konyha'!H13</f>
        <v>11298003</v>
      </c>
      <c r="I218" s="75">
        <f>+'9. Közp. Konyha'!I13</f>
        <v>17380903</v>
      </c>
      <c r="J218" s="75">
        <f>+'9. Közp. Konyha'!J13</f>
        <v>23560277</v>
      </c>
      <c r="K218" s="75"/>
      <c r="L218" s="75"/>
      <c r="M218" s="75"/>
      <c r="N218" s="75"/>
      <c r="O218" s="75"/>
      <c r="P218" s="75">
        <f>+'9. Közp. Konyha'!P13</f>
        <v>0</v>
      </c>
      <c r="Q218" s="75">
        <f>+'9. Közp. Konyha'!Q13</f>
        <v>0</v>
      </c>
      <c r="R218" s="75">
        <f>+'9. Közp. Konyha'!R13</f>
        <v>-64723</v>
      </c>
      <c r="S218" s="75">
        <f>+'9. Közp. Konyha'!S13</f>
        <v>-64723</v>
      </c>
      <c r="U218" s="76"/>
    </row>
    <row r="219" spans="1:21" hidden="1" x14ac:dyDescent="0.2">
      <c r="A219" s="22"/>
      <c r="B219" s="367" t="s">
        <v>448</v>
      </c>
      <c r="C219" s="368">
        <f>SUM(C213:C218)</f>
        <v>311681100</v>
      </c>
      <c r="D219" s="368">
        <f>SUM(D213:D218)</f>
        <v>311729100</v>
      </c>
      <c r="E219" s="368">
        <f>SUM(E213:E218)</f>
        <v>311349100</v>
      </c>
      <c r="F219" s="368">
        <f>SUM(F213:F218)</f>
        <v>316965233</v>
      </c>
      <c r="G219" s="368"/>
      <c r="H219" s="368">
        <f>SUM(H213:H218)</f>
        <v>145534857</v>
      </c>
      <c r="I219" s="368">
        <f>SUM(I213:I218)</f>
        <v>227014220</v>
      </c>
      <c r="J219" s="368">
        <f>SUM(J213:J218)</f>
        <v>308402229</v>
      </c>
      <c r="K219" s="368"/>
      <c r="L219" s="368"/>
      <c r="M219" s="368"/>
      <c r="N219" s="368"/>
      <c r="O219" s="368"/>
      <c r="P219" s="368">
        <f>SUM(P213:P218)</f>
        <v>48000</v>
      </c>
      <c r="Q219" s="368">
        <f>SUM(Q213:Q218)</f>
        <v>-380000</v>
      </c>
      <c r="R219" s="368">
        <f>SUM(R213:R218)</f>
        <v>5616133</v>
      </c>
      <c r="S219" s="369">
        <f>SUM(S213:S218)</f>
        <v>5284133</v>
      </c>
      <c r="U219" s="76"/>
    </row>
    <row r="220" spans="1:21" hidden="1" x14ac:dyDescent="0.2">
      <c r="A220" s="22"/>
      <c r="B220" s="22"/>
      <c r="C220" s="75"/>
      <c r="D220" s="76"/>
      <c r="E220" s="76"/>
      <c r="F220" s="76"/>
      <c r="G220" s="76"/>
      <c r="H220" s="75"/>
      <c r="K220" s="76"/>
      <c r="L220" s="93"/>
      <c r="M220" s="88"/>
      <c r="O220" s="76"/>
      <c r="P220" s="75"/>
      <c r="Q220" s="75"/>
      <c r="R220" s="75"/>
      <c r="S220" s="75"/>
      <c r="U220" s="76"/>
    </row>
    <row r="221" spans="1:21" hidden="1" x14ac:dyDescent="0.2">
      <c r="A221" s="58" t="s">
        <v>26</v>
      </c>
      <c r="B221" s="58" t="str">
        <f>+B213</f>
        <v>Dr. Gáspár István HSZK</v>
      </c>
      <c r="C221" s="75">
        <f>+'4. Dr Gáspár HSZK'!C29</f>
        <v>4780000</v>
      </c>
      <c r="D221" s="75">
        <f>+'4. Dr Gáspár HSZK'!D29</f>
        <v>4780000</v>
      </c>
      <c r="E221" s="75">
        <f>+'4. Dr Gáspár HSZK'!E29</f>
        <v>4780000</v>
      </c>
      <c r="F221" s="75">
        <f>+'4. Dr Gáspár HSZK'!F29</f>
        <v>4883000</v>
      </c>
      <c r="G221" s="75"/>
      <c r="H221" s="75">
        <f>+'4. Dr Gáspár HSZK'!H29</f>
        <v>2484606</v>
      </c>
      <c r="I221" s="75">
        <f>+'4. Dr Gáspár HSZK'!I29</f>
        <v>3809209</v>
      </c>
      <c r="J221" s="75">
        <f>+'4. Dr Gáspár HSZK'!J29</f>
        <v>4882493</v>
      </c>
      <c r="K221" s="75"/>
      <c r="L221" s="75"/>
      <c r="M221" s="75"/>
      <c r="N221" s="75"/>
      <c r="O221" s="75"/>
      <c r="P221" s="75">
        <f>+'4. Dr Gáspár HSZK'!P29</f>
        <v>0</v>
      </c>
      <c r="Q221" s="75">
        <f>+'4. Dr Gáspár HSZK'!Q29</f>
        <v>0</v>
      </c>
      <c r="R221" s="75">
        <f>+'4. Dr Gáspár HSZK'!R29</f>
        <v>103000</v>
      </c>
      <c r="S221" s="75">
        <f>+'4. Dr Gáspár HSZK'!S29</f>
        <v>103000</v>
      </c>
      <c r="U221" s="76"/>
    </row>
    <row r="222" spans="1:21" hidden="1" x14ac:dyDescent="0.2">
      <c r="A222" s="22"/>
      <c r="B222" s="58" t="str">
        <f t="shared" ref="B222:B226" si="59">+B214</f>
        <v>SÜLYSÁPI CSICSERGŐ ÓVODA</v>
      </c>
      <c r="C222" s="75">
        <f>+'5. Csicsergő'!C30</f>
        <v>28627000</v>
      </c>
      <c r="D222" s="75">
        <f>+'5. Csicsergő'!D30</f>
        <v>28627000</v>
      </c>
      <c r="E222" s="75">
        <f>+'5. Csicsergő'!E30</f>
        <v>28627000</v>
      </c>
      <c r="F222" s="75">
        <f>+'5. Csicsergő'!F30</f>
        <v>32210407</v>
      </c>
      <c r="G222" s="75"/>
      <c r="H222" s="75">
        <f>+'5. Csicsergő'!H30</f>
        <v>15717456</v>
      </c>
      <c r="I222" s="75">
        <f>+'5. Csicsergő'!I30</f>
        <v>24507259</v>
      </c>
      <c r="J222" s="75">
        <f>+'5. Csicsergő'!J30</f>
        <v>32210279</v>
      </c>
      <c r="K222" s="75"/>
      <c r="L222" s="75"/>
      <c r="M222" s="75"/>
      <c r="N222" s="75"/>
      <c r="O222" s="75"/>
      <c r="P222" s="75">
        <f>+'5. Csicsergő'!P30</f>
        <v>0</v>
      </c>
      <c r="Q222" s="75">
        <f>+'5. Csicsergő'!Q30</f>
        <v>0</v>
      </c>
      <c r="R222" s="75">
        <f>+'5. Csicsergő'!R30</f>
        <v>3583407</v>
      </c>
      <c r="S222" s="75">
        <f>+'5. Csicsergő'!S30</f>
        <v>3583407</v>
      </c>
      <c r="U222" s="76"/>
    </row>
    <row r="223" spans="1:21" hidden="1" x14ac:dyDescent="0.2">
      <c r="A223" s="22"/>
      <c r="B223" s="58" t="str">
        <f t="shared" si="59"/>
        <v>GÓLYAHÍR BÖLCSŐDE</v>
      </c>
      <c r="C223" s="75">
        <f>+'6. Gólyahír'!C29</f>
        <v>8079000</v>
      </c>
      <c r="D223" s="75">
        <f>+'6. Gólyahír'!D29</f>
        <v>8079000</v>
      </c>
      <c r="E223" s="75">
        <f>+'6. Gólyahír'!E29</f>
        <v>8079000</v>
      </c>
      <c r="F223" s="75">
        <f>+'6. Gólyahír'!F29</f>
        <v>8079000</v>
      </c>
      <c r="G223" s="75"/>
      <c r="H223" s="75">
        <f>+'6. Gólyahír'!H29</f>
        <v>4326412</v>
      </c>
      <c r="I223" s="75">
        <f>+'6. Gólyahír'!I29</f>
        <v>6166973</v>
      </c>
      <c r="J223" s="75">
        <f>+'6. Gólyahír'!J29</f>
        <v>8035363</v>
      </c>
      <c r="K223" s="75"/>
      <c r="L223" s="75"/>
      <c r="M223" s="75"/>
      <c r="N223" s="75"/>
      <c r="O223" s="75"/>
      <c r="P223" s="75">
        <f>+'6. Gólyahír'!P29</f>
        <v>0</v>
      </c>
      <c r="Q223" s="75">
        <f>+'6. Gólyahír'!Q29</f>
        <v>0</v>
      </c>
      <c r="R223" s="75">
        <f>+'6. Gólyahír'!R29</f>
        <v>0</v>
      </c>
      <c r="S223" s="75">
        <f>+'6. Gólyahír'!S29</f>
        <v>0</v>
      </c>
      <c r="U223" s="76"/>
    </row>
    <row r="224" spans="1:21" hidden="1" x14ac:dyDescent="0.2">
      <c r="A224" s="22"/>
      <c r="B224" s="58" t="str">
        <f t="shared" si="59"/>
        <v>POLGÁRMESTERI HIVATAL</v>
      </c>
      <c r="C224" s="75">
        <f>+'7. Polg.Hiv.'!C29</f>
        <v>18770000</v>
      </c>
      <c r="D224" s="75">
        <f>+'7. Polg.Hiv.'!D29</f>
        <v>18770000</v>
      </c>
      <c r="E224" s="75">
        <f>+'7. Polg.Hiv.'!E29</f>
        <v>18770000</v>
      </c>
      <c r="F224" s="75">
        <f>+'7. Polg.Hiv.'!F29</f>
        <v>18770000</v>
      </c>
      <c r="G224" s="75"/>
      <c r="H224" s="75">
        <f>+'7. Polg.Hiv.'!H29</f>
        <v>9993764</v>
      </c>
      <c r="I224" s="75">
        <f>+'7. Polg.Hiv.'!I29</f>
        <v>14461063</v>
      </c>
      <c r="J224" s="75">
        <f>+'7. Polg.Hiv.'!J29</f>
        <v>18404376</v>
      </c>
      <c r="K224" s="75"/>
      <c r="L224" s="75"/>
      <c r="M224" s="75"/>
      <c r="N224" s="75"/>
      <c r="O224" s="75"/>
      <c r="P224" s="75">
        <f>+'7. Polg.Hiv.'!P29</f>
        <v>0</v>
      </c>
      <c r="Q224" s="75">
        <f>+'7. Polg.Hiv.'!Q29</f>
        <v>0</v>
      </c>
      <c r="R224" s="75">
        <f>+'7. Polg.Hiv.'!R29</f>
        <v>0</v>
      </c>
      <c r="S224" s="75">
        <f>+'7. Polg.Hiv.'!S29</f>
        <v>0</v>
      </c>
      <c r="U224" s="76"/>
    </row>
    <row r="225" spans="1:21" hidden="1" x14ac:dyDescent="0.2">
      <c r="A225" s="22"/>
      <c r="B225" s="58" t="str">
        <f t="shared" si="59"/>
        <v>Wass Albert Művelődési Központ és Könyvtár</v>
      </c>
      <c r="C225" s="75">
        <f>+'8. WAMKK'!C29</f>
        <v>3122000</v>
      </c>
      <c r="D225" s="75">
        <f>+'8. WAMKK'!D29</f>
        <v>3122000</v>
      </c>
      <c r="E225" s="75">
        <f>+'8. WAMKK'!E29</f>
        <v>3122000</v>
      </c>
      <c r="F225" s="75">
        <f>+'8. WAMKK'!F29</f>
        <v>3192883</v>
      </c>
      <c r="G225" s="75"/>
      <c r="H225" s="75">
        <f>+'8. WAMKK'!H29</f>
        <v>1584849</v>
      </c>
      <c r="I225" s="75">
        <f>+'8. WAMKK'!I29</f>
        <v>2457659</v>
      </c>
      <c r="J225" s="75">
        <f>+'8. WAMKK'!J29</f>
        <v>3192883</v>
      </c>
      <c r="K225" s="75"/>
      <c r="L225" s="75"/>
      <c r="M225" s="75"/>
      <c r="N225" s="75"/>
      <c r="O225" s="75"/>
      <c r="P225" s="75">
        <f>+'8. WAMKK'!P29</f>
        <v>0</v>
      </c>
      <c r="Q225" s="75">
        <f>+'8. WAMKK'!Q29</f>
        <v>0</v>
      </c>
      <c r="R225" s="75">
        <f>+'8. WAMKK'!R29</f>
        <v>70883</v>
      </c>
      <c r="S225" s="75">
        <f>+'8. WAMKK'!S29</f>
        <v>70883</v>
      </c>
      <c r="U225" s="76"/>
    </row>
    <row r="226" spans="1:21" hidden="1" x14ac:dyDescent="0.2">
      <c r="A226" s="22"/>
      <c r="B226" s="58" t="str">
        <f t="shared" si="59"/>
        <v>Központi Konyha</v>
      </c>
      <c r="C226" s="75">
        <f>+'9. Közp. Konyha'!C29</f>
        <v>5375000</v>
      </c>
      <c r="D226" s="75">
        <f>+'9. Közp. Konyha'!D29</f>
        <v>5375000</v>
      </c>
      <c r="E226" s="75">
        <f>+'9. Közp. Konyha'!E29</f>
        <v>5375000</v>
      </c>
      <c r="F226" s="75">
        <f>+'9. Közp. Konyha'!F29</f>
        <v>5671045</v>
      </c>
      <c r="G226" s="75"/>
      <c r="H226" s="75">
        <f>+'9. Közp. Konyha'!H29</f>
        <v>2994544</v>
      </c>
      <c r="I226" s="75">
        <f>+'9. Közp. Konyha'!I29</f>
        <v>4380440</v>
      </c>
      <c r="J226" s="75">
        <f>+'9. Közp. Konyha'!J29</f>
        <v>5671045</v>
      </c>
      <c r="K226" s="75"/>
      <c r="L226" s="75"/>
      <c r="M226" s="75"/>
      <c r="N226" s="75"/>
      <c r="O226" s="75"/>
      <c r="P226" s="75">
        <f>+'9. Közp. Konyha'!P29</f>
        <v>0</v>
      </c>
      <c r="Q226" s="75">
        <f>+'9. Közp. Konyha'!Q29</f>
        <v>0</v>
      </c>
      <c r="R226" s="75">
        <f>+'9. Közp. Konyha'!R29</f>
        <v>296045</v>
      </c>
      <c r="S226" s="75">
        <f>+'9. Közp. Konyha'!S29</f>
        <v>296045</v>
      </c>
      <c r="U226" s="76"/>
    </row>
    <row r="227" spans="1:21" hidden="1" x14ac:dyDescent="0.2">
      <c r="A227" s="22"/>
      <c r="B227" s="367" t="s">
        <v>448</v>
      </c>
      <c r="C227" s="368">
        <f>SUM(C221:C226)</f>
        <v>68753000</v>
      </c>
      <c r="D227" s="368">
        <f>SUM(D221:D226)</f>
        <v>68753000</v>
      </c>
      <c r="E227" s="368">
        <f>SUM(E221:E226)</f>
        <v>68753000</v>
      </c>
      <c r="F227" s="368">
        <f>SUM(F221:F226)</f>
        <v>72806335</v>
      </c>
      <c r="G227" s="368"/>
      <c r="H227" s="368">
        <f>SUM(H221:H226)</f>
        <v>37101631</v>
      </c>
      <c r="I227" s="368">
        <f>SUM(I221:I226)</f>
        <v>55782603</v>
      </c>
      <c r="J227" s="368">
        <f>SUM(J221:J226)</f>
        <v>72396439</v>
      </c>
      <c r="K227" s="368"/>
      <c r="L227" s="368"/>
      <c r="M227" s="368"/>
      <c r="N227" s="368"/>
      <c r="O227" s="368"/>
      <c r="P227" s="368">
        <f>SUM(P221:P226)</f>
        <v>0</v>
      </c>
      <c r="Q227" s="368">
        <f>SUM(Q221:Q226)</f>
        <v>0</v>
      </c>
      <c r="R227" s="368">
        <f>SUM(R221:R226)</f>
        <v>4053335</v>
      </c>
      <c r="S227" s="369">
        <f>SUM(S221:S226)</f>
        <v>4053335</v>
      </c>
      <c r="U227" s="76"/>
    </row>
    <row r="228" spans="1:21" hidden="1" x14ac:dyDescent="0.2">
      <c r="A228" s="22"/>
      <c r="B228" s="22"/>
      <c r="C228" s="75"/>
      <c r="D228" s="76"/>
      <c r="E228" s="76"/>
      <c r="F228" s="76"/>
      <c r="G228" s="76"/>
      <c r="H228" s="75"/>
      <c r="K228" s="76"/>
      <c r="L228" s="93"/>
      <c r="M228" s="88"/>
      <c r="O228" s="76"/>
      <c r="P228" s="75"/>
      <c r="Q228" s="75"/>
      <c r="R228" s="75"/>
      <c r="S228" s="75"/>
      <c r="U228" s="76"/>
    </row>
    <row r="229" spans="1:21" hidden="1" x14ac:dyDescent="0.2">
      <c r="A229" s="58" t="s">
        <v>29</v>
      </c>
      <c r="B229" s="58" t="str">
        <f>+B221</f>
        <v>Dr. Gáspár István HSZK</v>
      </c>
      <c r="C229" s="75">
        <f>+'4. Dr Gáspár HSZK'!C32</f>
        <v>10571000</v>
      </c>
      <c r="D229" s="75">
        <f>+'4. Dr Gáspár HSZK'!D32</f>
        <v>10980000</v>
      </c>
      <c r="E229" s="75">
        <f>+'4. Dr Gáspár HSZK'!E32</f>
        <v>10980000</v>
      </c>
      <c r="F229" s="75">
        <f>+'4. Dr Gáspár HSZK'!F32</f>
        <v>11046000</v>
      </c>
      <c r="G229" s="75"/>
      <c r="H229" s="75">
        <f>+'4. Dr Gáspár HSZK'!H32</f>
        <v>5462412</v>
      </c>
      <c r="I229" s="75">
        <f>+'4. Dr Gáspár HSZK'!I32</f>
        <v>7467727</v>
      </c>
      <c r="J229" s="75">
        <f>+'4. Dr Gáspár HSZK'!J32</f>
        <v>10065251</v>
      </c>
      <c r="K229" s="75"/>
      <c r="L229" s="75"/>
      <c r="M229" s="75"/>
      <c r="N229" s="75"/>
      <c r="O229" s="75"/>
      <c r="P229" s="75">
        <f>+'4. Dr Gáspár HSZK'!P32</f>
        <v>409000</v>
      </c>
      <c r="Q229" s="75">
        <f>+'4. Dr Gáspár HSZK'!Q32</f>
        <v>0</v>
      </c>
      <c r="R229" s="75">
        <f>+'4. Dr Gáspár HSZK'!R32</f>
        <v>66000</v>
      </c>
      <c r="S229" s="75">
        <f>+'4. Dr Gáspár HSZK'!S32</f>
        <v>475000</v>
      </c>
      <c r="U229" s="76"/>
    </row>
    <row r="230" spans="1:21" hidden="1" x14ac:dyDescent="0.2">
      <c r="A230" s="22"/>
      <c r="B230" s="58" t="str">
        <f t="shared" ref="B230:B234" si="60">+B222</f>
        <v>SÜLYSÁPI CSICSERGŐ ÓVODA</v>
      </c>
      <c r="C230" s="75">
        <f>+'5. Csicsergő'!C33</f>
        <v>8913000</v>
      </c>
      <c r="D230" s="75">
        <f>+'5. Csicsergő'!D33</f>
        <v>10814000</v>
      </c>
      <c r="E230" s="75">
        <f>+'5. Csicsergő'!E33</f>
        <v>11884000</v>
      </c>
      <c r="F230" s="75">
        <f>+'5. Csicsergő'!F33</f>
        <v>12755015</v>
      </c>
      <c r="G230" s="75"/>
      <c r="H230" s="75">
        <f>+'5. Csicsergő'!H33</f>
        <v>7922608</v>
      </c>
      <c r="I230" s="75">
        <f>+'5. Csicsergő'!I33</f>
        <v>9510932</v>
      </c>
      <c r="J230" s="75">
        <f>+'5. Csicsergő'!J33</f>
        <v>12355914</v>
      </c>
      <c r="K230" s="75"/>
      <c r="L230" s="75"/>
      <c r="M230" s="75"/>
      <c r="N230" s="75"/>
      <c r="O230" s="75"/>
      <c r="P230" s="75">
        <f>+'5. Csicsergő'!P33</f>
        <v>1901000</v>
      </c>
      <c r="Q230" s="75">
        <f>+'5. Csicsergő'!Q33</f>
        <v>1070000</v>
      </c>
      <c r="R230" s="75">
        <f>+'5. Csicsergő'!R33</f>
        <v>871015</v>
      </c>
      <c r="S230" s="75">
        <f>+'5. Csicsergő'!S33</f>
        <v>3842015</v>
      </c>
      <c r="U230" s="76"/>
    </row>
    <row r="231" spans="1:21" hidden="1" x14ac:dyDescent="0.2">
      <c r="A231" s="22"/>
      <c r="B231" s="58" t="str">
        <f t="shared" si="60"/>
        <v>GÓLYAHÍR BÖLCSŐDE</v>
      </c>
      <c r="C231" s="75">
        <f>+'6. Gólyahír'!C32</f>
        <v>10325000</v>
      </c>
      <c r="D231" s="75">
        <f>+'6. Gólyahír'!D32</f>
        <v>10277000</v>
      </c>
      <c r="E231" s="75">
        <f>+'6. Gólyahír'!E32</f>
        <v>10273000</v>
      </c>
      <c r="F231" s="75">
        <f>+'6. Gólyahír'!F32</f>
        <v>12142500</v>
      </c>
      <c r="G231" s="75"/>
      <c r="H231" s="75">
        <f>+'6. Gólyahír'!H32</f>
        <v>4020708</v>
      </c>
      <c r="I231" s="75">
        <f>+'6. Gólyahír'!I32</f>
        <v>6293820</v>
      </c>
      <c r="J231" s="75">
        <f>+'6. Gólyahír'!J32</f>
        <v>9880361</v>
      </c>
      <c r="K231" s="75"/>
      <c r="L231" s="75"/>
      <c r="M231" s="75"/>
      <c r="N231" s="75"/>
      <c r="O231" s="75"/>
      <c r="P231" s="75">
        <f>+'6. Gólyahír'!P32</f>
        <v>-48000</v>
      </c>
      <c r="Q231" s="75">
        <f>+'6. Gólyahír'!Q32</f>
        <v>-4000</v>
      </c>
      <c r="R231" s="75">
        <f>+'6. Gólyahír'!R32</f>
        <v>1869500</v>
      </c>
      <c r="S231" s="75">
        <f>+'6. Gólyahír'!S32</f>
        <v>1817500</v>
      </c>
      <c r="U231" s="76"/>
    </row>
    <row r="232" spans="1:21" hidden="1" x14ac:dyDescent="0.2">
      <c r="A232" s="22"/>
      <c r="B232" s="58" t="str">
        <f t="shared" si="60"/>
        <v>POLGÁRMESTERI HIVATAL</v>
      </c>
      <c r="C232" s="75">
        <f>+'7. Polg.Hiv.'!C32</f>
        <v>10409999</v>
      </c>
      <c r="D232" s="75">
        <f>+'7. Polg.Hiv.'!D32</f>
        <v>10409999</v>
      </c>
      <c r="E232" s="75">
        <f>+'7. Polg.Hiv.'!E32</f>
        <v>11681275</v>
      </c>
      <c r="F232" s="75">
        <f>+'7. Polg.Hiv.'!F32</f>
        <v>11698996</v>
      </c>
      <c r="G232" s="75"/>
      <c r="H232" s="75">
        <f>+'7. Polg.Hiv.'!H32</f>
        <v>5569152</v>
      </c>
      <c r="I232" s="75">
        <f>+'7. Polg.Hiv.'!I32</f>
        <v>8335259</v>
      </c>
      <c r="J232" s="75">
        <f>+'7. Polg.Hiv.'!J32</f>
        <v>10442086</v>
      </c>
      <c r="K232" s="75"/>
      <c r="L232" s="75"/>
      <c r="M232" s="75"/>
      <c r="N232" s="75"/>
      <c r="O232" s="75"/>
      <c r="P232" s="75">
        <f>+'7. Polg.Hiv.'!P32</f>
        <v>0</v>
      </c>
      <c r="Q232" s="75">
        <f>+'7. Polg.Hiv.'!Q32</f>
        <v>1271276</v>
      </c>
      <c r="R232" s="75">
        <f>+'7. Polg.Hiv.'!R32</f>
        <v>17721</v>
      </c>
      <c r="S232" s="75">
        <f>+'7. Polg.Hiv.'!S32</f>
        <v>1288997</v>
      </c>
      <c r="U232" s="76"/>
    </row>
    <row r="233" spans="1:21" hidden="1" x14ac:dyDescent="0.2">
      <c r="A233" s="22"/>
      <c r="B233" s="58" t="str">
        <f t="shared" si="60"/>
        <v>Wass Albert Művelődési Központ és Könyvtár</v>
      </c>
      <c r="C233" s="75">
        <f>+'8. WAMKK'!C32</f>
        <v>13613000</v>
      </c>
      <c r="D233" s="75">
        <f>+'8. WAMKK'!D32</f>
        <v>15199000</v>
      </c>
      <c r="E233" s="75">
        <f>+'8. WAMKK'!E32</f>
        <v>14945140</v>
      </c>
      <c r="F233" s="75">
        <f>+'8. WAMKK'!F32</f>
        <v>15843014</v>
      </c>
      <c r="G233" s="75"/>
      <c r="H233" s="75">
        <f>+'8. WAMKK'!H32</f>
        <v>6129626</v>
      </c>
      <c r="I233" s="75">
        <f>+'8. WAMKK'!I32</f>
        <v>12757339</v>
      </c>
      <c r="J233" s="75">
        <f>+'8. WAMKK'!J32</f>
        <v>15338667</v>
      </c>
      <c r="K233" s="75"/>
      <c r="L233" s="75"/>
      <c r="M233" s="75"/>
      <c r="N233" s="75"/>
      <c r="O233" s="75"/>
      <c r="P233" s="75">
        <f>+'8. WAMKK'!P32</f>
        <v>1586000</v>
      </c>
      <c r="Q233" s="75">
        <f>+'8. WAMKK'!Q32</f>
        <v>-253860</v>
      </c>
      <c r="R233" s="75">
        <f>+'8. WAMKK'!R32</f>
        <v>897874</v>
      </c>
      <c r="S233" s="75">
        <f>+'8. WAMKK'!S32</f>
        <v>2230014</v>
      </c>
      <c r="U233" s="76"/>
    </row>
    <row r="234" spans="1:21" hidden="1" x14ac:dyDescent="0.2">
      <c r="A234" s="22"/>
      <c r="B234" s="58" t="str">
        <f t="shared" si="60"/>
        <v>Központi Konyha</v>
      </c>
      <c r="C234" s="75">
        <f>+'9. Közp. Konyha'!C32</f>
        <v>69192000</v>
      </c>
      <c r="D234" s="75">
        <f>+'9. Közp. Konyha'!D32</f>
        <v>69192000</v>
      </c>
      <c r="E234" s="75">
        <f>+'9. Közp. Konyha'!E32</f>
        <v>69737851</v>
      </c>
      <c r="F234" s="75">
        <f>+'9. Közp. Konyha'!F32</f>
        <v>69453897</v>
      </c>
      <c r="G234" s="75"/>
      <c r="H234" s="75">
        <f>+'9. Közp. Konyha'!H32</f>
        <v>36293747</v>
      </c>
      <c r="I234" s="75">
        <f>+'9. Közp. Konyha'!I32</f>
        <v>43731872</v>
      </c>
      <c r="J234" s="75">
        <f>+'9. Közp. Konyha'!J32</f>
        <v>61501618</v>
      </c>
      <c r="K234" s="75"/>
      <c r="L234" s="75"/>
      <c r="M234" s="75"/>
      <c r="N234" s="75"/>
      <c r="O234" s="75"/>
      <c r="P234" s="75">
        <f>+'9. Közp. Konyha'!P32</f>
        <v>0</v>
      </c>
      <c r="Q234" s="75">
        <f>+'9. Közp. Konyha'!Q32</f>
        <v>545851</v>
      </c>
      <c r="R234" s="75">
        <f>+'9. Közp. Konyha'!R32</f>
        <v>-283954</v>
      </c>
      <c r="S234" s="75">
        <f>+'9. Közp. Konyha'!S32</f>
        <v>261897</v>
      </c>
      <c r="U234" s="76"/>
    </row>
    <row r="235" spans="1:21" hidden="1" x14ac:dyDescent="0.2">
      <c r="A235" s="22"/>
      <c r="B235" s="367" t="s">
        <v>448</v>
      </c>
      <c r="C235" s="368">
        <f>SUM(C229:C234)</f>
        <v>123023999</v>
      </c>
      <c r="D235" s="368">
        <f>SUM(D229:D234)</f>
        <v>126871999</v>
      </c>
      <c r="E235" s="368">
        <f>SUM(E229:E234)</f>
        <v>129501266</v>
      </c>
      <c r="F235" s="368">
        <f>SUM(F229:F234)</f>
        <v>132939422</v>
      </c>
      <c r="G235" s="368"/>
      <c r="H235" s="368">
        <f>SUM(H229:H234)</f>
        <v>65398253</v>
      </c>
      <c r="I235" s="368">
        <f>SUM(I229:I234)</f>
        <v>88096949</v>
      </c>
      <c r="J235" s="368">
        <f>SUM(J229:J234)</f>
        <v>119583897</v>
      </c>
      <c r="K235" s="368"/>
      <c r="L235" s="368"/>
      <c r="M235" s="368"/>
      <c r="N235" s="368"/>
      <c r="O235" s="368"/>
      <c r="P235" s="368">
        <f>SUM(P229:P234)</f>
        <v>3848000</v>
      </c>
      <c r="Q235" s="368">
        <f>SUM(Q229:Q234)</f>
        <v>2629267</v>
      </c>
      <c r="R235" s="368">
        <f>SUM(R229:R234)</f>
        <v>3438156</v>
      </c>
      <c r="S235" s="369">
        <f>SUM(S229:S234)</f>
        <v>9915423</v>
      </c>
      <c r="U235" s="76"/>
    </row>
    <row r="236" spans="1:21" hidden="1" x14ac:dyDescent="0.2">
      <c r="A236" s="22"/>
      <c r="B236" s="22"/>
      <c r="C236" s="75"/>
      <c r="D236" s="76"/>
      <c r="E236" s="76"/>
      <c r="F236" s="76"/>
      <c r="G236" s="76"/>
      <c r="H236" s="75"/>
      <c r="K236" s="76"/>
      <c r="L236" s="93"/>
      <c r="M236" s="88"/>
      <c r="O236" s="76"/>
      <c r="P236" s="75"/>
      <c r="Q236" s="75"/>
      <c r="R236" s="75"/>
      <c r="S236" s="75"/>
      <c r="U236" s="76"/>
    </row>
    <row r="237" spans="1:21" hidden="1" x14ac:dyDescent="0.2">
      <c r="A237" s="22"/>
      <c r="B237" s="22"/>
      <c r="C237" s="75">
        <f>+C227+C219</f>
        <v>380434100</v>
      </c>
      <c r="D237" s="76"/>
      <c r="E237" s="76"/>
      <c r="F237" s="76"/>
      <c r="G237" s="76"/>
      <c r="H237" s="75"/>
      <c r="K237" s="76"/>
      <c r="L237" s="93"/>
      <c r="M237" s="88"/>
      <c r="O237" s="76"/>
      <c r="P237" s="75"/>
      <c r="Q237" s="75"/>
      <c r="R237" s="75"/>
      <c r="S237" s="75"/>
      <c r="U237" s="76"/>
    </row>
    <row r="238" spans="1:21" hidden="1" x14ac:dyDescent="0.2">
      <c r="A238" s="22"/>
      <c r="B238" s="22"/>
      <c r="C238" s="75"/>
      <c r="D238" s="76"/>
      <c r="E238" s="76"/>
      <c r="F238" s="76"/>
      <c r="G238" s="76"/>
      <c r="H238" s="75"/>
      <c r="K238" s="76"/>
      <c r="L238" s="93"/>
      <c r="M238" s="88"/>
      <c r="O238" s="76"/>
      <c r="P238" s="75"/>
      <c r="Q238" s="75"/>
      <c r="R238" s="75"/>
      <c r="S238" s="75"/>
      <c r="U238" s="76"/>
    </row>
    <row r="239" spans="1:21" hidden="1" x14ac:dyDescent="0.2">
      <c r="A239" s="22"/>
      <c r="B239" s="22"/>
      <c r="C239" s="75"/>
      <c r="D239" s="76"/>
      <c r="E239" s="76"/>
      <c r="F239" s="76"/>
      <c r="G239" s="76"/>
      <c r="H239" s="75"/>
      <c r="K239" s="76"/>
      <c r="L239" s="93"/>
      <c r="M239" s="88"/>
      <c r="O239" s="76"/>
      <c r="P239" s="75"/>
      <c r="Q239" s="75"/>
      <c r="R239" s="75"/>
      <c r="S239" s="75"/>
      <c r="U239" s="76"/>
    </row>
    <row r="240" spans="1:21" hidden="1" x14ac:dyDescent="0.2">
      <c r="A240" s="22"/>
      <c r="B240" s="22"/>
      <c r="C240" s="22"/>
      <c r="D240" s="23"/>
      <c r="H240" s="22"/>
      <c r="L240" s="93"/>
      <c r="M240" s="88"/>
      <c r="P240" s="22"/>
      <c r="Q240" s="22"/>
      <c r="R240" s="22"/>
      <c r="S240" s="22"/>
    </row>
    <row r="241" spans="1:19" hidden="1" x14ac:dyDescent="0.2">
      <c r="A241" s="22"/>
      <c r="B241" s="22"/>
      <c r="C241" s="22"/>
      <c r="D241" s="23"/>
      <c r="H241" s="22"/>
      <c r="L241" s="22"/>
      <c r="P241" s="22"/>
      <c r="Q241" s="22"/>
      <c r="R241" s="22"/>
      <c r="S241" s="22"/>
    </row>
    <row r="242" spans="1:19" hidden="1" x14ac:dyDescent="0.2">
      <c r="A242" s="22"/>
      <c r="B242" s="22"/>
      <c r="C242" s="22"/>
      <c r="D242" s="23"/>
      <c r="H242" s="22"/>
      <c r="L242" s="22"/>
      <c r="P242" s="22"/>
      <c r="Q242" s="22"/>
      <c r="R242" s="22"/>
      <c r="S242" s="22"/>
    </row>
    <row r="243" spans="1:19" hidden="1" x14ac:dyDescent="0.2">
      <c r="A243" s="22"/>
      <c r="B243" s="22"/>
      <c r="C243" s="22"/>
      <c r="D243" s="23"/>
      <c r="H243" s="22"/>
      <c r="L243" s="22"/>
      <c r="P243" s="22"/>
      <c r="Q243" s="22"/>
      <c r="R243" s="22"/>
      <c r="S243" s="22"/>
    </row>
    <row r="244" spans="1:19" hidden="1" x14ac:dyDescent="0.2">
      <c r="A244" s="22"/>
      <c r="B244" s="22"/>
      <c r="C244" s="22"/>
      <c r="D244" s="23"/>
      <c r="H244" s="22"/>
      <c r="L244" s="22"/>
      <c r="P244" s="22"/>
      <c r="Q244" s="22"/>
      <c r="R244" s="22"/>
      <c r="S244" s="22"/>
    </row>
    <row r="245" spans="1:19" hidden="1" x14ac:dyDescent="0.2">
      <c r="A245" s="22"/>
      <c r="B245" s="22"/>
      <c r="C245" s="22"/>
      <c r="D245" s="23"/>
      <c r="H245" s="22"/>
      <c r="L245" s="22"/>
      <c r="P245" s="22"/>
      <c r="Q245" s="22"/>
      <c r="R245" s="22"/>
      <c r="S245" s="22"/>
    </row>
    <row r="246" spans="1:19" hidden="1" x14ac:dyDescent="0.2">
      <c r="A246" s="22"/>
      <c r="B246" s="22"/>
      <c r="C246" s="22"/>
      <c r="D246" s="23"/>
      <c r="H246" s="22"/>
      <c r="L246" s="22"/>
      <c r="P246" s="22"/>
      <c r="Q246" s="22"/>
      <c r="R246" s="22"/>
      <c r="S246" s="22"/>
    </row>
    <row r="247" spans="1:19" hidden="1" x14ac:dyDescent="0.2">
      <c r="A247" s="22"/>
      <c r="B247" s="22"/>
      <c r="C247" s="22"/>
      <c r="D247" s="23"/>
      <c r="H247" s="22"/>
      <c r="L247" s="22"/>
      <c r="P247" s="22"/>
      <c r="Q247" s="22"/>
      <c r="R247" s="22"/>
      <c r="S247" s="22"/>
    </row>
    <row r="248" spans="1:19" hidden="1" x14ac:dyDescent="0.2">
      <c r="A248" s="22"/>
      <c r="B248" s="22"/>
      <c r="C248" s="22"/>
      <c r="D248" s="23"/>
      <c r="H248" s="22"/>
      <c r="L248" s="22"/>
      <c r="P248" s="22"/>
      <c r="Q248" s="22"/>
      <c r="R248" s="22"/>
      <c r="S248" s="22"/>
    </row>
    <row r="249" spans="1:19" hidden="1" x14ac:dyDescent="0.2">
      <c r="A249" s="22"/>
      <c r="B249" s="22"/>
      <c r="C249" s="22"/>
      <c r="D249" s="23"/>
      <c r="H249" s="22"/>
      <c r="L249" s="22"/>
      <c r="P249" s="22"/>
      <c r="Q249" s="22"/>
      <c r="R249" s="22"/>
      <c r="S249" s="22"/>
    </row>
    <row r="250" spans="1:19" hidden="1" x14ac:dyDescent="0.2">
      <c r="A250" s="22"/>
      <c r="B250" s="22"/>
      <c r="C250" s="22"/>
      <c r="D250" s="23"/>
      <c r="H250" s="22"/>
      <c r="L250" s="22"/>
      <c r="P250" s="22"/>
      <c r="Q250" s="22"/>
      <c r="R250" s="22"/>
      <c r="S250" s="22"/>
    </row>
    <row r="251" spans="1:19" hidden="1" x14ac:dyDescent="0.2">
      <c r="A251" s="22"/>
      <c r="B251" s="22"/>
      <c r="C251" s="22"/>
      <c r="D251" s="23"/>
      <c r="H251" s="22"/>
      <c r="L251" s="22"/>
      <c r="P251" s="22"/>
      <c r="Q251" s="22"/>
      <c r="R251" s="22"/>
      <c r="S251" s="22"/>
    </row>
    <row r="252" spans="1:19" hidden="1" x14ac:dyDescent="0.2">
      <c r="A252" s="22"/>
      <c r="B252" s="22"/>
      <c r="C252" s="22"/>
      <c r="D252" s="23"/>
      <c r="H252" s="22"/>
      <c r="L252" s="22"/>
      <c r="P252" s="22"/>
      <c r="Q252" s="22"/>
      <c r="R252" s="22"/>
      <c r="S252" s="22"/>
    </row>
    <row r="253" spans="1:19" hidden="1" x14ac:dyDescent="0.2">
      <c r="A253" s="22"/>
      <c r="B253" s="22"/>
      <c r="C253" s="22"/>
      <c r="D253" s="23"/>
      <c r="H253" s="22"/>
      <c r="L253" s="22"/>
      <c r="P253" s="22"/>
      <c r="Q253" s="22"/>
      <c r="R253" s="22"/>
      <c r="S253" s="22"/>
    </row>
    <row r="254" spans="1:19" hidden="1" x14ac:dyDescent="0.2">
      <c r="A254" s="22"/>
      <c r="B254" s="22"/>
      <c r="C254" s="22"/>
      <c r="D254" s="23"/>
      <c r="H254" s="22"/>
      <c r="L254" s="22"/>
      <c r="P254" s="22"/>
      <c r="Q254" s="22"/>
      <c r="R254" s="22"/>
      <c r="S254" s="22"/>
    </row>
    <row r="255" spans="1:19" hidden="1" x14ac:dyDescent="0.2">
      <c r="A255" s="22"/>
      <c r="B255" s="22"/>
      <c r="C255" s="22"/>
      <c r="D255" s="23"/>
      <c r="H255" s="22"/>
      <c r="L255" s="22"/>
      <c r="P255" s="22"/>
      <c r="Q255" s="22"/>
      <c r="R255" s="22"/>
      <c r="S255" s="22"/>
    </row>
    <row r="256" spans="1:19" hidden="1" x14ac:dyDescent="0.2">
      <c r="A256" s="22"/>
      <c r="B256" s="22"/>
      <c r="C256" s="22"/>
      <c r="D256" s="23"/>
      <c r="H256" s="22"/>
      <c r="L256" s="22"/>
      <c r="P256" s="22"/>
      <c r="Q256" s="22"/>
      <c r="R256" s="22"/>
      <c r="S256" s="22"/>
    </row>
    <row r="257" spans="1:19" hidden="1" x14ac:dyDescent="0.2">
      <c r="A257" s="22"/>
      <c r="B257" s="22"/>
      <c r="C257" s="22"/>
      <c r="D257" s="23"/>
      <c r="H257" s="22"/>
      <c r="L257" s="22"/>
      <c r="P257" s="22"/>
      <c r="Q257" s="22"/>
      <c r="R257" s="22"/>
      <c r="S257" s="22"/>
    </row>
    <row r="258" spans="1:19" hidden="1" x14ac:dyDescent="0.2">
      <c r="A258" s="22"/>
      <c r="B258" s="22"/>
      <c r="C258" s="22"/>
      <c r="D258" s="23"/>
      <c r="H258" s="22"/>
      <c r="L258" s="22"/>
      <c r="P258" s="22"/>
      <c r="Q258" s="22"/>
      <c r="R258" s="22"/>
      <c r="S258" s="22"/>
    </row>
    <row r="259" spans="1:19" hidden="1" x14ac:dyDescent="0.2">
      <c r="A259" s="22"/>
      <c r="B259" s="22"/>
      <c r="C259" s="22"/>
      <c r="D259" s="23"/>
      <c r="H259" s="22"/>
      <c r="L259" s="22"/>
      <c r="P259" s="22"/>
      <c r="Q259" s="22"/>
      <c r="R259" s="22"/>
      <c r="S259" s="22"/>
    </row>
    <row r="260" spans="1:19" hidden="1" x14ac:dyDescent="0.2">
      <c r="A260" s="22"/>
      <c r="B260" s="22"/>
      <c r="C260" s="22"/>
      <c r="D260" s="23"/>
      <c r="H260" s="22"/>
      <c r="L260" s="22"/>
      <c r="P260" s="22"/>
      <c r="Q260" s="22"/>
      <c r="R260" s="22"/>
      <c r="S260" s="22"/>
    </row>
    <row r="261" spans="1:19" hidden="1" x14ac:dyDescent="0.2">
      <c r="A261" s="22"/>
      <c r="B261" s="22"/>
      <c r="C261" s="22"/>
      <c r="D261" s="23"/>
      <c r="H261" s="22"/>
      <c r="L261" s="22"/>
      <c r="P261" s="22"/>
      <c r="Q261" s="22"/>
      <c r="R261" s="22"/>
      <c r="S261" s="22"/>
    </row>
    <row r="262" spans="1:19" hidden="1" x14ac:dyDescent="0.2">
      <c r="A262" s="22"/>
      <c r="B262" s="22"/>
      <c r="C262" s="22"/>
      <c r="D262" s="23"/>
      <c r="H262" s="22"/>
      <c r="L262" s="22"/>
      <c r="P262" s="22"/>
      <c r="Q262" s="22"/>
      <c r="R262" s="22"/>
      <c r="S262" s="22"/>
    </row>
    <row r="263" spans="1:19" hidden="1" x14ac:dyDescent="0.2">
      <c r="A263" s="22"/>
      <c r="B263" s="22"/>
      <c r="C263" s="22"/>
      <c r="D263" s="23"/>
      <c r="H263" s="22"/>
      <c r="L263" s="22"/>
      <c r="P263" s="22"/>
      <c r="Q263" s="22"/>
      <c r="R263" s="22"/>
      <c r="S263" s="22"/>
    </row>
    <row r="264" spans="1:19" hidden="1" x14ac:dyDescent="0.2">
      <c r="A264" s="22"/>
      <c r="B264" s="22"/>
      <c r="C264" s="22"/>
      <c r="D264" s="23"/>
      <c r="H264" s="22"/>
      <c r="L264" s="22"/>
      <c r="P264" s="22"/>
      <c r="Q264" s="22"/>
      <c r="R264" s="22"/>
      <c r="S264" s="22"/>
    </row>
    <row r="265" spans="1:19" hidden="1" x14ac:dyDescent="0.2">
      <c r="A265" s="22"/>
      <c r="B265" s="22"/>
      <c r="C265" s="22"/>
      <c r="D265" s="23"/>
      <c r="H265" s="22"/>
      <c r="L265" s="22"/>
      <c r="P265" s="22"/>
      <c r="Q265" s="22"/>
      <c r="R265" s="22"/>
      <c r="S265" s="22"/>
    </row>
    <row r="266" spans="1:19" hidden="1" x14ac:dyDescent="0.2">
      <c r="A266" s="22"/>
      <c r="B266" s="22"/>
      <c r="C266" s="22"/>
      <c r="D266" s="23"/>
      <c r="H266" s="22"/>
      <c r="L266" s="22"/>
      <c r="P266" s="22"/>
      <c r="Q266" s="22"/>
      <c r="R266" s="22"/>
      <c r="S266" s="22"/>
    </row>
    <row r="267" spans="1:19" hidden="1" x14ac:dyDescent="0.2">
      <c r="A267" s="22"/>
      <c r="B267" s="22"/>
      <c r="C267" s="22"/>
      <c r="D267" s="23"/>
      <c r="H267" s="22"/>
      <c r="L267" s="22"/>
      <c r="P267" s="22"/>
      <c r="Q267" s="22"/>
      <c r="R267" s="22"/>
      <c r="S267" s="22"/>
    </row>
    <row r="268" spans="1:19" hidden="1" x14ac:dyDescent="0.2">
      <c r="A268" s="22"/>
      <c r="B268" s="22"/>
      <c r="C268" s="22"/>
      <c r="D268" s="23"/>
      <c r="H268" s="22"/>
      <c r="L268" s="22"/>
      <c r="P268" s="22"/>
      <c r="Q268" s="22"/>
      <c r="R268" s="22"/>
      <c r="S268" s="22"/>
    </row>
    <row r="269" spans="1:19" hidden="1" x14ac:dyDescent="0.2">
      <c r="A269" s="22"/>
      <c r="B269" s="22"/>
      <c r="C269" s="22"/>
      <c r="D269" s="23"/>
      <c r="H269" s="22"/>
      <c r="L269" s="22"/>
      <c r="P269" s="22"/>
      <c r="Q269" s="22"/>
      <c r="R269" s="22"/>
      <c r="S269" s="22"/>
    </row>
    <row r="270" spans="1:19" hidden="1" x14ac:dyDescent="0.2">
      <c r="A270" s="22"/>
      <c r="B270" s="22"/>
      <c r="C270" s="22"/>
      <c r="D270" s="23"/>
      <c r="H270" s="22"/>
      <c r="L270" s="22"/>
      <c r="P270" s="22"/>
      <c r="Q270" s="22"/>
      <c r="R270" s="22"/>
      <c r="S270" s="22"/>
    </row>
    <row r="271" spans="1:19" hidden="1" x14ac:dyDescent="0.2">
      <c r="A271" s="22"/>
      <c r="B271" s="22"/>
      <c r="C271" s="22"/>
      <c r="D271" s="23"/>
      <c r="H271" s="22"/>
      <c r="L271" s="22"/>
      <c r="P271" s="22"/>
      <c r="Q271" s="22"/>
      <c r="R271" s="22"/>
      <c r="S271" s="22"/>
    </row>
    <row r="272" spans="1:19" hidden="1" x14ac:dyDescent="0.2">
      <c r="A272" s="22"/>
      <c r="B272" s="22"/>
      <c r="C272" s="22"/>
      <c r="D272" s="23"/>
      <c r="H272" s="22"/>
      <c r="L272" s="22"/>
      <c r="P272" s="22"/>
      <c r="Q272" s="22"/>
      <c r="R272" s="22"/>
      <c r="S272" s="22"/>
    </row>
    <row r="273" spans="1:19" hidden="1" x14ac:dyDescent="0.2">
      <c r="A273" s="22"/>
      <c r="B273" s="22"/>
      <c r="C273" s="22"/>
      <c r="D273" s="23"/>
      <c r="H273" s="22"/>
      <c r="L273" s="22"/>
      <c r="P273" s="22"/>
      <c r="Q273" s="22"/>
      <c r="R273" s="22"/>
      <c r="S273" s="22"/>
    </row>
    <row r="274" spans="1:19" hidden="1" x14ac:dyDescent="0.2">
      <c r="A274" s="22"/>
      <c r="B274" s="22"/>
      <c r="C274" s="22"/>
      <c r="D274" s="23"/>
      <c r="H274" s="22"/>
      <c r="L274" s="22"/>
      <c r="P274" s="22"/>
      <c r="Q274" s="22"/>
      <c r="R274" s="22"/>
      <c r="S274" s="22"/>
    </row>
    <row r="275" spans="1:19" hidden="1" x14ac:dyDescent="0.2">
      <c r="A275" s="22"/>
      <c r="B275" s="22"/>
      <c r="C275" s="22"/>
      <c r="D275" s="23"/>
      <c r="H275" s="22"/>
      <c r="L275" s="22"/>
      <c r="P275" s="22"/>
      <c r="Q275" s="22"/>
      <c r="R275" s="22"/>
      <c r="S275" s="22"/>
    </row>
    <row r="276" spans="1:19" hidden="1" x14ac:dyDescent="0.2">
      <c r="A276" s="22"/>
      <c r="B276" s="22"/>
      <c r="C276" s="22"/>
      <c r="D276" s="23"/>
      <c r="H276" s="22"/>
      <c r="L276" s="22"/>
      <c r="P276" s="22"/>
      <c r="Q276" s="22"/>
      <c r="R276" s="22"/>
      <c r="S276" s="22"/>
    </row>
    <row r="277" spans="1:19" hidden="1" x14ac:dyDescent="0.2">
      <c r="A277" s="22"/>
      <c r="B277" s="22"/>
      <c r="C277" s="22"/>
      <c r="D277" s="23"/>
      <c r="H277" s="22"/>
      <c r="L277" s="22"/>
      <c r="P277" s="22"/>
      <c r="Q277" s="22"/>
      <c r="R277" s="22"/>
      <c r="S277" s="22"/>
    </row>
    <row r="278" spans="1:19" hidden="1" x14ac:dyDescent="0.2">
      <c r="A278" s="22"/>
      <c r="B278" s="22"/>
      <c r="C278" s="22"/>
      <c r="D278" s="23"/>
      <c r="H278" s="22"/>
      <c r="L278" s="22"/>
      <c r="P278" s="22"/>
      <c r="Q278" s="22"/>
      <c r="R278" s="22"/>
      <c r="S278" s="22"/>
    </row>
    <row r="279" spans="1:19" hidden="1" x14ac:dyDescent="0.2">
      <c r="A279" s="22"/>
      <c r="B279" s="22"/>
      <c r="C279" s="22"/>
      <c r="D279" s="23"/>
      <c r="H279" s="22"/>
      <c r="L279" s="22"/>
      <c r="P279" s="22"/>
      <c r="Q279" s="22"/>
      <c r="R279" s="22"/>
      <c r="S279" s="22"/>
    </row>
    <row r="280" spans="1:19" hidden="1" x14ac:dyDescent="0.2">
      <c r="A280" s="22"/>
      <c r="B280" s="22"/>
      <c r="C280" s="22"/>
      <c r="D280" s="23"/>
      <c r="H280" s="22"/>
      <c r="L280" s="22"/>
      <c r="P280" s="22"/>
      <c r="Q280" s="22"/>
      <c r="R280" s="22"/>
      <c r="S280" s="22"/>
    </row>
    <row r="281" spans="1:19" hidden="1" x14ac:dyDescent="0.2">
      <c r="A281" s="22"/>
      <c r="B281" s="22"/>
      <c r="C281" s="22"/>
      <c r="D281" s="23"/>
      <c r="H281" s="22"/>
      <c r="L281" s="22"/>
      <c r="P281" s="22"/>
      <c r="Q281" s="22"/>
      <c r="R281" s="22"/>
      <c r="S281" s="22"/>
    </row>
    <row r="282" spans="1:19" hidden="1" x14ac:dyDescent="0.2">
      <c r="A282" s="22"/>
      <c r="B282" s="22"/>
      <c r="C282" s="22"/>
      <c r="D282" s="23"/>
      <c r="H282" s="22"/>
      <c r="L282" s="22"/>
      <c r="P282" s="22"/>
      <c r="Q282" s="22"/>
      <c r="R282" s="22"/>
      <c r="S282" s="22"/>
    </row>
    <row r="283" spans="1:19" hidden="1" x14ac:dyDescent="0.2">
      <c r="A283" s="22"/>
      <c r="B283" s="22"/>
      <c r="C283" s="22"/>
      <c r="D283" s="23"/>
      <c r="H283" s="22"/>
      <c r="L283" s="22"/>
      <c r="P283" s="22"/>
      <c r="Q283" s="22"/>
      <c r="R283" s="22"/>
      <c r="S283" s="22"/>
    </row>
    <row r="284" spans="1:19" hidden="1" x14ac:dyDescent="0.2">
      <c r="A284" s="22"/>
      <c r="B284" s="22"/>
      <c r="C284" s="22"/>
      <c r="D284" s="23"/>
      <c r="H284" s="22"/>
      <c r="L284" s="22"/>
      <c r="P284" s="22"/>
      <c r="Q284" s="22"/>
      <c r="R284" s="22"/>
      <c r="S284" s="22"/>
    </row>
    <row r="285" spans="1:19" hidden="1" x14ac:dyDescent="0.2">
      <c r="A285" s="22"/>
      <c r="B285" s="22"/>
      <c r="C285" s="22"/>
      <c r="D285" s="23"/>
      <c r="H285" s="22"/>
      <c r="L285" s="22"/>
      <c r="P285" s="22"/>
      <c r="Q285" s="22"/>
      <c r="R285" s="22"/>
      <c r="S285" s="22"/>
    </row>
    <row r="286" spans="1:19" hidden="1" x14ac:dyDescent="0.2">
      <c r="A286" s="22"/>
      <c r="B286" s="22"/>
      <c r="C286" s="22"/>
      <c r="D286" s="23"/>
      <c r="H286" s="22"/>
      <c r="L286" s="22"/>
      <c r="P286" s="22"/>
      <c r="Q286" s="22"/>
      <c r="R286" s="22"/>
      <c r="S286" s="22"/>
    </row>
    <row r="287" spans="1:19" hidden="1" x14ac:dyDescent="0.2">
      <c r="A287" s="22"/>
      <c r="B287" s="22"/>
      <c r="C287" s="22"/>
      <c r="D287" s="23"/>
      <c r="H287" s="22"/>
      <c r="L287" s="22"/>
      <c r="P287" s="22"/>
      <c r="Q287" s="22"/>
      <c r="R287" s="22"/>
      <c r="S287" s="22"/>
    </row>
    <row r="288" spans="1:19" hidden="1" x14ac:dyDescent="0.2">
      <c r="A288" s="22"/>
      <c r="B288" s="22"/>
      <c r="C288" s="22"/>
      <c r="D288" s="23"/>
      <c r="H288" s="22"/>
      <c r="L288" s="22"/>
      <c r="P288" s="22"/>
      <c r="Q288" s="22"/>
      <c r="R288" s="22"/>
      <c r="S288" s="22"/>
    </row>
    <row r="289" spans="1:19" hidden="1" x14ac:dyDescent="0.2">
      <c r="A289" s="22"/>
      <c r="B289" s="22"/>
      <c r="C289" s="22"/>
      <c r="D289" s="23"/>
      <c r="H289" s="22"/>
      <c r="L289" s="22"/>
      <c r="P289" s="22"/>
      <c r="Q289" s="22"/>
      <c r="R289" s="22"/>
      <c r="S289" s="22"/>
    </row>
    <row r="290" spans="1:19" hidden="1" x14ac:dyDescent="0.2">
      <c r="A290" s="22"/>
      <c r="B290" s="22"/>
      <c r="C290" s="22"/>
      <c r="D290" s="23"/>
      <c r="H290" s="22"/>
      <c r="L290" s="22"/>
      <c r="P290" s="22"/>
      <c r="Q290" s="22"/>
      <c r="R290" s="22"/>
      <c r="S290" s="22"/>
    </row>
    <row r="291" spans="1:19" x14ac:dyDescent="0.2">
      <c r="A291" s="22"/>
      <c r="B291" s="22"/>
      <c r="C291" s="22"/>
      <c r="D291" s="23"/>
      <c r="H291" s="22"/>
      <c r="L291" s="22"/>
      <c r="P291" s="22"/>
      <c r="Q291" s="22"/>
      <c r="R291" s="22"/>
      <c r="S291" s="22"/>
    </row>
    <row r="292" spans="1:19" x14ac:dyDescent="0.2">
      <c r="A292" s="22"/>
      <c r="B292" s="22"/>
      <c r="C292" s="22"/>
      <c r="D292" s="23"/>
      <c r="H292" s="22"/>
      <c r="L292" s="22"/>
      <c r="P292" s="22"/>
      <c r="Q292" s="22"/>
      <c r="R292" s="22"/>
      <c r="S292" s="22"/>
    </row>
    <row r="293" spans="1:19" x14ac:dyDescent="0.2">
      <c r="A293" s="22"/>
      <c r="B293" s="22"/>
      <c r="C293" s="22"/>
      <c r="D293" s="23"/>
      <c r="H293" s="22"/>
      <c r="L293" s="22"/>
      <c r="P293" s="22"/>
      <c r="Q293" s="22"/>
      <c r="R293" s="22"/>
      <c r="S293" s="22"/>
    </row>
    <row r="294" spans="1:19" x14ac:dyDescent="0.2">
      <c r="A294" s="22"/>
      <c r="B294" s="22"/>
      <c r="C294" s="22"/>
      <c r="D294" s="23"/>
      <c r="H294" s="22"/>
      <c r="L294" s="22"/>
      <c r="P294" s="22"/>
      <c r="Q294" s="22"/>
      <c r="R294" s="22"/>
      <c r="S294" s="22"/>
    </row>
    <row r="295" spans="1:19" x14ac:dyDescent="0.2">
      <c r="A295" s="22"/>
      <c r="B295" s="22"/>
      <c r="C295" s="22"/>
      <c r="D295" s="23"/>
      <c r="H295" s="22"/>
      <c r="L295" s="22"/>
      <c r="P295" s="22"/>
      <c r="Q295" s="22"/>
      <c r="R295" s="22"/>
      <c r="S295" s="22"/>
    </row>
    <row r="296" spans="1:19" x14ac:dyDescent="0.2">
      <c r="A296" s="22"/>
      <c r="B296" s="22"/>
      <c r="C296" s="22"/>
      <c r="D296" s="23"/>
      <c r="H296" s="22"/>
      <c r="L296" s="22"/>
      <c r="P296" s="22"/>
      <c r="Q296" s="22"/>
      <c r="R296" s="22"/>
      <c r="S296" s="22"/>
    </row>
    <row r="297" spans="1:19" x14ac:dyDescent="0.2">
      <c r="A297" s="22"/>
      <c r="B297" s="22"/>
      <c r="C297" s="22"/>
      <c r="D297" s="23"/>
      <c r="H297" s="22"/>
      <c r="L297" s="22"/>
      <c r="P297" s="22"/>
      <c r="Q297" s="22"/>
      <c r="R297" s="22"/>
      <c r="S297" s="22"/>
    </row>
    <row r="298" spans="1:19" x14ac:dyDescent="0.2">
      <c r="A298" s="22"/>
      <c r="B298" s="22"/>
      <c r="C298" s="22"/>
      <c r="D298" s="23"/>
      <c r="H298" s="22"/>
      <c r="L298" s="22"/>
      <c r="P298" s="22"/>
      <c r="Q298" s="22"/>
      <c r="R298" s="22"/>
      <c r="S298" s="22"/>
    </row>
    <row r="299" spans="1:19" x14ac:dyDescent="0.2">
      <c r="A299" s="22"/>
      <c r="B299" s="22"/>
      <c r="C299" s="22"/>
      <c r="D299" s="23"/>
      <c r="H299" s="22"/>
      <c r="L299" s="22"/>
      <c r="P299" s="22"/>
      <c r="Q299" s="22"/>
      <c r="R299" s="22"/>
      <c r="S299" s="22"/>
    </row>
    <row r="300" spans="1:19" x14ac:dyDescent="0.2">
      <c r="A300" s="22"/>
      <c r="B300" s="22"/>
      <c r="C300" s="22"/>
      <c r="D300" s="23"/>
      <c r="H300" s="22"/>
      <c r="L300" s="22"/>
      <c r="P300" s="22"/>
      <c r="Q300" s="22"/>
      <c r="R300" s="22"/>
      <c r="S300" s="22"/>
    </row>
    <row r="301" spans="1:19" x14ac:dyDescent="0.2">
      <c r="A301" s="22"/>
      <c r="B301" s="22"/>
      <c r="C301" s="22"/>
      <c r="D301" s="23"/>
      <c r="H301" s="22"/>
      <c r="L301" s="22"/>
      <c r="P301" s="22"/>
      <c r="Q301" s="22"/>
      <c r="R301" s="22"/>
      <c r="S301" s="22"/>
    </row>
    <row r="302" spans="1:19" x14ac:dyDescent="0.2">
      <c r="A302" s="22"/>
      <c r="B302" s="22"/>
      <c r="C302" s="22"/>
      <c r="D302" s="23"/>
      <c r="H302" s="22"/>
      <c r="L302" s="22"/>
      <c r="P302" s="22"/>
      <c r="Q302" s="22"/>
      <c r="R302" s="22"/>
      <c r="S302" s="22"/>
    </row>
    <row r="303" spans="1:19" x14ac:dyDescent="0.2">
      <c r="A303" s="22"/>
      <c r="B303" s="22"/>
      <c r="C303" s="22"/>
      <c r="D303" s="23"/>
      <c r="H303" s="22"/>
      <c r="L303" s="22"/>
      <c r="P303" s="22"/>
      <c r="Q303" s="22"/>
      <c r="R303" s="22"/>
      <c r="S303" s="22"/>
    </row>
    <row r="304" spans="1:19" x14ac:dyDescent="0.2">
      <c r="A304" s="22"/>
      <c r="B304" s="22"/>
      <c r="C304" s="22"/>
      <c r="D304" s="23"/>
      <c r="H304" s="22"/>
      <c r="L304" s="22"/>
      <c r="P304" s="22"/>
      <c r="Q304" s="22"/>
      <c r="R304" s="22"/>
      <c r="S304" s="22"/>
    </row>
    <row r="305" spans="1:19" x14ac:dyDescent="0.2">
      <c r="A305" s="22"/>
      <c r="B305" s="22"/>
      <c r="C305" s="22"/>
      <c r="D305" s="23"/>
      <c r="H305" s="22"/>
      <c r="L305" s="22"/>
      <c r="P305" s="22"/>
      <c r="Q305" s="22"/>
      <c r="R305" s="22"/>
      <c r="S305" s="22"/>
    </row>
    <row r="306" spans="1:19" x14ac:dyDescent="0.2">
      <c r="A306" s="22"/>
      <c r="B306" s="22"/>
      <c r="C306" s="22"/>
      <c r="D306" s="23"/>
      <c r="H306" s="22"/>
      <c r="L306" s="22"/>
      <c r="P306" s="22"/>
      <c r="Q306" s="22"/>
      <c r="R306" s="22"/>
      <c r="S306" s="22"/>
    </row>
    <row r="307" spans="1:19" x14ac:dyDescent="0.2">
      <c r="A307" s="22"/>
      <c r="B307" s="22"/>
      <c r="C307" s="22"/>
      <c r="D307" s="23"/>
      <c r="H307" s="22"/>
      <c r="L307" s="22"/>
      <c r="P307" s="22"/>
      <c r="Q307" s="22"/>
      <c r="R307" s="22"/>
      <c r="S307" s="22"/>
    </row>
    <row r="308" spans="1:19" x14ac:dyDescent="0.2">
      <c r="A308" s="22"/>
      <c r="B308" s="22"/>
      <c r="C308" s="22"/>
      <c r="D308" s="23"/>
      <c r="H308" s="22"/>
      <c r="L308" s="22"/>
      <c r="P308" s="22"/>
      <c r="Q308" s="22"/>
      <c r="R308" s="22"/>
      <c r="S308" s="22"/>
    </row>
    <row r="309" spans="1:19" x14ac:dyDescent="0.2">
      <c r="A309" s="22"/>
      <c r="B309" s="22"/>
      <c r="C309" s="22"/>
      <c r="D309" s="23"/>
      <c r="H309" s="22"/>
      <c r="L309" s="22"/>
      <c r="P309" s="22"/>
      <c r="Q309" s="22"/>
      <c r="R309" s="22"/>
      <c r="S309" s="22"/>
    </row>
    <row r="310" spans="1:19" x14ac:dyDescent="0.2">
      <c r="A310" s="22"/>
      <c r="B310" s="22"/>
      <c r="C310" s="22"/>
      <c r="D310" s="23"/>
      <c r="H310" s="22"/>
      <c r="L310" s="22"/>
      <c r="P310" s="22"/>
      <c r="Q310" s="22"/>
      <c r="R310" s="22"/>
      <c r="S310" s="22"/>
    </row>
    <row r="311" spans="1:19" x14ac:dyDescent="0.2">
      <c r="A311" s="22"/>
      <c r="B311" s="22"/>
      <c r="C311" s="22"/>
      <c r="D311" s="23"/>
      <c r="H311" s="22"/>
      <c r="L311" s="22"/>
      <c r="P311" s="22"/>
      <c r="Q311" s="22"/>
      <c r="R311" s="22"/>
      <c r="S311" s="22"/>
    </row>
    <row r="312" spans="1:19" x14ac:dyDescent="0.2">
      <c r="A312" s="22"/>
      <c r="B312" s="22"/>
      <c r="C312" s="22"/>
      <c r="D312" s="23"/>
      <c r="H312" s="22"/>
      <c r="L312" s="22"/>
      <c r="P312" s="22"/>
      <c r="Q312" s="22"/>
      <c r="R312" s="22"/>
      <c r="S312" s="22"/>
    </row>
    <row r="313" spans="1:19" x14ac:dyDescent="0.2">
      <c r="A313" s="22"/>
      <c r="B313" s="22"/>
      <c r="C313" s="22"/>
      <c r="D313" s="23"/>
      <c r="H313" s="22"/>
      <c r="L313" s="22"/>
      <c r="P313" s="22"/>
      <c r="Q313" s="22"/>
      <c r="R313" s="22"/>
      <c r="S313" s="22"/>
    </row>
    <row r="314" spans="1:19" x14ac:dyDescent="0.2">
      <c r="A314" s="22"/>
      <c r="B314" s="22"/>
      <c r="C314" s="22"/>
      <c r="D314" s="23"/>
      <c r="H314" s="22"/>
      <c r="L314" s="22"/>
      <c r="P314" s="22"/>
      <c r="Q314" s="22"/>
      <c r="R314" s="22"/>
      <c r="S314" s="22"/>
    </row>
    <row r="315" spans="1:19" x14ac:dyDescent="0.2">
      <c r="A315" s="22"/>
      <c r="B315" s="22"/>
      <c r="C315" s="22"/>
      <c r="D315" s="23"/>
      <c r="H315" s="22"/>
      <c r="L315" s="22"/>
      <c r="P315" s="22"/>
      <c r="Q315" s="22"/>
      <c r="R315" s="22"/>
      <c r="S315" s="22"/>
    </row>
    <row r="316" spans="1:19" x14ac:dyDescent="0.2">
      <c r="A316" s="22"/>
      <c r="B316" s="22"/>
      <c r="C316" s="22"/>
      <c r="D316" s="23"/>
      <c r="H316" s="22"/>
      <c r="L316" s="22"/>
      <c r="P316" s="22"/>
      <c r="Q316" s="22"/>
      <c r="R316" s="22"/>
      <c r="S316" s="22"/>
    </row>
    <row r="317" spans="1:19" x14ac:dyDescent="0.2">
      <c r="A317" s="22"/>
      <c r="B317" s="22"/>
      <c r="C317" s="22"/>
      <c r="D317" s="23"/>
      <c r="H317" s="22"/>
      <c r="L317" s="22"/>
      <c r="P317" s="22"/>
      <c r="Q317" s="22"/>
      <c r="R317" s="22"/>
      <c r="S317" s="22"/>
    </row>
    <row r="318" spans="1:19" x14ac:dyDescent="0.2">
      <c r="A318" s="22"/>
      <c r="B318" s="22"/>
      <c r="C318" s="22"/>
      <c r="D318" s="23"/>
      <c r="H318" s="22"/>
      <c r="L318" s="22"/>
      <c r="P318" s="22"/>
      <c r="Q318" s="22"/>
      <c r="R318" s="22"/>
      <c r="S318" s="22"/>
    </row>
    <row r="319" spans="1:19" x14ac:dyDescent="0.2">
      <c r="A319" s="22"/>
      <c r="B319" s="22"/>
      <c r="C319" s="22"/>
      <c r="D319" s="23"/>
      <c r="H319" s="22"/>
      <c r="L319" s="22"/>
      <c r="P319" s="22"/>
      <c r="Q319" s="22"/>
      <c r="R319" s="22"/>
      <c r="S319" s="22"/>
    </row>
    <row r="320" spans="1:19" x14ac:dyDescent="0.2">
      <c r="A320" s="22"/>
      <c r="B320" s="22"/>
      <c r="C320" s="22"/>
      <c r="D320" s="23"/>
      <c r="H320" s="22"/>
      <c r="L320" s="22"/>
      <c r="P320" s="22"/>
      <c r="Q320" s="22"/>
      <c r="R320" s="22"/>
      <c r="S320" s="22"/>
    </row>
    <row r="321" spans="1:19" x14ac:dyDescent="0.2">
      <c r="A321" s="22"/>
      <c r="B321" s="22"/>
      <c r="C321" s="22"/>
      <c r="D321" s="23"/>
      <c r="H321" s="22"/>
      <c r="L321" s="22"/>
      <c r="P321" s="22"/>
      <c r="Q321" s="22"/>
      <c r="R321" s="22"/>
      <c r="S321" s="22"/>
    </row>
    <row r="322" spans="1:19" x14ac:dyDescent="0.2">
      <c r="A322" s="22"/>
      <c r="B322" s="22"/>
      <c r="C322" s="22"/>
      <c r="D322" s="23"/>
      <c r="H322" s="22"/>
      <c r="L322" s="22"/>
      <c r="P322" s="22"/>
      <c r="Q322" s="22"/>
      <c r="R322" s="22"/>
      <c r="S322" s="22"/>
    </row>
    <row r="323" spans="1:19" x14ac:dyDescent="0.2">
      <c r="A323" s="22"/>
      <c r="B323" s="22"/>
      <c r="C323" s="22"/>
      <c r="D323" s="23"/>
      <c r="H323" s="22"/>
      <c r="L323" s="22"/>
      <c r="P323" s="22"/>
      <c r="Q323" s="22"/>
      <c r="R323" s="22"/>
      <c r="S323" s="22"/>
    </row>
    <row r="324" spans="1:19" x14ac:dyDescent="0.2">
      <c r="A324" s="22"/>
      <c r="B324" s="22"/>
      <c r="C324" s="22"/>
      <c r="D324" s="23"/>
      <c r="H324" s="22"/>
      <c r="L324" s="22"/>
      <c r="P324" s="22"/>
      <c r="Q324" s="22"/>
      <c r="R324" s="22"/>
      <c r="S324" s="22"/>
    </row>
    <row r="325" spans="1:19" x14ac:dyDescent="0.2">
      <c r="A325" s="22"/>
      <c r="B325" s="22"/>
      <c r="C325" s="22"/>
      <c r="D325" s="23"/>
      <c r="H325" s="22"/>
      <c r="L325" s="22"/>
      <c r="P325" s="22"/>
      <c r="Q325" s="22"/>
      <c r="R325" s="22"/>
      <c r="S325" s="22"/>
    </row>
    <row r="326" spans="1:19" x14ac:dyDescent="0.2">
      <c r="A326" s="22"/>
      <c r="B326" s="22"/>
      <c r="C326" s="22"/>
      <c r="D326" s="23"/>
      <c r="H326" s="22"/>
      <c r="L326" s="22"/>
      <c r="P326" s="22"/>
      <c r="Q326" s="22"/>
      <c r="R326" s="22"/>
      <c r="S326" s="22"/>
    </row>
    <row r="327" spans="1:19" x14ac:dyDescent="0.2">
      <c r="A327" s="22"/>
      <c r="B327" s="22"/>
      <c r="C327" s="22"/>
      <c r="D327" s="23"/>
      <c r="H327" s="22"/>
      <c r="L327" s="22"/>
      <c r="P327" s="22"/>
      <c r="Q327" s="22"/>
      <c r="R327" s="22"/>
      <c r="S327" s="22"/>
    </row>
    <row r="328" spans="1:19" x14ac:dyDescent="0.2">
      <c r="A328" s="22"/>
      <c r="B328" s="22"/>
      <c r="C328" s="22"/>
      <c r="D328" s="23"/>
      <c r="H328" s="22"/>
      <c r="L328" s="22"/>
      <c r="P328" s="22"/>
      <c r="Q328" s="22"/>
      <c r="R328" s="22"/>
      <c r="S328" s="22"/>
    </row>
    <row r="329" spans="1:19" x14ac:dyDescent="0.2">
      <c r="A329" s="22"/>
      <c r="B329" s="22"/>
      <c r="C329" s="22"/>
      <c r="D329" s="23"/>
      <c r="H329" s="22"/>
      <c r="L329" s="22"/>
      <c r="P329" s="22"/>
      <c r="Q329" s="22"/>
      <c r="R329" s="22"/>
      <c r="S329" s="22"/>
    </row>
    <row r="330" spans="1:19" x14ac:dyDescent="0.2">
      <c r="A330" s="22"/>
      <c r="B330" s="22"/>
      <c r="C330" s="22"/>
      <c r="D330" s="23"/>
      <c r="H330" s="22"/>
      <c r="L330" s="22"/>
      <c r="P330" s="22"/>
      <c r="Q330" s="22"/>
      <c r="R330" s="22"/>
      <c r="S330" s="22"/>
    </row>
    <row r="331" spans="1:19" x14ac:dyDescent="0.2">
      <c r="A331" s="22"/>
      <c r="B331" s="22"/>
      <c r="C331" s="22"/>
      <c r="D331" s="23"/>
      <c r="H331" s="22"/>
      <c r="L331" s="22"/>
      <c r="P331" s="22"/>
      <c r="Q331" s="22"/>
      <c r="R331" s="22"/>
      <c r="S331" s="22"/>
    </row>
    <row r="332" spans="1:19" x14ac:dyDescent="0.2">
      <c r="A332" s="22"/>
      <c r="B332" s="22"/>
      <c r="C332" s="22"/>
      <c r="D332" s="23"/>
      <c r="H332" s="22"/>
      <c r="L332" s="22"/>
      <c r="P332" s="22"/>
      <c r="Q332" s="22"/>
      <c r="R332" s="22"/>
      <c r="S332" s="22"/>
    </row>
    <row r="333" spans="1:19" x14ac:dyDescent="0.2">
      <c r="A333" s="22"/>
      <c r="B333" s="22"/>
      <c r="C333" s="22"/>
      <c r="D333" s="23"/>
      <c r="H333" s="22"/>
      <c r="L333" s="22"/>
      <c r="P333" s="22"/>
      <c r="Q333" s="22"/>
      <c r="R333" s="22"/>
      <c r="S333" s="22"/>
    </row>
    <row r="334" spans="1:19" x14ac:dyDescent="0.2">
      <c r="A334" s="22"/>
      <c r="B334" s="22"/>
      <c r="C334" s="22"/>
      <c r="D334" s="23"/>
      <c r="H334" s="22"/>
      <c r="L334" s="22"/>
      <c r="P334" s="22"/>
      <c r="Q334" s="22"/>
      <c r="R334" s="22"/>
      <c r="S334" s="22"/>
    </row>
    <row r="335" spans="1:19" x14ac:dyDescent="0.2">
      <c r="A335" s="22"/>
      <c r="B335" s="22"/>
      <c r="C335" s="22"/>
      <c r="D335" s="23"/>
      <c r="H335" s="22"/>
      <c r="L335" s="22"/>
      <c r="P335" s="22"/>
      <c r="Q335" s="22"/>
      <c r="R335" s="22"/>
      <c r="S335" s="22"/>
    </row>
    <row r="336" spans="1:19" x14ac:dyDescent="0.2">
      <c r="A336" s="22"/>
      <c r="B336" s="22"/>
      <c r="C336" s="22"/>
      <c r="D336" s="23"/>
      <c r="H336" s="22"/>
      <c r="L336" s="22"/>
      <c r="P336" s="22"/>
      <c r="Q336" s="22"/>
      <c r="R336" s="22"/>
      <c r="S336" s="22"/>
    </row>
    <row r="337" spans="1:19" x14ac:dyDescent="0.2">
      <c r="A337" s="22"/>
      <c r="B337" s="22"/>
      <c r="C337" s="22"/>
      <c r="D337" s="23"/>
      <c r="H337" s="22"/>
      <c r="L337" s="22"/>
      <c r="P337" s="22"/>
      <c r="Q337" s="22"/>
      <c r="R337" s="22"/>
      <c r="S337" s="22"/>
    </row>
    <row r="338" spans="1:19" x14ac:dyDescent="0.2">
      <c r="A338" s="22"/>
      <c r="B338" s="22"/>
      <c r="C338" s="22"/>
      <c r="D338" s="23"/>
      <c r="H338" s="22"/>
      <c r="L338" s="22"/>
      <c r="P338" s="22"/>
      <c r="Q338" s="22"/>
      <c r="R338" s="22"/>
      <c r="S338" s="22"/>
    </row>
    <row r="339" spans="1:19" x14ac:dyDescent="0.2">
      <c r="A339" s="22"/>
      <c r="B339" s="22"/>
      <c r="C339" s="22"/>
      <c r="D339" s="23"/>
      <c r="H339" s="22"/>
      <c r="L339" s="22"/>
      <c r="P339" s="22"/>
      <c r="Q339" s="22"/>
      <c r="R339" s="22"/>
      <c r="S339" s="22"/>
    </row>
    <row r="340" spans="1:19" x14ac:dyDescent="0.2">
      <c r="A340" s="22"/>
      <c r="B340" s="22"/>
      <c r="C340" s="22"/>
      <c r="D340" s="23"/>
      <c r="H340" s="22"/>
      <c r="L340" s="22"/>
      <c r="P340" s="22"/>
      <c r="Q340" s="22"/>
      <c r="R340" s="22"/>
      <c r="S340" s="22"/>
    </row>
    <row r="341" spans="1:19" x14ac:dyDescent="0.2">
      <c r="A341" s="22"/>
      <c r="B341" s="22"/>
      <c r="C341" s="22"/>
      <c r="D341" s="23"/>
      <c r="H341" s="22"/>
      <c r="L341" s="22"/>
      <c r="P341" s="22"/>
      <c r="Q341" s="22"/>
      <c r="R341" s="22"/>
      <c r="S341" s="22"/>
    </row>
    <row r="342" spans="1:19" x14ac:dyDescent="0.2">
      <c r="A342" s="22"/>
      <c r="B342" s="22"/>
      <c r="C342" s="22"/>
      <c r="D342" s="23"/>
      <c r="H342" s="22"/>
      <c r="L342" s="22"/>
      <c r="P342" s="22"/>
      <c r="Q342" s="22"/>
      <c r="R342" s="22"/>
      <c r="S342" s="22"/>
    </row>
    <row r="343" spans="1:19" x14ac:dyDescent="0.2">
      <c r="A343" s="22"/>
      <c r="B343" s="22"/>
      <c r="C343" s="22"/>
      <c r="D343" s="23"/>
      <c r="H343" s="22"/>
      <c r="L343" s="22"/>
      <c r="P343" s="22"/>
      <c r="Q343" s="22"/>
      <c r="R343" s="22"/>
      <c r="S343" s="22"/>
    </row>
    <row r="344" spans="1:19" x14ac:dyDescent="0.2">
      <c r="A344" s="22"/>
      <c r="B344" s="22"/>
      <c r="C344" s="22"/>
      <c r="D344" s="23"/>
      <c r="H344" s="22"/>
      <c r="L344" s="22"/>
      <c r="P344" s="22"/>
      <c r="Q344" s="22"/>
      <c r="R344" s="22"/>
      <c r="S344" s="22"/>
    </row>
    <row r="345" spans="1:19" x14ac:dyDescent="0.2">
      <c r="A345" s="22"/>
      <c r="B345" s="22"/>
      <c r="C345" s="22"/>
      <c r="D345" s="23"/>
      <c r="H345" s="22"/>
      <c r="L345" s="22"/>
      <c r="P345" s="22"/>
      <c r="Q345" s="22"/>
      <c r="R345" s="22"/>
      <c r="S345" s="22"/>
    </row>
    <row r="346" spans="1:19" x14ac:dyDescent="0.2">
      <c r="A346" s="22"/>
      <c r="B346" s="22"/>
      <c r="C346" s="22"/>
      <c r="D346" s="23"/>
      <c r="H346" s="22"/>
      <c r="L346" s="22"/>
      <c r="P346" s="22"/>
      <c r="Q346" s="22"/>
      <c r="R346" s="22"/>
      <c r="S346" s="22"/>
    </row>
    <row r="347" spans="1:19" x14ac:dyDescent="0.2">
      <c r="A347" s="22"/>
      <c r="B347" s="22"/>
      <c r="C347" s="22"/>
      <c r="D347" s="23"/>
      <c r="H347" s="22"/>
      <c r="L347" s="22"/>
      <c r="P347" s="22"/>
      <c r="Q347" s="22"/>
      <c r="R347" s="22"/>
      <c r="S347" s="22"/>
    </row>
    <row r="348" spans="1:19" x14ac:dyDescent="0.2">
      <c r="A348" s="22"/>
      <c r="B348" s="22"/>
      <c r="C348" s="22"/>
      <c r="D348" s="23"/>
      <c r="H348" s="22"/>
      <c r="L348" s="22"/>
      <c r="P348" s="22"/>
      <c r="Q348" s="22"/>
      <c r="R348" s="22"/>
      <c r="S348" s="22"/>
    </row>
    <row r="349" spans="1:19" x14ac:dyDescent="0.2">
      <c r="A349" s="22"/>
      <c r="B349" s="22"/>
      <c r="C349" s="22"/>
      <c r="D349" s="23"/>
      <c r="H349" s="22"/>
      <c r="L349" s="22"/>
      <c r="P349" s="22"/>
      <c r="Q349" s="22"/>
      <c r="R349" s="22"/>
      <c r="S349" s="22"/>
    </row>
    <row r="350" spans="1:19" x14ac:dyDescent="0.2">
      <c r="A350" s="22"/>
      <c r="B350" s="22"/>
      <c r="C350" s="22"/>
      <c r="D350" s="23"/>
      <c r="H350" s="22"/>
      <c r="L350" s="22"/>
      <c r="P350" s="22"/>
      <c r="Q350" s="22"/>
      <c r="R350" s="22"/>
      <c r="S350" s="22"/>
    </row>
    <row r="351" spans="1:19" x14ac:dyDescent="0.2">
      <c r="A351" s="22"/>
      <c r="B351" s="22"/>
      <c r="C351" s="22"/>
      <c r="D351" s="23"/>
      <c r="H351" s="22"/>
      <c r="L351" s="22"/>
      <c r="P351" s="22"/>
      <c r="Q351" s="22"/>
      <c r="R351" s="22"/>
      <c r="S351" s="22"/>
    </row>
    <row r="352" spans="1:19" x14ac:dyDescent="0.2">
      <c r="A352" s="22"/>
      <c r="B352" s="22"/>
      <c r="C352" s="22"/>
      <c r="D352" s="23"/>
      <c r="H352" s="22"/>
      <c r="L352" s="22"/>
      <c r="P352" s="22"/>
      <c r="Q352" s="22"/>
      <c r="R352" s="22"/>
      <c r="S352" s="22"/>
    </row>
    <row r="353" spans="1:19" x14ac:dyDescent="0.2">
      <c r="A353" s="22"/>
      <c r="B353" s="22"/>
      <c r="C353" s="22"/>
      <c r="D353" s="23"/>
      <c r="H353" s="22"/>
      <c r="L353" s="22"/>
      <c r="P353" s="22"/>
      <c r="Q353" s="22"/>
      <c r="R353" s="22"/>
      <c r="S353" s="22"/>
    </row>
    <row r="354" spans="1:19" x14ac:dyDescent="0.2">
      <c r="A354" s="22"/>
      <c r="B354" s="22"/>
      <c r="C354" s="22"/>
      <c r="D354" s="23"/>
      <c r="H354" s="22"/>
      <c r="L354" s="22"/>
      <c r="P354" s="22"/>
      <c r="Q354" s="22"/>
      <c r="R354" s="22"/>
      <c r="S354" s="22"/>
    </row>
    <row r="355" spans="1:19" x14ac:dyDescent="0.2">
      <c r="A355" s="22"/>
      <c r="B355" s="22"/>
      <c r="C355" s="22"/>
      <c r="D355" s="23"/>
      <c r="H355" s="22"/>
      <c r="L355" s="22"/>
      <c r="P355" s="22"/>
      <c r="Q355" s="22"/>
      <c r="R355" s="22"/>
      <c r="S355" s="22"/>
    </row>
    <row r="356" spans="1:19" x14ac:dyDescent="0.2">
      <c r="A356" s="22"/>
      <c r="B356" s="22"/>
      <c r="C356" s="22"/>
      <c r="D356" s="23"/>
      <c r="H356" s="22"/>
      <c r="L356" s="22"/>
      <c r="P356" s="22"/>
      <c r="Q356" s="22"/>
      <c r="R356" s="22"/>
      <c r="S356" s="22"/>
    </row>
    <row r="357" spans="1:19" x14ac:dyDescent="0.2">
      <c r="A357" s="22"/>
      <c r="B357" s="22"/>
      <c r="C357" s="22"/>
      <c r="D357" s="23"/>
      <c r="H357" s="22"/>
      <c r="L357" s="22"/>
      <c r="P357" s="22"/>
      <c r="Q357" s="22"/>
      <c r="R357" s="22"/>
      <c r="S357" s="22"/>
    </row>
    <row r="358" spans="1:19" x14ac:dyDescent="0.2">
      <c r="A358" s="22"/>
      <c r="B358" s="22"/>
      <c r="C358" s="22"/>
      <c r="D358" s="23"/>
      <c r="H358" s="22"/>
      <c r="L358" s="22"/>
      <c r="P358" s="22"/>
      <c r="Q358" s="22"/>
      <c r="R358" s="22"/>
      <c r="S358" s="22"/>
    </row>
    <row r="359" spans="1:19" x14ac:dyDescent="0.2">
      <c r="A359" s="22"/>
      <c r="B359" s="22"/>
      <c r="C359" s="22"/>
      <c r="D359" s="23"/>
      <c r="H359" s="22"/>
      <c r="L359" s="22"/>
      <c r="P359" s="22"/>
      <c r="Q359" s="22"/>
      <c r="R359" s="22"/>
      <c r="S359" s="22"/>
    </row>
    <row r="360" spans="1:19" x14ac:dyDescent="0.2">
      <c r="A360" s="22"/>
      <c r="B360" s="22"/>
      <c r="C360" s="22"/>
      <c r="D360" s="23"/>
      <c r="H360" s="22"/>
      <c r="L360" s="22"/>
      <c r="P360" s="22"/>
      <c r="Q360" s="22"/>
      <c r="R360" s="22"/>
      <c r="S360" s="22"/>
    </row>
    <row r="361" spans="1:19" x14ac:dyDescent="0.2">
      <c r="A361" s="22"/>
      <c r="B361" s="22"/>
      <c r="C361" s="22"/>
      <c r="D361" s="23"/>
      <c r="H361" s="22"/>
      <c r="L361" s="22"/>
      <c r="P361" s="22"/>
      <c r="Q361" s="22"/>
      <c r="R361" s="22"/>
      <c r="S361" s="22"/>
    </row>
    <row r="362" spans="1:19" x14ac:dyDescent="0.2">
      <c r="A362" s="22"/>
      <c r="B362" s="22"/>
      <c r="C362" s="22"/>
      <c r="D362" s="23"/>
      <c r="H362" s="22"/>
      <c r="L362" s="22"/>
      <c r="P362" s="22"/>
      <c r="Q362" s="22"/>
      <c r="R362" s="22"/>
      <c r="S362" s="22"/>
    </row>
    <row r="363" spans="1:19" x14ac:dyDescent="0.2">
      <c r="A363" s="22"/>
      <c r="B363" s="22"/>
      <c r="C363" s="22"/>
      <c r="D363" s="23"/>
      <c r="H363" s="22"/>
      <c r="L363" s="22"/>
      <c r="P363" s="22"/>
      <c r="Q363" s="22"/>
      <c r="R363" s="22"/>
      <c r="S363" s="22"/>
    </row>
    <row r="364" spans="1:19" x14ac:dyDescent="0.2">
      <c r="A364" s="22"/>
      <c r="B364" s="22"/>
      <c r="C364" s="22"/>
      <c r="D364" s="23"/>
      <c r="H364" s="22"/>
      <c r="L364" s="22"/>
      <c r="P364" s="22"/>
      <c r="Q364" s="22"/>
      <c r="R364" s="22"/>
      <c r="S364" s="22"/>
    </row>
    <row r="365" spans="1:19" x14ac:dyDescent="0.2">
      <c r="A365" s="22"/>
      <c r="B365" s="22"/>
      <c r="C365" s="22"/>
      <c r="D365" s="23"/>
      <c r="H365" s="22"/>
      <c r="L365" s="22"/>
      <c r="P365" s="22"/>
      <c r="Q365" s="22"/>
      <c r="R365" s="22"/>
      <c r="S365" s="22"/>
    </row>
    <row r="366" spans="1:19" x14ac:dyDescent="0.2">
      <c r="A366" s="22"/>
      <c r="B366" s="22"/>
      <c r="C366" s="22"/>
      <c r="D366" s="23"/>
      <c r="H366" s="22"/>
      <c r="L366" s="22"/>
      <c r="P366" s="22"/>
      <c r="Q366" s="22"/>
      <c r="R366" s="22"/>
      <c r="S366" s="22"/>
    </row>
    <row r="367" spans="1:19" x14ac:dyDescent="0.2">
      <c r="A367" s="22"/>
      <c r="B367" s="22"/>
      <c r="C367" s="22"/>
      <c r="D367" s="23"/>
      <c r="H367" s="22"/>
      <c r="L367" s="22"/>
      <c r="P367" s="22"/>
      <c r="Q367" s="22"/>
      <c r="R367" s="22"/>
      <c r="S367" s="22"/>
    </row>
    <row r="368" spans="1:19" x14ac:dyDescent="0.2">
      <c r="A368" s="22"/>
      <c r="B368" s="22"/>
      <c r="C368" s="22"/>
      <c r="D368" s="23"/>
      <c r="H368" s="22"/>
      <c r="L368" s="22"/>
      <c r="P368" s="22"/>
      <c r="Q368" s="22"/>
      <c r="R368" s="22"/>
      <c r="S368" s="22"/>
    </row>
    <row r="369" spans="1:19" x14ac:dyDescent="0.2">
      <c r="A369" s="22"/>
      <c r="B369" s="22"/>
      <c r="C369" s="22"/>
      <c r="D369" s="23"/>
      <c r="H369" s="22"/>
      <c r="L369" s="22"/>
      <c r="P369" s="22"/>
      <c r="Q369" s="22"/>
      <c r="R369" s="22"/>
      <c r="S369" s="22"/>
    </row>
    <row r="370" spans="1:19" x14ac:dyDescent="0.2">
      <c r="A370" s="22"/>
      <c r="B370" s="22"/>
      <c r="C370" s="22"/>
      <c r="D370" s="23"/>
      <c r="H370" s="22"/>
      <c r="L370" s="22"/>
      <c r="P370" s="22"/>
      <c r="Q370" s="22"/>
      <c r="R370" s="22"/>
      <c r="S370" s="22"/>
    </row>
    <row r="371" spans="1:19" x14ac:dyDescent="0.2">
      <c r="A371" s="22"/>
      <c r="B371" s="22"/>
      <c r="C371" s="22"/>
      <c r="D371" s="23"/>
      <c r="H371" s="22"/>
      <c r="L371" s="22"/>
      <c r="P371" s="22"/>
      <c r="Q371" s="22"/>
      <c r="R371" s="22"/>
      <c r="S371" s="22"/>
    </row>
    <row r="372" spans="1:19" x14ac:dyDescent="0.2">
      <c r="A372" s="22"/>
      <c r="B372" s="22"/>
      <c r="C372" s="22"/>
      <c r="D372" s="23"/>
      <c r="H372" s="22"/>
      <c r="L372" s="22"/>
      <c r="P372" s="22"/>
      <c r="Q372" s="22"/>
      <c r="R372" s="22"/>
      <c r="S372" s="22"/>
    </row>
    <row r="373" spans="1:19" x14ac:dyDescent="0.2">
      <c r="A373" s="22"/>
      <c r="B373" s="22"/>
      <c r="C373" s="22"/>
      <c r="D373" s="23"/>
      <c r="H373" s="22"/>
      <c r="L373" s="22"/>
      <c r="P373" s="22"/>
      <c r="Q373" s="22"/>
      <c r="R373" s="22"/>
      <c r="S373" s="22"/>
    </row>
    <row r="374" spans="1:19" x14ac:dyDescent="0.2">
      <c r="A374" s="22"/>
      <c r="B374" s="22"/>
      <c r="C374" s="22"/>
      <c r="D374" s="23"/>
      <c r="H374" s="22"/>
      <c r="L374" s="22"/>
      <c r="P374" s="22"/>
      <c r="Q374" s="22"/>
      <c r="R374" s="22"/>
      <c r="S374" s="22"/>
    </row>
    <row r="375" spans="1:19" x14ac:dyDescent="0.2">
      <c r="A375" s="22"/>
      <c r="B375" s="22"/>
      <c r="C375" s="22"/>
      <c r="D375" s="23"/>
      <c r="H375" s="22"/>
      <c r="L375" s="22"/>
      <c r="P375" s="22"/>
      <c r="Q375" s="22"/>
      <c r="R375" s="22"/>
      <c r="S375" s="22"/>
    </row>
    <row r="376" spans="1:19" x14ac:dyDescent="0.2">
      <c r="A376" s="22"/>
      <c r="B376" s="22"/>
      <c r="C376" s="22"/>
      <c r="D376" s="23"/>
      <c r="H376" s="22"/>
      <c r="L376" s="22"/>
      <c r="P376" s="22"/>
      <c r="Q376" s="22"/>
      <c r="R376" s="22"/>
      <c r="S376" s="22"/>
    </row>
    <row r="377" spans="1:19" x14ac:dyDescent="0.2">
      <c r="A377" s="22"/>
      <c r="B377" s="22"/>
      <c r="C377" s="22"/>
      <c r="D377" s="23"/>
      <c r="H377" s="22"/>
      <c r="L377" s="22"/>
      <c r="P377" s="22"/>
      <c r="Q377" s="22"/>
      <c r="R377" s="22"/>
      <c r="S377" s="22"/>
    </row>
    <row r="378" spans="1:19" x14ac:dyDescent="0.2">
      <c r="A378" s="22"/>
      <c r="B378" s="22"/>
      <c r="C378" s="22"/>
      <c r="D378" s="23"/>
      <c r="H378" s="22"/>
      <c r="L378" s="22"/>
      <c r="P378" s="22"/>
      <c r="Q378" s="22"/>
      <c r="R378" s="22"/>
      <c r="S378" s="22"/>
    </row>
    <row r="379" spans="1:19" x14ac:dyDescent="0.2">
      <c r="A379" s="22"/>
      <c r="B379" s="22"/>
      <c r="C379" s="22"/>
      <c r="D379" s="23"/>
      <c r="H379" s="22"/>
      <c r="L379" s="22"/>
      <c r="P379" s="22"/>
      <c r="Q379" s="22"/>
      <c r="R379" s="22"/>
      <c r="S379" s="22"/>
    </row>
    <row r="380" spans="1:19" x14ac:dyDescent="0.2">
      <c r="A380" s="22"/>
      <c r="B380" s="22"/>
      <c r="C380" s="22"/>
      <c r="D380" s="23"/>
      <c r="H380" s="22"/>
      <c r="L380" s="22"/>
      <c r="P380" s="22"/>
      <c r="Q380" s="22"/>
      <c r="R380" s="22"/>
      <c r="S380" s="22"/>
    </row>
    <row r="381" spans="1:19" x14ac:dyDescent="0.2">
      <c r="A381" s="22"/>
      <c r="B381" s="22"/>
      <c r="C381" s="22"/>
      <c r="D381" s="23"/>
      <c r="H381" s="22"/>
      <c r="L381" s="22"/>
      <c r="P381" s="22"/>
      <c r="Q381" s="22"/>
      <c r="R381" s="22"/>
      <c r="S381" s="22"/>
    </row>
    <row r="382" spans="1:19" x14ac:dyDescent="0.2">
      <c r="A382" s="22"/>
      <c r="B382" s="22"/>
      <c r="C382" s="22"/>
      <c r="D382" s="23"/>
      <c r="H382" s="22"/>
      <c r="L382" s="22"/>
      <c r="P382" s="22"/>
      <c r="Q382" s="22"/>
      <c r="R382" s="22"/>
      <c r="S382" s="22"/>
    </row>
    <row r="383" spans="1:19" x14ac:dyDescent="0.2">
      <c r="A383" s="22"/>
      <c r="B383" s="22"/>
      <c r="C383" s="22"/>
      <c r="D383" s="23"/>
      <c r="H383" s="22"/>
      <c r="L383" s="22"/>
      <c r="P383" s="22"/>
      <c r="Q383" s="22"/>
      <c r="R383" s="22"/>
      <c r="S383" s="22"/>
    </row>
    <row r="384" spans="1:19" x14ac:dyDescent="0.2">
      <c r="A384" s="22"/>
      <c r="B384" s="22"/>
      <c r="C384" s="22"/>
      <c r="D384" s="23"/>
      <c r="H384" s="22"/>
      <c r="L384" s="22"/>
      <c r="P384" s="22"/>
      <c r="Q384" s="22"/>
      <c r="R384" s="22"/>
      <c r="S384" s="22"/>
    </row>
    <row r="385" spans="1:19" x14ac:dyDescent="0.2">
      <c r="A385" s="22"/>
      <c r="B385" s="22"/>
      <c r="C385" s="22"/>
      <c r="D385" s="23"/>
      <c r="H385" s="22"/>
      <c r="L385" s="22"/>
      <c r="P385" s="22"/>
      <c r="Q385" s="22"/>
      <c r="R385" s="22"/>
      <c r="S385" s="22"/>
    </row>
    <row r="386" spans="1:19" x14ac:dyDescent="0.2">
      <c r="A386" s="22"/>
      <c r="B386" s="22"/>
      <c r="C386" s="22"/>
      <c r="D386" s="23"/>
      <c r="H386" s="22"/>
      <c r="L386" s="22"/>
      <c r="P386" s="22"/>
      <c r="Q386" s="22"/>
      <c r="R386" s="22"/>
      <c r="S386" s="22"/>
    </row>
    <row r="387" spans="1:19" x14ac:dyDescent="0.2">
      <c r="A387" s="22"/>
      <c r="B387" s="22"/>
      <c r="C387" s="22"/>
      <c r="D387" s="23"/>
      <c r="H387" s="22"/>
      <c r="L387" s="22"/>
      <c r="P387" s="22"/>
      <c r="Q387" s="22"/>
      <c r="R387" s="22"/>
      <c r="S387" s="22"/>
    </row>
    <row r="388" spans="1:19" x14ac:dyDescent="0.2">
      <c r="A388" s="22"/>
      <c r="B388" s="22"/>
      <c r="C388" s="22"/>
      <c r="D388" s="23"/>
      <c r="H388" s="22"/>
      <c r="L388" s="22"/>
      <c r="P388" s="22"/>
      <c r="Q388" s="22"/>
      <c r="R388" s="22"/>
      <c r="S388" s="22"/>
    </row>
    <row r="389" spans="1:19" x14ac:dyDescent="0.2">
      <c r="A389" s="22"/>
      <c r="B389" s="22"/>
      <c r="C389" s="22"/>
      <c r="D389" s="23"/>
      <c r="H389" s="22"/>
      <c r="L389" s="22"/>
      <c r="P389" s="22"/>
      <c r="Q389" s="22"/>
      <c r="R389" s="22"/>
      <c r="S389" s="22"/>
    </row>
    <row r="390" spans="1:19" x14ac:dyDescent="0.2">
      <c r="A390" s="22"/>
      <c r="B390" s="22"/>
      <c r="C390" s="22"/>
      <c r="D390" s="23"/>
      <c r="H390" s="22"/>
      <c r="L390" s="22"/>
      <c r="P390" s="22"/>
      <c r="Q390" s="22"/>
      <c r="R390" s="22"/>
      <c r="S390" s="22"/>
    </row>
    <row r="391" spans="1:19" x14ac:dyDescent="0.2">
      <c r="A391" s="22"/>
      <c r="B391" s="22"/>
      <c r="C391" s="22"/>
      <c r="D391" s="23"/>
      <c r="H391" s="22"/>
      <c r="L391" s="22"/>
      <c r="P391" s="22"/>
      <c r="Q391" s="22"/>
      <c r="R391" s="22"/>
      <c r="S391" s="22"/>
    </row>
    <row r="392" spans="1:19" x14ac:dyDescent="0.2">
      <c r="A392" s="22"/>
      <c r="B392" s="22"/>
      <c r="C392" s="22"/>
      <c r="D392" s="23"/>
      <c r="H392" s="22"/>
      <c r="L392" s="22"/>
      <c r="P392" s="22"/>
      <c r="Q392" s="22"/>
      <c r="R392" s="22"/>
      <c r="S392" s="22"/>
    </row>
    <row r="393" spans="1:19" x14ac:dyDescent="0.2">
      <c r="A393" s="22"/>
      <c r="B393" s="22"/>
      <c r="C393" s="22"/>
      <c r="D393" s="23"/>
      <c r="H393" s="22"/>
      <c r="L393" s="22"/>
      <c r="P393" s="22"/>
      <c r="Q393" s="22"/>
      <c r="R393" s="22"/>
      <c r="S393" s="22"/>
    </row>
    <row r="394" spans="1:19" x14ac:dyDescent="0.2">
      <c r="A394" s="22"/>
      <c r="B394" s="22"/>
      <c r="C394" s="22"/>
      <c r="D394" s="23"/>
      <c r="H394" s="22"/>
      <c r="L394" s="22"/>
      <c r="P394" s="22"/>
      <c r="Q394" s="22"/>
      <c r="R394" s="22"/>
      <c r="S394" s="22"/>
    </row>
    <row r="395" spans="1:19" x14ac:dyDescent="0.2">
      <c r="A395" s="22"/>
      <c r="B395" s="22"/>
      <c r="C395" s="22"/>
      <c r="D395" s="23"/>
      <c r="H395" s="22"/>
      <c r="L395" s="22"/>
      <c r="P395" s="22"/>
      <c r="Q395" s="22"/>
      <c r="R395" s="22"/>
      <c r="S395" s="22"/>
    </row>
    <row r="396" spans="1:19" x14ac:dyDescent="0.2">
      <c r="A396" s="22"/>
      <c r="B396" s="22"/>
      <c r="C396" s="22"/>
      <c r="D396" s="23"/>
      <c r="H396" s="22"/>
      <c r="L396" s="22"/>
      <c r="P396" s="22"/>
      <c r="Q396" s="22"/>
      <c r="R396" s="22"/>
      <c r="S396" s="22"/>
    </row>
    <row r="397" spans="1:19" x14ac:dyDescent="0.2">
      <c r="A397" s="22"/>
      <c r="B397" s="22"/>
      <c r="C397" s="22"/>
      <c r="D397" s="23"/>
      <c r="H397" s="22"/>
      <c r="L397" s="22"/>
      <c r="P397" s="22"/>
      <c r="Q397" s="22"/>
      <c r="R397" s="22"/>
      <c r="S397" s="22"/>
    </row>
    <row r="398" spans="1:19" x14ac:dyDescent="0.2">
      <c r="A398" s="22"/>
      <c r="B398" s="22"/>
      <c r="C398" s="22"/>
      <c r="D398" s="23"/>
      <c r="H398" s="22"/>
      <c r="L398" s="22"/>
      <c r="P398" s="22"/>
      <c r="Q398" s="22"/>
      <c r="R398" s="22"/>
      <c r="S398" s="22"/>
    </row>
    <row r="399" spans="1:19" x14ac:dyDescent="0.2">
      <c r="A399" s="22"/>
      <c r="B399" s="22"/>
      <c r="C399" s="22"/>
      <c r="D399" s="23"/>
      <c r="H399" s="22"/>
      <c r="L399" s="22"/>
      <c r="P399" s="22"/>
      <c r="Q399" s="22"/>
      <c r="R399" s="22"/>
      <c r="S399" s="22"/>
    </row>
    <row r="400" spans="1:19" x14ac:dyDescent="0.2">
      <c r="A400" s="22"/>
      <c r="B400" s="22"/>
      <c r="C400" s="22"/>
      <c r="D400" s="23"/>
      <c r="H400" s="22"/>
      <c r="L400" s="22"/>
      <c r="P400" s="22"/>
      <c r="Q400" s="22"/>
      <c r="R400" s="22"/>
      <c r="S400" s="22"/>
    </row>
    <row r="401" spans="1:19" x14ac:dyDescent="0.2">
      <c r="A401" s="22"/>
      <c r="B401" s="22"/>
      <c r="C401" s="22"/>
      <c r="D401" s="23"/>
      <c r="H401" s="22"/>
      <c r="L401" s="22"/>
      <c r="P401" s="22"/>
      <c r="Q401" s="22"/>
      <c r="R401" s="22"/>
      <c r="S401" s="22"/>
    </row>
    <row r="402" spans="1:19" x14ac:dyDescent="0.2">
      <c r="A402" s="22"/>
      <c r="B402" s="22"/>
      <c r="C402" s="22"/>
      <c r="D402" s="23"/>
      <c r="H402" s="22"/>
      <c r="L402" s="22"/>
      <c r="P402" s="22"/>
      <c r="Q402" s="22"/>
      <c r="R402" s="22"/>
      <c r="S402" s="22"/>
    </row>
    <row r="403" spans="1:19" x14ac:dyDescent="0.2">
      <c r="A403" s="22"/>
      <c r="B403" s="22"/>
      <c r="C403" s="22"/>
      <c r="D403" s="23"/>
      <c r="H403" s="22"/>
      <c r="L403" s="22"/>
      <c r="P403" s="22"/>
      <c r="Q403" s="22"/>
      <c r="R403" s="22"/>
      <c r="S403" s="22"/>
    </row>
    <row r="404" spans="1:19" x14ac:dyDescent="0.2">
      <c r="A404" s="22"/>
      <c r="B404" s="22"/>
      <c r="C404" s="22"/>
      <c r="D404" s="23"/>
      <c r="H404" s="22"/>
      <c r="L404" s="22"/>
      <c r="P404" s="22"/>
      <c r="Q404" s="22"/>
      <c r="R404" s="22"/>
      <c r="S404" s="22"/>
    </row>
    <row r="405" spans="1:19" x14ac:dyDescent="0.2">
      <c r="A405" s="22"/>
      <c r="B405" s="22"/>
      <c r="C405" s="22"/>
      <c r="D405" s="23"/>
      <c r="H405" s="22"/>
      <c r="L405" s="22"/>
      <c r="P405" s="22"/>
      <c r="Q405" s="22"/>
      <c r="R405" s="22"/>
      <c r="S405" s="22"/>
    </row>
    <row r="406" spans="1:19" x14ac:dyDescent="0.2">
      <c r="A406" s="22"/>
      <c r="B406" s="22"/>
      <c r="C406" s="22"/>
      <c r="D406" s="23"/>
      <c r="H406" s="22"/>
      <c r="L406" s="22"/>
      <c r="P406" s="22"/>
      <c r="Q406" s="22"/>
      <c r="R406" s="22"/>
      <c r="S406" s="22"/>
    </row>
    <row r="407" spans="1:19" x14ac:dyDescent="0.2">
      <c r="A407" s="22"/>
      <c r="B407" s="22"/>
      <c r="C407" s="22"/>
      <c r="D407" s="23"/>
      <c r="H407" s="22"/>
      <c r="L407" s="22"/>
      <c r="P407" s="22"/>
      <c r="Q407" s="22"/>
      <c r="R407" s="22"/>
      <c r="S407" s="22"/>
    </row>
    <row r="408" spans="1:19" x14ac:dyDescent="0.2">
      <c r="A408" s="22"/>
      <c r="B408" s="22"/>
      <c r="C408" s="22"/>
      <c r="D408" s="23"/>
      <c r="H408" s="22"/>
      <c r="L408" s="22"/>
      <c r="P408" s="22"/>
      <c r="Q408" s="22"/>
      <c r="R408" s="22"/>
      <c r="S408" s="22"/>
    </row>
    <row r="409" spans="1:19" x14ac:dyDescent="0.2">
      <c r="A409" s="22"/>
      <c r="B409" s="22"/>
      <c r="C409" s="22"/>
      <c r="D409" s="23"/>
      <c r="H409" s="22"/>
      <c r="L409" s="22"/>
      <c r="P409" s="22"/>
      <c r="Q409" s="22"/>
      <c r="R409" s="22"/>
      <c r="S409" s="22"/>
    </row>
    <row r="410" spans="1:19" x14ac:dyDescent="0.2">
      <c r="A410" s="22"/>
      <c r="B410" s="22"/>
      <c r="C410" s="22"/>
      <c r="D410" s="23"/>
      <c r="H410" s="22"/>
      <c r="L410" s="22"/>
      <c r="P410" s="22"/>
      <c r="Q410" s="22"/>
      <c r="R410" s="22"/>
      <c r="S410" s="22"/>
    </row>
    <row r="411" spans="1:19" x14ac:dyDescent="0.2">
      <c r="A411" s="22"/>
      <c r="B411" s="22"/>
      <c r="C411" s="22"/>
      <c r="D411" s="23"/>
      <c r="H411" s="22"/>
      <c r="L411" s="22"/>
      <c r="P411" s="22"/>
      <c r="Q411" s="22"/>
      <c r="R411" s="22"/>
      <c r="S411" s="22"/>
    </row>
    <row r="412" spans="1:19" x14ac:dyDescent="0.2">
      <c r="A412" s="22"/>
      <c r="B412" s="22"/>
      <c r="C412" s="22"/>
      <c r="D412" s="23"/>
      <c r="H412" s="22"/>
      <c r="L412" s="22"/>
      <c r="P412" s="22"/>
      <c r="Q412" s="22"/>
      <c r="R412" s="22"/>
      <c r="S412" s="22"/>
    </row>
    <row r="413" spans="1:19" x14ac:dyDescent="0.2">
      <c r="A413" s="22"/>
      <c r="B413" s="22"/>
      <c r="C413" s="22"/>
      <c r="D413" s="23"/>
      <c r="H413" s="22"/>
      <c r="L413" s="22"/>
      <c r="P413" s="22"/>
      <c r="Q413" s="22"/>
      <c r="R413" s="22"/>
      <c r="S413" s="22"/>
    </row>
    <row r="414" spans="1:19" x14ac:dyDescent="0.2">
      <c r="A414" s="22"/>
      <c r="B414" s="22"/>
      <c r="C414" s="22"/>
      <c r="D414" s="23"/>
      <c r="H414" s="22"/>
      <c r="L414" s="22"/>
      <c r="P414" s="22"/>
      <c r="Q414" s="22"/>
      <c r="R414" s="22"/>
      <c r="S414" s="22"/>
    </row>
    <row r="415" spans="1:19" x14ac:dyDescent="0.2">
      <c r="A415" s="22"/>
      <c r="B415" s="22"/>
      <c r="C415" s="22"/>
      <c r="D415" s="23"/>
      <c r="H415" s="22"/>
      <c r="L415" s="22"/>
      <c r="P415" s="22"/>
      <c r="Q415" s="22"/>
      <c r="R415" s="22"/>
      <c r="S415" s="22"/>
    </row>
    <row r="416" spans="1:19" x14ac:dyDescent="0.2">
      <c r="A416" s="22"/>
      <c r="B416" s="22"/>
      <c r="C416" s="22"/>
      <c r="D416" s="23"/>
      <c r="H416" s="22"/>
      <c r="L416" s="22"/>
      <c r="P416" s="22"/>
      <c r="Q416" s="22"/>
      <c r="R416" s="22"/>
      <c r="S416" s="22"/>
    </row>
    <row r="417" spans="1:19" x14ac:dyDescent="0.2">
      <c r="A417" s="22"/>
      <c r="B417" s="22"/>
      <c r="C417" s="22"/>
      <c r="D417" s="23"/>
      <c r="H417" s="22"/>
      <c r="L417" s="22"/>
      <c r="P417" s="22"/>
      <c r="Q417" s="22"/>
      <c r="R417" s="22"/>
      <c r="S417" s="22"/>
    </row>
    <row r="418" spans="1:19" x14ac:dyDescent="0.2">
      <c r="A418" s="22"/>
      <c r="B418" s="22"/>
      <c r="C418" s="22"/>
      <c r="D418" s="23"/>
      <c r="H418" s="22"/>
      <c r="L418" s="22"/>
      <c r="P418" s="22"/>
      <c r="Q418" s="22"/>
      <c r="R418" s="22"/>
      <c r="S418" s="22"/>
    </row>
    <row r="419" spans="1:19" x14ac:dyDescent="0.2">
      <c r="A419" s="22"/>
      <c r="B419" s="22"/>
      <c r="C419" s="22"/>
      <c r="D419" s="23"/>
      <c r="H419" s="22"/>
      <c r="L419" s="22"/>
      <c r="P419" s="22"/>
      <c r="Q419" s="22"/>
      <c r="R419" s="22"/>
      <c r="S419" s="22"/>
    </row>
    <row r="420" spans="1:19" x14ac:dyDescent="0.2">
      <c r="A420" s="22"/>
      <c r="B420" s="22"/>
      <c r="C420" s="22"/>
      <c r="D420" s="23"/>
      <c r="H420" s="22"/>
      <c r="L420" s="22"/>
      <c r="P420" s="22"/>
      <c r="Q420" s="22"/>
      <c r="R420" s="22"/>
      <c r="S420" s="22"/>
    </row>
    <row r="421" spans="1:19" x14ac:dyDescent="0.2">
      <c r="A421" s="22"/>
      <c r="B421" s="22"/>
      <c r="C421" s="22"/>
      <c r="D421" s="23"/>
      <c r="H421" s="22"/>
      <c r="L421" s="22"/>
      <c r="P421" s="22"/>
      <c r="Q421" s="22"/>
      <c r="R421" s="22"/>
      <c r="S421" s="22"/>
    </row>
    <row r="422" spans="1:19" x14ac:dyDescent="0.2">
      <c r="A422" s="22"/>
      <c r="B422" s="22"/>
      <c r="C422" s="22"/>
      <c r="D422" s="23"/>
      <c r="H422" s="22"/>
      <c r="L422" s="22"/>
      <c r="P422" s="22"/>
      <c r="Q422" s="22"/>
      <c r="R422" s="22"/>
      <c r="S422" s="22"/>
    </row>
    <row r="423" spans="1:19" x14ac:dyDescent="0.2">
      <c r="A423" s="22"/>
      <c r="B423" s="22"/>
      <c r="C423" s="22"/>
      <c r="D423" s="23"/>
      <c r="H423" s="22"/>
      <c r="L423" s="22"/>
      <c r="P423" s="22"/>
      <c r="Q423" s="22"/>
      <c r="R423" s="22"/>
      <c r="S423" s="22"/>
    </row>
    <row r="424" spans="1:19" x14ac:dyDescent="0.2">
      <c r="A424" s="22"/>
      <c r="B424" s="22"/>
      <c r="C424" s="22"/>
      <c r="D424" s="23"/>
      <c r="H424" s="22"/>
      <c r="L424" s="22"/>
      <c r="P424" s="22"/>
      <c r="Q424" s="22"/>
      <c r="R424" s="22"/>
      <c r="S424" s="22"/>
    </row>
    <row r="425" spans="1:19" x14ac:dyDescent="0.2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2" type="noConversion"/>
  <printOptions horizontalCentered="1"/>
  <pageMargins left="0" right="0" top="0.78740157480314965" bottom="0" header="0.51181102362204722" footer="0.51181102362204722"/>
  <pageSetup paperSize="8" scale="73" fitToHeight="0" orientation="landscape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7"/>
  <sheetViews>
    <sheetView view="pageBreakPreview" topLeftCell="A79" zoomScaleNormal="75" zoomScaleSheetLayoutView="100" workbookViewId="0">
      <selection activeCell="I99" sqref="I99"/>
    </sheetView>
  </sheetViews>
  <sheetFormatPr defaultRowHeight="12.75" x14ac:dyDescent="0.2"/>
  <cols>
    <col min="1" max="1" width="13.85546875" style="25" customWidth="1"/>
    <col min="2" max="2" width="56.42578125" style="13" customWidth="1"/>
    <col min="3" max="3" width="15.5703125" style="17" customWidth="1"/>
    <col min="4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2" width="13.5703125" style="13" bestFit="1" customWidth="1"/>
    <col min="13" max="14" width="11.140625" style="13" bestFit="1" customWidth="1"/>
    <col min="15" max="15" width="0.85546875" style="13" customWidth="1"/>
    <col min="16" max="18" width="14.5703125" style="13" customWidth="1"/>
    <col min="19" max="19" width="15.5703125" style="13" customWidth="1"/>
    <col min="20" max="20" width="10.5703125" style="13" customWidth="1"/>
    <col min="21" max="21" width="0.85546875" style="13" customWidth="1"/>
    <col min="22" max="22" width="5.5703125" style="13" customWidth="1"/>
    <col min="25" max="26" width="12.5703125" bestFit="1" customWidth="1"/>
  </cols>
  <sheetData>
    <row r="1" spans="1:26" ht="26.25" x14ac:dyDescent="0.4">
      <c r="A1" s="250" t="s">
        <v>469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6" x14ac:dyDescent="0.2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67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36750000</v>
      </c>
      <c r="D5" s="273">
        <f t="shared" ref="D5:H5" si="0">+D89</f>
        <v>37159000</v>
      </c>
      <c r="E5" s="273">
        <f t="shared" si="0"/>
        <v>37159000</v>
      </c>
      <c r="F5" s="273">
        <f t="shared" ref="F5" si="1">+F89</f>
        <v>37225000</v>
      </c>
      <c r="G5" s="273"/>
      <c r="H5" s="273">
        <f t="shared" si="0"/>
        <v>17640024</v>
      </c>
      <c r="I5" s="273">
        <f>+I89</f>
        <v>26250389</v>
      </c>
      <c r="J5" s="273">
        <f t="shared" ref="J5" si="2">+J89</f>
        <v>35167699</v>
      </c>
      <c r="K5" s="95"/>
      <c r="L5" s="32">
        <f t="shared" ref="L5:N6" si="3">IF(H5&gt;0,H5/C5,0)</f>
        <v>0.48000065306122447</v>
      </c>
      <c r="M5" s="32">
        <f t="shared" si="3"/>
        <v>0.70643421512957827</v>
      </c>
      <c r="N5" s="32">
        <f t="shared" si="3"/>
        <v>0.94641134045587882</v>
      </c>
      <c r="O5" s="32"/>
      <c r="P5" s="273">
        <f t="shared" ref="P5:S5" si="4">+P89</f>
        <v>409000</v>
      </c>
      <c r="Q5" s="273">
        <f t="shared" si="4"/>
        <v>0</v>
      </c>
      <c r="R5" s="273">
        <f t="shared" si="4"/>
        <v>66000</v>
      </c>
      <c r="S5" s="273">
        <f t="shared" si="4"/>
        <v>475000</v>
      </c>
      <c r="T5" s="139">
        <f>IF(C5=0,0,+S5/C5)</f>
        <v>1.292517006802721E-2</v>
      </c>
      <c r="U5" s="124"/>
      <c r="V5" s="211">
        <f t="shared" ref="V5:V7" si="5">+S5-E5+C5</f>
        <v>66000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36750000</v>
      </c>
      <c r="D6" s="275">
        <f t="shared" ref="D6:H6" si="6">+D102</f>
        <v>37159000</v>
      </c>
      <c r="E6" s="275">
        <f t="shared" si="6"/>
        <v>37159000</v>
      </c>
      <c r="F6" s="275">
        <f t="shared" ref="F6" si="7">+F102</f>
        <v>37225000</v>
      </c>
      <c r="G6" s="275"/>
      <c r="H6" s="275">
        <f t="shared" si="6"/>
        <v>20445341</v>
      </c>
      <c r="I6" s="275">
        <f>+I102</f>
        <v>28576002</v>
      </c>
      <c r="J6" s="275">
        <f t="shared" ref="J6" si="8">+J102</f>
        <v>36729473</v>
      </c>
      <c r="K6" s="69"/>
      <c r="L6" s="32">
        <f t="shared" si="3"/>
        <v>0.55633580952380957</v>
      </c>
      <c r="M6" s="32">
        <f t="shared" si="3"/>
        <v>0.76901967221938161</v>
      </c>
      <c r="N6" s="32">
        <f t="shared" si="3"/>
        <v>0.98844083532926075</v>
      </c>
      <c r="O6" s="32"/>
      <c r="P6" s="275">
        <f t="shared" ref="P6:S6" si="9">+P102</f>
        <v>409000</v>
      </c>
      <c r="Q6" s="275">
        <f t="shared" si="9"/>
        <v>0</v>
      </c>
      <c r="R6" s="275">
        <f t="shared" si="9"/>
        <v>66000</v>
      </c>
      <c r="S6" s="275">
        <f t="shared" si="9"/>
        <v>475000</v>
      </c>
      <c r="T6" s="32">
        <f>IF(C6=0,0,+S6/C6)</f>
        <v>1.292517006802721E-2</v>
      </c>
      <c r="U6" s="124"/>
      <c r="V6" s="211">
        <f t="shared" si="5"/>
        <v>66000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10">+D6-D5</f>
        <v>0</v>
      </c>
      <c r="E7" s="275">
        <f t="shared" si="10"/>
        <v>0</v>
      </c>
      <c r="F7" s="275">
        <f t="shared" si="10"/>
        <v>0</v>
      </c>
      <c r="G7" s="275"/>
      <c r="H7" s="275">
        <f t="shared" si="10"/>
        <v>2805317</v>
      </c>
      <c r="I7" s="275">
        <f>+I6-I5</f>
        <v>2325613</v>
      </c>
      <c r="J7" s="275">
        <f t="shared" ref="J7" si="11">+J6-J5</f>
        <v>1561774</v>
      </c>
      <c r="K7" s="69"/>
      <c r="L7" s="32"/>
      <c r="M7" s="32"/>
      <c r="N7" s="32"/>
      <c r="O7" s="32"/>
      <c r="P7" s="275">
        <f t="shared" ref="P7" si="12">+P6-P5</f>
        <v>0</v>
      </c>
      <c r="Q7" s="275">
        <f t="shared" ref="Q7" si="13">+Q6-Q5</f>
        <v>0</v>
      </c>
      <c r="R7" s="275">
        <f t="shared" ref="R7" si="14">+R6-R5</f>
        <v>0</v>
      </c>
      <c r="S7" s="275">
        <f t="shared" ref="S7" si="15">+S6-S5</f>
        <v>0</v>
      </c>
      <c r="T7" s="32">
        <f>IF(C7=0,0,+S7/C7)</f>
        <v>0</v>
      </c>
      <c r="U7" s="124"/>
      <c r="V7" s="211">
        <f t="shared" si="5"/>
        <v>0</v>
      </c>
      <c r="W7" s="128"/>
      <c r="X7" s="128"/>
    </row>
    <row r="8" spans="1:26" x14ac:dyDescent="0.2">
      <c r="A8" s="257"/>
      <c r="B8" s="258"/>
      <c r="C8" s="71"/>
      <c r="D8" s="598">
        <f>+D6/C6</f>
        <v>1.0111292517006802</v>
      </c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57" t="s">
        <v>408</v>
      </c>
      <c r="D9" s="662"/>
      <c r="E9" s="662"/>
      <c r="F9" s="663"/>
      <c r="G9" s="165"/>
      <c r="H9" s="657" t="s">
        <v>407</v>
      </c>
      <c r="I9" s="662"/>
      <c r="J9" s="662"/>
      <c r="K9" s="662"/>
      <c r="L9" s="662"/>
      <c r="M9" s="662"/>
      <c r="N9" s="663"/>
      <c r="O9" s="165"/>
      <c r="P9" s="657" t="s">
        <v>404</v>
      </c>
      <c r="Q9" s="662"/>
      <c r="R9" s="662"/>
      <c r="S9" s="662"/>
      <c r="T9" s="663"/>
      <c r="U9" s="212"/>
      <c r="V9" s="208"/>
      <c r="W9" s="128"/>
      <c r="X9" s="128"/>
    </row>
    <row r="10" spans="1:26" x14ac:dyDescent="0.2">
      <c r="A10" s="62"/>
      <c r="B10" s="63"/>
      <c r="C10" s="255"/>
      <c r="D10" s="94"/>
      <c r="E10" s="94"/>
      <c r="F10" s="256"/>
      <c r="G10" s="140"/>
      <c r="H10" s="654" t="s">
        <v>421</v>
      </c>
      <c r="I10" s="655"/>
      <c r="J10" s="656"/>
      <c r="K10" s="140"/>
      <c r="L10" s="654" t="s">
        <v>420</v>
      </c>
      <c r="M10" s="655"/>
      <c r="N10" s="656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1</v>
      </c>
      <c r="S10" s="133"/>
      <c r="T10" s="133"/>
      <c r="U10" s="162"/>
      <c r="V10" s="213"/>
      <c r="W10" s="137"/>
      <c r="X10" s="137"/>
      <c r="Y10" s="137"/>
      <c r="Z10" s="137"/>
    </row>
    <row r="11" spans="1:26" ht="68.45" customHeight="1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x14ac:dyDescent="0.2">
      <c r="A12" s="15"/>
      <c r="B12" s="15"/>
      <c r="C12" s="71"/>
      <c r="D12" s="99"/>
      <c r="E12" s="99"/>
      <c r="F12" s="99"/>
      <c r="G12" s="100"/>
      <c r="H12" s="100"/>
      <c r="I12" s="100"/>
      <c r="J12" s="100"/>
      <c r="K12" s="100"/>
      <c r="L12" s="143"/>
      <c r="M12" s="143"/>
      <c r="N12" s="143"/>
      <c r="O12" s="126"/>
      <c r="P12" s="83"/>
      <c r="Q12" s="83"/>
      <c r="R12" s="83"/>
      <c r="S12" s="83"/>
      <c r="T12" s="161"/>
      <c r="U12" s="126"/>
      <c r="V12" s="208"/>
      <c r="W12" s="128"/>
      <c r="X12" s="128"/>
    </row>
    <row r="13" spans="1:26" x14ac:dyDescent="0.2">
      <c r="A13" s="24" t="s">
        <v>0</v>
      </c>
      <c r="B13" s="24" t="s">
        <v>3</v>
      </c>
      <c r="C13" s="95">
        <f>SUM(C14:C28)</f>
        <v>21347000</v>
      </c>
      <c r="D13" s="95">
        <f t="shared" ref="D13:J13" si="16">SUM(D14:D28)</f>
        <v>21347000</v>
      </c>
      <c r="E13" s="95">
        <f t="shared" si="16"/>
        <v>21347000</v>
      </c>
      <c r="F13" s="95">
        <f t="shared" si="16"/>
        <v>21244000</v>
      </c>
      <c r="G13" s="95"/>
      <c r="H13" s="95">
        <f t="shared" si="16"/>
        <v>9693006</v>
      </c>
      <c r="I13" s="95">
        <f t="shared" si="16"/>
        <v>14973453</v>
      </c>
      <c r="J13" s="95">
        <f t="shared" si="16"/>
        <v>20196955</v>
      </c>
      <c r="K13" s="96"/>
      <c r="L13" s="89">
        <f>IF(H13&gt;0,H13/C13,0)</f>
        <v>0.45406876844521477</v>
      </c>
      <c r="M13" s="89">
        <f>IF(I13&gt;0,I13/D13,0)</f>
        <v>0.70143125497728021</v>
      </c>
      <c r="N13" s="89">
        <f>IF(J13&gt;0,J13/F13,0)</f>
        <v>0.95071337789493504</v>
      </c>
      <c r="O13" s="124"/>
      <c r="P13" s="96">
        <f t="shared" ref="P13" si="17">+(D13-C13)*P$10</f>
        <v>0</v>
      </c>
      <c r="Q13" s="96">
        <f t="shared" ref="Q13" si="18">+(E13-D13)*Q$10</f>
        <v>0</v>
      </c>
      <c r="R13" s="96">
        <f t="shared" ref="R13" si="19">+(F13-E13)*R$10</f>
        <v>-103000</v>
      </c>
      <c r="S13" s="96">
        <f>SUM(P13:R13)</f>
        <v>-103000</v>
      </c>
      <c r="T13" s="214">
        <f t="shared" ref="T13" si="20">IF(C13=0,0,+S13/C13)</f>
        <v>-4.8250339626176976E-3</v>
      </c>
      <c r="U13" s="124"/>
      <c r="V13" s="208">
        <f t="shared" ref="V13" si="21">+S13-E13+C13</f>
        <v>-103000</v>
      </c>
      <c r="W13" s="128"/>
      <c r="X13" s="128"/>
    </row>
    <row r="14" spans="1:26" x14ac:dyDescent="0.2">
      <c r="A14" s="15" t="s">
        <v>1</v>
      </c>
      <c r="B14" s="15"/>
      <c r="C14" s="328"/>
      <c r="D14" s="241"/>
      <c r="E14" s="241"/>
      <c r="F14" s="241"/>
      <c r="G14" s="98"/>
      <c r="H14" s="329"/>
      <c r="I14" s="329"/>
      <c r="J14" s="329"/>
      <c r="K14" s="98"/>
      <c r="L14" s="142"/>
      <c r="M14" s="142"/>
      <c r="N14" s="142"/>
      <c r="O14" s="125"/>
      <c r="P14" s="98"/>
      <c r="Q14" s="98"/>
      <c r="R14" s="98"/>
      <c r="S14" s="98"/>
      <c r="T14" s="89"/>
      <c r="U14" s="125"/>
      <c r="V14" s="208">
        <f t="shared" ref="V14:V76" si="22">+S14-E14+C14</f>
        <v>0</v>
      </c>
      <c r="W14" s="128"/>
      <c r="X14" s="128"/>
    </row>
    <row r="15" spans="1:26" x14ac:dyDescent="0.2">
      <c r="A15" s="15" t="s">
        <v>2</v>
      </c>
      <c r="B15" s="15" t="s">
        <v>362</v>
      </c>
      <c r="C15" s="328">
        <v>19897000</v>
      </c>
      <c r="D15" s="242">
        <v>19547000</v>
      </c>
      <c r="E15" s="242">
        <v>19296144</v>
      </c>
      <c r="F15" s="242">
        <v>18580595</v>
      </c>
      <c r="G15" s="100"/>
      <c r="H15" s="330">
        <v>8413584</v>
      </c>
      <c r="I15" s="330">
        <v>13131331</v>
      </c>
      <c r="J15" s="330">
        <v>17547248</v>
      </c>
      <c r="K15" s="100"/>
      <c r="L15" s="143">
        <f t="shared" ref="L15:L23" si="23">IF(H15&gt;0,H15/C15,0)</f>
        <v>0.42285691310247775</v>
      </c>
      <c r="M15" s="143">
        <f t="shared" ref="M15:M23" si="24">IF(I15&gt;0,I15/D15,0)</f>
        <v>0.67178242185501613</v>
      </c>
      <c r="N15" s="143">
        <f t="shared" ref="N15:N23" si="25">IF(J15&gt;0,J15/E15,0)</f>
        <v>0.90936551883111982</v>
      </c>
      <c r="O15" s="126"/>
      <c r="P15" s="83">
        <f t="shared" ref="P15:P23" si="26">+(D15-C15)*P$10</f>
        <v>-350000</v>
      </c>
      <c r="Q15" s="83">
        <f t="shared" ref="Q15:Q23" si="27">+(E15-D15)*Q$10</f>
        <v>-250856</v>
      </c>
      <c r="R15" s="83">
        <f t="shared" ref="R15:R23" si="28">+(F15-E15)*R$10</f>
        <v>-715549</v>
      </c>
      <c r="S15" s="83">
        <f>SUM(P15:R15)</f>
        <v>-1316405</v>
      </c>
      <c r="T15" s="89">
        <f t="shared" ref="T15:T23" si="29">IF(C15=0,0,+S15/C15)</f>
        <v>-6.6160979042066637E-2</v>
      </c>
      <c r="U15" s="126"/>
      <c r="V15" s="208">
        <f t="shared" si="22"/>
        <v>-715549</v>
      </c>
      <c r="W15" s="128"/>
      <c r="X15" s="129"/>
      <c r="Y15" s="38"/>
    </row>
    <row r="16" spans="1:26" x14ac:dyDescent="0.2">
      <c r="A16" s="15" t="s">
        <v>12</v>
      </c>
      <c r="B16" s="15" t="s">
        <v>4</v>
      </c>
      <c r="C16" s="328">
        <v>90000</v>
      </c>
      <c r="D16" s="242">
        <v>440000</v>
      </c>
      <c r="E16" s="242">
        <v>440000</v>
      </c>
      <c r="F16" s="242">
        <v>440000</v>
      </c>
      <c r="G16" s="100"/>
      <c r="H16" s="330">
        <v>440000</v>
      </c>
      <c r="I16" s="330">
        <v>440000</v>
      </c>
      <c r="J16" s="330">
        <v>440000</v>
      </c>
      <c r="K16" s="100"/>
      <c r="L16" s="143">
        <f t="shared" si="23"/>
        <v>4.8888888888888893</v>
      </c>
      <c r="M16" s="143">
        <f t="shared" si="24"/>
        <v>1</v>
      </c>
      <c r="N16" s="143">
        <f t="shared" si="25"/>
        <v>1</v>
      </c>
      <c r="O16" s="126"/>
      <c r="P16" s="83">
        <f t="shared" si="26"/>
        <v>350000</v>
      </c>
      <c r="Q16" s="83">
        <f t="shared" si="27"/>
        <v>0</v>
      </c>
      <c r="R16" s="83">
        <f t="shared" si="28"/>
        <v>0</v>
      </c>
      <c r="S16" s="83">
        <f t="shared" ref="S16:S32" si="30">SUM(P16:R16)</f>
        <v>350000</v>
      </c>
      <c r="T16" s="89">
        <f t="shared" si="29"/>
        <v>3.8888888888888888</v>
      </c>
      <c r="U16" s="126"/>
      <c r="V16" s="208">
        <f t="shared" si="22"/>
        <v>0</v>
      </c>
      <c r="W16" s="128"/>
      <c r="X16" s="128"/>
    </row>
    <row r="17" spans="1:26" x14ac:dyDescent="0.2">
      <c r="A17" s="15" t="s">
        <v>13</v>
      </c>
      <c r="B17" s="15" t="s">
        <v>382</v>
      </c>
      <c r="C17" s="242"/>
      <c r="D17" s="242"/>
      <c r="E17" s="242"/>
      <c r="F17" s="242"/>
      <c r="G17" s="100"/>
      <c r="H17" s="330"/>
      <c r="I17" s="330"/>
      <c r="J17" s="330"/>
      <c r="K17" s="100"/>
      <c r="L17" s="143">
        <f t="shared" si="23"/>
        <v>0</v>
      </c>
      <c r="M17" s="143">
        <f t="shared" si="24"/>
        <v>0</v>
      </c>
      <c r="N17" s="143">
        <f t="shared" si="25"/>
        <v>0</v>
      </c>
      <c r="O17" s="126"/>
      <c r="P17" s="83">
        <f t="shared" si="26"/>
        <v>0</v>
      </c>
      <c r="Q17" s="83">
        <f t="shared" si="27"/>
        <v>0</v>
      </c>
      <c r="R17" s="83">
        <f t="shared" si="28"/>
        <v>0</v>
      </c>
      <c r="S17" s="83">
        <f t="shared" si="30"/>
        <v>0</v>
      </c>
      <c r="T17" s="89">
        <f t="shared" si="29"/>
        <v>0</v>
      </c>
      <c r="U17" s="126"/>
      <c r="V17" s="208">
        <f t="shared" si="22"/>
        <v>0</v>
      </c>
      <c r="W17" s="128"/>
      <c r="X17" s="128"/>
    </row>
    <row r="18" spans="1:26" x14ac:dyDescent="0.2">
      <c r="A18" s="15" t="s">
        <v>386</v>
      </c>
      <c r="B18" s="15" t="s">
        <v>6</v>
      </c>
      <c r="C18" s="328">
        <v>0</v>
      </c>
      <c r="D18" s="242">
        <v>0</v>
      </c>
      <c r="E18" s="242">
        <v>0</v>
      </c>
      <c r="F18" s="242"/>
      <c r="G18" s="100"/>
      <c r="H18" s="330">
        <v>0</v>
      </c>
      <c r="I18" s="330">
        <v>0</v>
      </c>
      <c r="J18" s="330"/>
      <c r="K18" s="100"/>
      <c r="L18" s="143">
        <f t="shared" si="23"/>
        <v>0</v>
      </c>
      <c r="M18" s="143">
        <f t="shared" si="24"/>
        <v>0</v>
      </c>
      <c r="N18" s="143">
        <f t="shared" si="25"/>
        <v>0</v>
      </c>
      <c r="O18" s="126"/>
      <c r="P18" s="83">
        <f t="shared" si="26"/>
        <v>0</v>
      </c>
      <c r="Q18" s="83">
        <f t="shared" si="27"/>
        <v>0</v>
      </c>
      <c r="R18" s="83">
        <f t="shared" si="28"/>
        <v>0</v>
      </c>
      <c r="S18" s="83">
        <f t="shared" si="30"/>
        <v>0</v>
      </c>
      <c r="T18" s="89">
        <f t="shared" si="29"/>
        <v>0</v>
      </c>
      <c r="U18" s="126"/>
      <c r="V18" s="208">
        <f t="shared" si="22"/>
        <v>0</v>
      </c>
      <c r="W18" s="128"/>
      <c r="X18" s="128"/>
    </row>
    <row r="19" spans="1:26" x14ac:dyDescent="0.2">
      <c r="A19" s="15" t="s">
        <v>14</v>
      </c>
      <c r="B19" s="15" t="s">
        <v>7</v>
      </c>
      <c r="C19" s="561">
        <v>535000</v>
      </c>
      <c r="D19" s="561">
        <v>535000</v>
      </c>
      <c r="E19" s="561">
        <v>535000</v>
      </c>
      <c r="F19" s="242">
        <v>890000</v>
      </c>
      <c r="G19" s="100"/>
      <c r="H19" s="330">
        <v>210000</v>
      </c>
      <c r="I19" s="330">
        <v>470000</v>
      </c>
      <c r="J19" s="330">
        <v>890000</v>
      </c>
      <c r="K19" s="100"/>
      <c r="L19" s="143">
        <f t="shared" si="23"/>
        <v>0.3925233644859813</v>
      </c>
      <c r="M19" s="143">
        <f t="shared" si="24"/>
        <v>0.87850467289719625</v>
      </c>
      <c r="N19" s="143">
        <f t="shared" si="25"/>
        <v>1.6635514018691588</v>
      </c>
      <c r="O19" s="126"/>
      <c r="P19" s="83">
        <f t="shared" si="26"/>
        <v>0</v>
      </c>
      <c r="Q19" s="83">
        <f t="shared" si="27"/>
        <v>0</v>
      </c>
      <c r="R19" s="83">
        <f t="shared" si="28"/>
        <v>355000</v>
      </c>
      <c r="S19" s="83">
        <f t="shared" si="30"/>
        <v>355000</v>
      </c>
      <c r="T19" s="89">
        <f t="shared" si="29"/>
        <v>0.66355140186915884</v>
      </c>
      <c r="U19" s="126"/>
      <c r="V19" s="208">
        <f t="shared" si="22"/>
        <v>355000</v>
      </c>
      <c r="W19" s="128"/>
      <c r="X19" s="128"/>
    </row>
    <row r="20" spans="1:26" x14ac:dyDescent="0.2">
      <c r="A20" s="15" t="s">
        <v>15</v>
      </c>
      <c r="B20" s="15" t="s">
        <v>8</v>
      </c>
      <c r="C20" s="561"/>
      <c r="D20" s="561"/>
      <c r="E20" s="561"/>
      <c r="F20" s="242"/>
      <c r="G20" s="100"/>
      <c r="H20" s="330"/>
      <c r="I20" s="330"/>
      <c r="J20" s="330"/>
      <c r="K20" s="100"/>
      <c r="L20" s="143">
        <f t="shared" si="23"/>
        <v>0</v>
      </c>
      <c r="M20" s="143">
        <f t="shared" si="24"/>
        <v>0</v>
      </c>
      <c r="N20" s="143">
        <f t="shared" si="25"/>
        <v>0</v>
      </c>
      <c r="O20" s="126"/>
      <c r="P20" s="83">
        <f t="shared" si="26"/>
        <v>0</v>
      </c>
      <c r="Q20" s="83">
        <f t="shared" si="27"/>
        <v>0</v>
      </c>
      <c r="R20" s="83">
        <f t="shared" si="28"/>
        <v>0</v>
      </c>
      <c r="S20" s="83">
        <f t="shared" si="30"/>
        <v>0</v>
      </c>
      <c r="T20" s="89">
        <f t="shared" si="29"/>
        <v>0</v>
      </c>
      <c r="U20" s="126"/>
      <c r="V20" s="208">
        <f t="shared" si="22"/>
        <v>0</v>
      </c>
      <c r="W20" s="128"/>
      <c r="X20" s="128"/>
    </row>
    <row r="21" spans="1:26" x14ac:dyDescent="0.2">
      <c r="A21" s="15" t="s">
        <v>16</v>
      </c>
      <c r="B21" s="15" t="s">
        <v>9</v>
      </c>
      <c r="C21" s="561">
        <v>148000</v>
      </c>
      <c r="D21" s="561">
        <v>148000</v>
      </c>
      <c r="E21" s="561">
        <v>248856</v>
      </c>
      <c r="F21" s="242">
        <v>248856</v>
      </c>
      <c r="G21" s="100"/>
      <c r="H21" s="330">
        <v>122700</v>
      </c>
      <c r="I21" s="330">
        <v>194634</v>
      </c>
      <c r="J21" s="330">
        <v>235792</v>
      </c>
      <c r="K21" s="100"/>
      <c r="L21" s="143">
        <f t="shared" si="23"/>
        <v>0.82905405405405408</v>
      </c>
      <c r="M21" s="143">
        <f t="shared" si="24"/>
        <v>1.3150945945945947</v>
      </c>
      <c r="N21" s="143">
        <f t="shared" si="25"/>
        <v>0.94750377728485546</v>
      </c>
      <c r="O21" s="126"/>
      <c r="P21" s="83">
        <f t="shared" si="26"/>
        <v>0</v>
      </c>
      <c r="Q21" s="83">
        <f t="shared" si="27"/>
        <v>100856</v>
      </c>
      <c r="R21" s="83">
        <f t="shared" si="28"/>
        <v>0</v>
      </c>
      <c r="S21" s="83">
        <f t="shared" si="30"/>
        <v>100856</v>
      </c>
      <c r="T21" s="89">
        <f t="shared" si="29"/>
        <v>0.6814594594594594</v>
      </c>
      <c r="U21" s="126"/>
      <c r="V21" s="208">
        <f t="shared" si="22"/>
        <v>0</v>
      </c>
      <c r="W21" s="128"/>
      <c r="X21" s="128"/>
    </row>
    <row r="22" spans="1:26" x14ac:dyDescent="0.2">
      <c r="A22" s="15" t="s">
        <v>17</v>
      </c>
      <c r="B22" s="15" t="s">
        <v>10</v>
      </c>
      <c r="C22" s="561">
        <v>0</v>
      </c>
      <c r="D22" s="561">
        <v>0</v>
      </c>
      <c r="E22" s="561">
        <v>0</v>
      </c>
      <c r="F22" s="242"/>
      <c r="G22" s="100"/>
      <c r="H22" s="330"/>
      <c r="I22" s="330">
        <v>0</v>
      </c>
      <c r="J22" s="330"/>
      <c r="K22" s="100"/>
      <c r="L22" s="143">
        <f t="shared" si="23"/>
        <v>0</v>
      </c>
      <c r="M22" s="143">
        <f t="shared" si="24"/>
        <v>0</v>
      </c>
      <c r="N22" s="143">
        <f t="shared" si="25"/>
        <v>0</v>
      </c>
      <c r="O22" s="126"/>
      <c r="P22" s="83">
        <f t="shared" si="26"/>
        <v>0</v>
      </c>
      <c r="Q22" s="83">
        <f t="shared" si="27"/>
        <v>0</v>
      </c>
      <c r="R22" s="83">
        <f t="shared" si="28"/>
        <v>0</v>
      </c>
      <c r="S22" s="83">
        <f t="shared" si="30"/>
        <v>0</v>
      </c>
      <c r="T22" s="89">
        <f t="shared" si="29"/>
        <v>0</v>
      </c>
      <c r="U22" s="126"/>
      <c r="V22" s="208">
        <f t="shared" si="22"/>
        <v>0</v>
      </c>
      <c r="W22" s="128"/>
      <c r="X22" s="128"/>
    </row>
    <row r="23" spans="1:26" x14ac:dyDescent="0.2">
      <c r="A23" s="15" t="s">
        <v>18</v>
      </c>
      <c r="B23" s="15" t="s">
        <v>11</v>
      </c>
      <c r="C23" s="561">
        <v>677000</v>
      </c>
      <c r="D23" s="561">
        <v>677000</v>
      </c>
      <c r="E23" s="561">
        <v>827000</v>
      </c>
      <c r="F23" s="242">
        <v>1084549</v>
      </c>
      <c r="G23" s="100"/>
      <c r="H23" s="330">
        <v>506722</v>
      </c>
      <c r="I23" s="330">
        <v>737488</v>
      </c>
      <c r="J23" s="330">
        <v>1083915</v>
      </c>
      <c r="K23" s="100"/>
      <c r="L23" s="143">
        <f t="shared" si="23"/>
        <v>0.74848153618906943</v>
      </c>
      <c r="M23" s="143">
        <f t="shared" si="24"/>
        <v>1.0893471196454949</v>
      </c>
      <c r="N23" s="143">
        <f t="shared" si="25"/>
        <v>1.3106590084643288</v>
      </c>
      <c r="O23" s="126"/>
      <c r="P23" s="83">
        <f t="shared" si="26"/>
        <v>0</v>
      </c>
      <c r="Q23" s="83">
        <f t="shared" si="27"/>
        <v>150000</v>
      </c>
      <c r="R23" s="83">
        <f t="shared" si="28"/>
        <v>257549</v>
      </c>
      <c r="S23" s="83">
        <f t="shared" si="30"/>
        <v>407549</v>
      </c>
      <c r="T23" s="89">
        <f t="shared" si="29"/>
        <v>0.6019926144756278</v>
      </c>
      <c r="U23" s="126"/>
      <c r="V23" s="208">
        <f t="shared" si="22"/>
        <v>257549</v>
      </c>
      <c r="W23" s="128"/>
      <c r="X23" s="128"/>
    </row>
    <row r="24" spans="1:26" x14ac:dyDescent="0.2">
      <c r="A24" s="15" t="s">
        <v>19</v>
      </c>
      <c r="B24" s="15"/>
      <c r="C24" s="561"/>
      <c r="D24" s="561"/>
      <c r="E24" s="561"/>
      <c r="F24" s="242"/>
      <c r="G24" s="100"/>
      <c r="H24" s="330"/>
      <c r="I24" s="330"/>
      <c r="J24" s="330"/>
      <c r="K24" s="100"/>
      <c r="L24" s="143"/>
      <c r="M24" s="143"/>
      <c r="N24" s="143"/>
      <c r="O24" s="126"/>
      <c r="P24" s="83"/>
      <c r="Q24" s="83"/>
      <c r="R24" s="83"/>
      <c r="S24" s="83"/>
      <c r="T24" s="89"/>
      <c r="U24" s="126"/>
      <c r="V24" s="208">
        <f t="shared" si="22"/>
        <v>0</v>
      </c>
      <c r="W24" s="128"/>
      <c r="X24" s="128"/>
    </row>
    <row r="25" spans="1:26" x14ac:dyDescent="0.2">
      <c r="A25" s="15" t="s">
        <v>20</v>
      </c>
      <c r="B25" s="15" t="s">
        <v>21</v>
      </c>
      <c r="C25" s="561"/>
      <c r="D25" s="561"/>
      <c r="E25" s="561"/>
      <c r="F25" s="242"/>
      <c r="G25" s="100"/>
      <c r="H25" s="330"/>
      <c r="I25" s="330"/>
      <c r="J25" s="330"/>
      <c r="K25" s="100"/>
      <c r="L25" s="143">
        <f t="shared" ref="L25:M27" si="31">IF(H25&gt;0,H25/C25,0)</f>
        <v>0</v>
      </c>
      <c r="M25" s="143">
        <f t="shared" si="31"/>
        <v>0</v>
      </c>
      <c r="N25" s="143">
        <f>IF(J25&gt;0,J25/F25,0)</f>
        <v>0</v>
      </c>
      <c r="O25" s="126"/>
      <c r="P25" s="83">
        <f t="shared" ref="P25:R27" si="32">+(D25-C25)*P$10</f>
        <v>0</v>
      </c>
      <c r="Q25" s="83">
        <f t="shared" si="32"/>
        <v>0</v>
      </c>
      <c r="R25" s="83">
        <f t="shared" si="32"/>
        <v>0</v>
      </c>
      <c r="S25" s="83">
        <f t="shared" si="30"/>
        <v>0</v>
      </c>
      <c r="T25" s="89">
        <f>IF(C25=0,0,+S25/C25)</f>
        <v>0</v>
      </c>
      <c r="U25" s="126"/>
      <c r="V25" s="208">
        <f t="shared" si="22"/>
        <v>0</v>
      </c>
      <c r="W25" s="128"/>
      <c r="X25" s="128"/>
    </row>
    <row r="26" spans="1:26" x14ac:dyDescent="0.2">
      <c r="A26" s="15" t="s">
        <v>22</v>
      </c>
      <c r="B26" s="15" t="s">
        <v>23</v>
      </c>
      <c r="C26" s="561">
        <v>0</v>
      </c>
      <c r="D26" s="561">
        <v>0</v>
      </c>
      <c r="E26" s="561">
        <v>0</v>
      </c>
      <c r="F26" s="242">
        <v>0</v>
      </c>
      <c r="G26" s="100"/>
      <c r="H26" s="330">
        <v>0</v>
      </c>
      <c r="I26" s="330">
        <v>0</v>
      </c>
      <c r="J26" s="330">
        <v>0</v>
      </c>
      <c r="K26" s="100"/>
      <c r="L26" s="143">
        <f t="shared" si="31"/>
        <v>0</v>
      </c>
      <c r="M26" s="143">
        <f t="shared" si="31"/>
        <v>0</v>
      </c>
      <c r="N26" s="143">
        <f>IF(J26&gt;0,J26/F26,0)</f>
        <v>0</v>
      </c>
      <c r="O26" s="126"/>
      <c r="P26" s="83">
        <f t="shared" si="32"/>
        <v>0</v>
      </c>
      <c r="Q26" s="83">
        <f t="shared" si="32"/>
        <v>0</v>
      </c>
      <c r="R26" s="83">
        <f t="shared" si="32"/>
        <v>0</v>
      </c>
      <c r="S26" s="83">
        <f t="shared" si="30"/>
        <v>0</v>
      </c>
      <c r="T26" s="89">
        <f>IF(C26=0,0,+S26/C26)</f>
        <v>0</v>
      </c>
      <c r="U26" s="126"/>
      <c r="V26" s="208">
        <f t="shared" si="22"/>
        <v>0</v>
      </c>
      <c r="W26" s="128"/>
      <c r="X26" s="128"/>
    </row>
    <row r="27" spans="1:26" x14ac:dyDescent="0.2">
      <c r="A27" s="15" t="s">
        <v>24</v>
      </c>
      <c r="B27" s="15" t="s">
        <v>25</v>
      </c>
      <c r="C27" s="328">
        <v>0</v>
      </c>
      <c r="D27" s="242">
        <v>0</v>
      </c>
      <c r="E27" s="242">
        <v>0</v>
      </c>
      <c r="F27" s="242">
        <v>0</v>
      </c>
      <c r="G27" s="100"/>
      <c r="H27" s="330">
        <v>0</v>
      </c>
      <c r="I27" s="330">
        <v>0</v>
      </c>
      <c r="J27" s="330">
        <v>0</v>
      </c>
      <c r="K27" s="100"/>
      <c r="L27" s="143">
        <f t="shared" si="31"/>
        <v>0</v>
      </c>
      <c r="M27" s="143">
        <f t="shared" si="31"/>
        <v>0</v>
      </c>
      <c r="N27" s="143">
        <f>IF(J27&gt;0,J27/F27,0)</f>
        <v>0</v>
      </c>
      <c r="O27" s="126"/>
      <c r="P27" s="83">
        <f t="shared" si="32"/>
        <v>0</v>
      </c>
      <c r="Q27" s="83">
        <f t="shared" si="32"/>
        <v>0</v>
      </c>
      <c r="R27" s="83">
        <f t="shared" si="32"/>
        <v>0</v>
      </c>
      <c r="S27" s="83">
        <f t="shared" si="30"/>
        <v>0</v>
      </c>
      <c r="T27" s="89">
        <f>IF(C27=0,0,+S27/C27)</f>
        <v>0</v>
      </c>
      <c r="U27" s="126"/>
      <c r="V27" s="208">
        <f t="shared" si="22"/>
        <v>0</v>
      </c>
      <c r="W27" s="128"/>
      <c r="X27" s="128"/>
    </row>
    <row r="28" spans="1:26" x14ac:dyDescent="0.2">
      <c r="A28" s="20"/>
      <c r="B28" s="14"/>
      <c r="C28" s="328"/>
      <c r="D28" s="242"/>
      <c r="E28" s="242"/>
      <c r="F28" s="242"/>
      <c r="G28" s="100"/>
      <c r="H28" s="330"/>
      <c r="I28" s="330"/>
      <c r="J28" s="330"/>
      <c r="K28" s="100"/>
      <c r="L28" s="142"/>
      <c r="M28" s="142"/>
      <c r="N28" s="142"/>
      <c r="O28" s="125"/>
      <c r="P28" s="83"/>
      <c r="Q28" s="83"/>
      <c r="R28" s="83"/>
      <c r="S28" s="83"/>
      <c r="T28" s="89"/>
      <c r="U28" s="125"/>
      <c r="V28" s="208">
        <f t="shared" si="22"/>
        <v>0</v>
      </c>
      <c r="W28" s="128"/>
      <c r="X28" s="128"/>
    </row>
    <row r="29" spans="1:26" x14ac:dyDescent="0.2">
      <c r="A29" s="3" t="s">
        <v>26</v>
      </c>
      <c r="B29" s="3" t="s">
        <v>27</v>
      </c>
      <c r="C29" s="95">
        <f>SUM(C30:C31)</f>
        <v>4780000</v>
      </c>
      <c r="D29" s="95">
        <f t="shared" ref="D29:F29" si="33">SUM(D30:D31)</f>
        <v>4780000</v>
      </c>
      <c r="E29" s="95">
        <f t="shared" si="33"/>
        <v>4780000</v>
      </c>
      <c r="F29" s="95">
        <f t="shared" si="33"/>
        <v>4883000</v>
      </c>
      <c r="G29" s="96"/>
      <c r="H29" s="95">
        <f t="shared" ref="H29" si="34">SUM(H30:H31)</f>
        <v>2484606</v>
      </c>
      <c r="I29" s="95">
        <f t="shared" ref="I29" si="35">SUM(I30:I31)</f>
        <v>3809209</v>
      </c>
      <c r="J29" s="95">
        <f t="shared" ref="J29" si="36">SUM(J30:J31)</f>
        <v>4882493</v>
      </c>
      <c r="K29" s="96"/>
      <c r="L29" s="89">
        <f t="shared" ref="L29:N30" si="37">IF(H29&gt;0,H29/C29,0)</f>
        <v>0.51979205020920505</v>
      </c>
      <c r="M29" s="89">
        <f t="shared" si="37"/>
        <v>0.79690564853556489</v>
      </c>
      <c r="N29" s="89">
        <f t="shared" si="37"/>
        <v>1.021442050209205</v>
      </c>
      <c r="O29" s="124"/>
      <c r="P29" s="96">
        <f t="shared" ref="P29:R30" si="38">+(D29-C29)*P$10</f>
        <v>0</v>
      </c>
      <c r="Q29" s="96">
        <f t="shared" si="38"/>
        <v>0</v>
      </c>
      <c r="R29" s="96">
        <f t="shared" si="38"/>
        <v>103000</v>
      </c>
      <c r="S29" s="96">
        <f t="shared" si="30"/>
        <v>103000</v>
      </c>
      <c r="T29" s="215">
        <f>IF(C29=0,0,+S29/C29)</f>
        <v>2.1548117154811714E-2</v>
      </c>
      <c r="U29" s="124"/>
      <c r="V29" s="208">
        <f t="shared" si="22"/>
        <v>103000</v>
      </c>
      <c r="W29" s="128"/>
      <c r="X29" s="128"/>
      <c r="Y29" s="2"/>
      <c r="Z29" s="2"/>
    </row>
    <row r="30" spans="1:26" x14ac:dyDescent="0.2">
      <c r="A30" s="20"/>
      <c r="B30" s="20" t="s">
        <v>28</v>
      </c>
      <c r="C30" s="295">
        <v>4780000</v>
      </c>
      <c r="D30" s="295">
        <v>4780000</v>
      </c>
      <c r="E30" s="295">
        <v>4780000</v>
      </c>
      <c r="F30" s="295">
        <v>4883000</v>
      </c>
      <c r="G30" s="327"/>
      <c r="H30" s="327">
        <v>2484606</v>
      </c>
      <c r="I30" s="327">
        <v>3809209</v>
      </c>
      <c r="J30" s="327">
        <v>4882493</v>
      </c>
      <c r="K30" s="100"/>
      <c r="L30" s="143">
        <f t="shared" si="37"/>
        <v>0.51979205020920505</v>
      </c>
      <c r="M30" s="143">
        <f t="shared" si="37"/>
        <v>0.79690564853556489</v>
      </c>
      <c r="N30" s="143">
        <f t="shared" si="37"/>
        <v>1.021442050209205</v>
      </c>
      <c r="O30" s="126"/>
      <c r="P30" s="83">
        <f t="shared" si="38"/>
        <v>0</v>
      </c>
      <c r="Q30" s="83">
        <f t="shared" si="38"/>
        <v>0</v>
      </c>
      <c r="R30" s="83">
        <f t="shared" si="38"/>
        <v>103000</v>
      </c>
      <c r="S30" s="83">
        <f t="shared" si="30"/>
        <v>103000</v>
      </c>
      <c r="T30" s="89">
        <f>IF(C30=0,0,+S30/C30)</f>
        <v>2.1548117154811714E-2</v>
      </c>
      <c r="U30" s="126"/>
      <c r="V30" s="208">
        <f t="shared" si="22"/>
        <v>103000</v>
      </c>
      <c r="W30" s="128"/>
      <c r="X30" s="128"/>
      <c r="Y30" s="59"/>
    </row>
    <row r="31" spans="1:26" x14ac:dyDescent="0.2">
      <c r="A31" s="20"/>
      <c r="B31" s="14"/>
      <c r="C31" s="70"/>
      <c r="D31" s="99"/>
      <c r="E31" s="99"/>
      <c r="F31" s="99"/>
      <c r="G31" s="100"/>
      <c r="H31" s="100"/>
      <c r="I31" s="100"/>
      <c r="J31" s="100"/>
      <c r="K31" s="100"/>
      <c r="L31" s="142"/>
      <c r="M31" s="142"/>
      <c r="N31" s="142"/>
      <c r="O31" s="125"/>
      <c r="P31" s="83"/>
      <c r="Q31" s="83"/>
      <c r="R31" s="83"/>
      <c r="S31" s="83"/>
      <c r="T31" s="89"/>
      <c r="U31" s="125"/>
      <c r="V31" s="208">
        <f t="shared" si="22"/>
        <v>0</v>
      </c>
      <c r="W31" s="128"/>
      <c r="X31" s="128"/>
    </row>
    <row r="32" spans="1:26" x14ac:dyDescent="0.2">
      <c r="A32" s="3" t="s">
        <v>29</v>
      </c>
      <c r="B32" s="3" t="s">
        <v>30</v>
      </c>
      <c r="C32" s="95">
        <f>+C33+C41+C48+C66+C71</f>
        <v>10571000</v>
      </c>
      <c r="D32" s="95">
        <f>+D33+D41+D48+D66+D71</f>
        <v>10980000</v>
      </c>
      <c r="E32" s="95">
        <f>+E33+E41+E48+E66+E71</f>
        <v>10980000</v>
      </c>
      <c r="F32" s="95">
        <f>+F33+F41+F48+F66+F71</f>
        <v>11046000</v>
      </c>
      <c r="G32" s="95"/>
      <c r="H32" s="95">
        <f>+H33+H41+H48+H66+H71</f>
        <v>5462412</v>
      </c>
      <c r="I32" s="95">
        <f>+I33+I41+I48+I66+I71</f>
        <v>7467727</v>
      </c>
      <c r="J32" s="95">
        <f>+J33+J41+J48+J66+J71</f>
        <v>10065251</v>
      </c>
      <c r="K32" s="95"/>
      <c r="L32" s="89">
        <f t="shared" ref="L32:L63" si="39">IF(H32&gt;0,H32/C32,0)</f>
        <v>0.51673559738908337</v>
      </c>
      <c r="M32" s="89">
        <f t="shared" ref="M32:M63" si="40">IF(I32&gt;0,I32/D32,0)</f>
        <v>0.68012085610200368</v>
      </c>
      <c r="N32" s="89">
        <f t="shared" ref="N32:N63" si="41">IF(J32&gt;0,J32/E32,0)</f>
        <v>0.91668952641165757</v>
      </c>
      <c r="O32" s="32"/>
      <c r="P32" s="95">
        <f t="shared" ref="P32:P63" si="42">+(D32-C32)*P$10</f>
        <v>409000</v>
      </c>
      <c r="Q32" s="95">
        <f t="shared" ref="Q32:Q63" si="43">+(E32-D32)*Q$10</f>
        <v>0</v>
      </c>
      <c r="R32" s="95">
        <f>+(F32-E32)*R$10</f>
        <v>66000</v>
      </c>
      <c r="S32" s="95">
        <f t="shared" si="30"/>
        <v>475000</v>
      </c>
      <c r="T32" s="214">
        <f t="shared" ref="T32:T63" si="44">IF(C32=0,0,+S32/C32)</f>
        <v>4.4934254091382082E-2</v>
      </c>
      <c r="U32" s="124"/>
      <c r="V32" s="208">
        <f t="shared" si="22"/>
        <v>66000</v>
      </c>
      <c r="W32" s="128"/>
      <c r="X32" s="128"/>
    </row>
    <row r="33" spans="1:25" s="43" customFormat="1" x14ac:dyDescent="0.2">
      <c r="A33" s="40" t="s">
        <v>31</v>
      </c>
      <c r="B33" s="40" t="s">
        <v>32</v>
      </c>
      <c r="C33" s="101">
        <f t="shared" ref="C33:F33" si="45">SUM(C34:C40)</f>
        <v>287000</v>
      </c>
      <c r="D33" s="101">
        <f t="shared" si="45"/>
        <v>358000</v>
      </c>
      <c r="E33" s="101">
        <f t="shared" si="45"/>
        <v>358000</v>
      </c>
      <c r="F33" s="101">
        <f t="shared" si="45"/>
        <v>438000</v>
      </c>
      <c r="G33" s="101"/>
      <c r="H33" s="101">
        <f>SUM(H34:H40)</f>
        <v>202094</v>
      </c>
      <c r="I33" s="101">
        <f t="shared" ref="I33:J33" si="46">SUM(I34:I40)</f>
        <v>253177</v>
      </c>
      <c r="J33" s="101">
        <f t="shared" si="46"/>
        <v>391613</v>
      </c>
      <c r="K33" s="101"/>
      <c r="L33" s="144">
        <f t="shared" si="39"/>
        <v>0.70416027874564457</v>
      </c>
      <c r="M33" s="144">
        <f t="shared" si="40"/>
        <v>0.70719832402234639</v>
      </c>
      <c r="N33" s="144">
        <f t="shared" si="41"/>
        <v>1.0938910614525139</v>
      </c>
      <c r="O33" s="41"/>
      <c r="P33" s="83">
        <f t="shared" si="42"/>
        <v>71000</v>
      </c>
      <c r="Q33" s="83">
        <f t="shared" si="43"/>
        <v>0</v>
      </c>
      <c r="R33" s="83">
        <f t="shared" ref="R33:R63" si="47">+(F33-E33)*R$10</f>
        <v>80000</v>
      </c>
      <c r="S33" s="83">
        <f t="shared" ref="S33:S89" si="48">SUM(P33:R33)</f>
        <v>151000</v>
      </c>
      <c r="T33" s="89">
        <f t="shared" si="44"/>
        <v>0.52613240418118468</v>
      </c>
      <c r="U33" s="127"/>
      <c r="V33" s="208">
        <f t="shared" si="22"/>
        <v>80000</v>
      </c>
      <c r="W33" s="135"/>
      <c r="X33" s="135"/>
    </row>
    <row r="34" spans="1:25" x14ac:dyDescent="0.2">
      <c r="A34" s="20" t="s">
        <v>33</v>
      </c>
      <c r="B34" s="20" t="s">
        <v>35</v>
      </c>
      <c r="C34" s="150">
        <v>0</v>
      </c>
      <c r="D34" s="150">
        <v>71000</v>
      </c>
      <c r="E34" s="150">
        <v>71000</v>
      </c>
      <c r="F34" s="70">
        <v>71000</v>
      </c>
      <c r="G34" s="102"/>
      <c r="H34" s="102">
        <v>49172</v>
      </c>
      <c r="I34" s="102">
        <v>49172</v>
      </c>
      <c r="J34" s="102">
        <v>50255</v>
      </c>
      <c r="K34" s="102"/>
      <c r="L34" s="143" t="e">
        <f t="shared" si="39"/>
        <v>#DIV/0!</v>
      </c>
      <c r="M34" s="143">
        <f t="shared" si="40"/>
        <v>0.69256338028169018</v>
      </c>
      <c r="N34" s="143">
        <f t="shared" si="41"/>
        <v>0.70781690140845066</v>
      </c>
      <c r="O34" s="126"/>
      <c r="P34" s="83">
        <f t="shared" si="42"/>
        <v>71000</v>
      </c>
      <c r="Q34" s="83">
        <f t="shared" si="43"/>
        <v>0</v>
      </c>
      <c r="R34" s="83">
        <f t="shared" si="47"/>
        <v>0</v>
      </c>
      <c r="S34" s="83">
        <f t="shared" si="48"/>
        <v>71000</v>
      </c>
      <c r="T34" s="89">
        <f t="shared" si="44"/>
        <v>0</v>
      </c>
      <c r="U34" s="126"/>
      <c r="V34" s="208">
        <f t="shared" si="22"/>
        <v>0</v>
      </c>
      <c r="W34" s="128"/>
      <c r="X34" s="128"/>
    </row>
    <row r="35" spans="1:25" x14ac:dyDescent="0.2">
      <c r="A35" s="20"/>
      <c r="B35" s="20" t="s">
        <v>89</v>
      </c>
      <c r="C35" s="150"/>
      <c r="D35" s="150"/>
      <c r="E35" s="150"/>
      <c r="F35" s="70"/>
      <c r="G35" s="102"/>
      <c r="H35" s="102"/>
      <c r="I35" s="102"/>
      <c r="J35" s="102"/>
      <c r="K35" s="102"/>
      <c r="L35" s="142">
        <f t="shared" si="39"/>
        <v>0</v>
      </c>
      <c r="M35" s="142">
        <f t="shared" si="40"/>
        <v>0</v>
      </c>
      <c r="N35" s="142">
        <f t="shared" si="41"/>
        <v>0</v>
      </c>
      <c r="O35" s="125"/>
      <c r="P35" s="83">
        <f t="shared" si="42"/>
        <v>0</v>
      </c>
      <c r="Q35" s="83">
        <f t="shared" si="43"/>
        <v>0</v>
      </c>
      <c r="R35" s="83">
        <f t="shared" si="47"/>
        <v>0</v>
      </c>
      <c r="S35" s="83">
        <f t="shared" si="48"/>
        <v>0</v>
      </c>
      <c r="T35" s="89">
        <f t="shared" si="44"/>
        <v>0</v>
      </c>
      <c r="U35" s="125"/>
      <c r="V35" s="208">
        <f t="shared" si="22"/>
        <v>0</v>
      </c>
      <c r="W35" s="128"/>
      <c r="X35" s="128"/>
    </row>
    <row r="36" spans="1:25" x14ac:dyDescent="0.2">
      <c r="A36" s="20" t="s">
        <v>34</v>
      </c>
      <c r="B36" s="20" t="s">
        <v>36</v>
      </c>
      <c r="C36" s="150">
        <v>287000</v>
      </c>
      <c r="D36" s="150">
        <v>287000</v>
      </c>
      <c r="E36" s="150">
        <v>287000</v>
      </c>
      <c r="F36" s="70">
        <v>367000</v>
      </c>
      <c r="G36" s="102"/>
      <c r="H36" s="102">
        <v>152922</v>
      </c>
      <c r="I36" s="102">
        <v>204005</v>
      </c>
      <c r="J36" s="102">
        <v>341358</v>
      </c>
      <c r="K36" s="102"/>
      <c r="L36" s="143">
        <f t="shared" si="39"/>
        <v>0.53282926829268296</v>
      </c>
      <c r="M36" s="143">
        <f t="shared" si="40"/>
        <v>0.71081881533101043</v>
      </c>
      <c r="N36" s="143">
        <f t="shared" si="41"/>
        <v>1.1894006968641115</v>
      </c>
      <c r="O36" s="126"/>
      <c r="P36" s="83">
        <f t="shared" si="42"/>
        <v>0</v>
      </c>
      <c r="Q36" s="83">
        <f t="shared" si="43"/>
        <v>0</v>
      </c>
      <c r="R36" s="83">
        <f t="shared" si="47"/>
        <v>80000</v>
      </c>
      <c r="S36" s="83">
        <f t="shared" si="48"/>
        <v>80000</v>
      </c>
      <c r="T36" s="89">
        <f t="shared" si="44"/>
        <v>0.27874564459930312</v>
      </c>
      <c r="U36" s="126"/>
      <c r="V36" s="208">
        <f t="shared" si="22"/>
        <v>80000</v>
      </c>
      <c r="W36" s="128"/>
      <c r="X36" s="128"/>
    </row>
    <row r="37" spans="1:25" x14ac:dyDescent="0.2">
      <c r="A37" s="20"/>
      <c r="B37" s="20" t="s">
        <v>96</v>
      </c>
      <c r="C37" s="150"/>
      <c r="D37" s="150"/>
      <c r="E37" s="150"/>
      <c r="F37" s="70"/>
      <c r="G37" s="102"/>
      <c r="H37" s="102"/>
      <c r="I37" s="102"/>
      <c r="J37" s="102"/>
      <c r="K37" s="102"/>
      <c r="L37" s="142">
        <f t="shared" si="39"/>
        <v>0</v>
      </c>
      <c r="M37" s="142">
        <f t="shared" si="40"/>
        <v>0</v>
      </c>
      <c r="N37" s="142">
        <f t="shared" si="41"/>
        <v>0</v>
      </c>
      <c r="O37" s="125"/>
      <c r="P37" s="83">
        <f t="shared" si="42"/>
        <v>0</v>
      </c>
      <c r="Q37" s="83">
        <f t="shared" si="43"/>
        <v>0</v>
      </c>
      <c r="R37" s="83">
        <f t="shared" si="47"/>
        <v>0</v>
      </c>
      <c r="S37" s="83">
        <f t="shared" si="48"/>
        <v>0</v>
      </c>
      <c r="T37" s="89">
        <f t="shared" si="44"/>
        <v>0</v>
      </c>
      <c r="U37" s="125"/>
      <c r="V37" s="208">
        <f t="shared" si="22"/>
        <v>0</v>
      </c>
      <c r="W37" s="128"/>
      <c r="X37" s="128"/>
    </row>
    <row r="38" spans="1:25" x14ac:dyDescent="0.2">
      <c r="A38" s="20"/>
      <c r="B38" s="20" t="s">
        <v>95</v>
      </c>
      <c r="C38" s="150"/>
      <c r="D38" s="150"/>
      <c r="E38" s="150"/>
      <c r="F38" s="70"/>
      <c r="G38" s="102"/>
      <c r="H38" s="102"/>
      <c r="I38" s="102"/>
      <c r="J38" s="102"/>
      <c r="K38" s="102"/>
      <c r="L38" s="142">
        <f t="shared" si="39"/>
        <v>0</v>
      </c>
      <c r="M38" s="142">
        <f t="shared" si="40"/>
        <v>0</v>
      </c>
      <c r="N38" s="142">
        <f t="shared" si="41"/>
        <v>0</v>
      </c>
      <c r="O38" s="125"/>
      <c r="P38" s="83">
        <f t="shared" si="42"/>
        <v>0</v>
      </c>
      <c r="Q38" s="83">
        <f t="shared" si="43"/>
        <v>0</v>
      </c>
      <c r="R38" s="83">
        <f t="shared" si="47"/>
        <v>0</v>
      </c>
      <c r="S38" s="83">
        <f t="shared" si="48"/>
        <v>0</v>
      </c>
      <c r="T38" s="89">
        <f t="shared" si="44"/>
        <v>0</v>
      </c>
      <c r="U38" s="125"/>
      <c r="V38" s="208">
        <f t="shared" si="22"/>
        <v>0</v>
      </c>
      <c r="W38" s="128"/>
      <c r="X38" s="128"/>
    </row>
    <row r="39" spans="1:25" x14ac:dyDescent="0.2">
      <c r="A39" s="20"/>
      <c r="B39" s="20" t="s">
        <v>94</v>
      </c>
      <c r="C39" s="150"/>
      <c r="D39" s="150"/>
      <c r="E39" s="150"/>
      <c r="F39" s="70"/>
      <c r="G39" s="102"/>
      <c r="H39" s="102"/>
      <c r="I39" s="102"/>
      <c r="J39" s="102"/>
      <c r="K39" s="102"/>
      <c r="L39" s="142">
        <f t="shared" si="39"/>
        <v>0</v>
      </c>
      <c r="M39" s="142">
        <f t="shared" si="40"/>
        <v>0</v>
      </c>
      <c r="N39" s="142">
        <f t="shared" si="41"/>
        <v>0</v>
      </c>
      <c r="O39" s="125"/>
      <c r="P39" s="83">
        <f t="shared" si="42"/>
        <v>0</v>
      </c>
      <c r="Q39" s="83">
        <f t="shared" si="43"/>
        <v>0</v>
      </c>
      <c r="R39" s="83">
        <f t="shared" si="47"/>
        <v>0</v>
      </c>
      <c r="S39" s="83">
        <f t="shared" si="48"/>
        <v>0</v>
      </c>
      <c r="T39" s="89">
        <f t="shared" si="44"/>
        <v>0</v>
      </c>
      <c r="U39" s="125"/>
      <c r="V39" s="208">
        <f t="shared" si="22"/>
        <v>0</v>
      </c>
      <c r="W39" s="128"/>
      <c r="X39" s="128"/>
    </row>
    <row r="40" spans="1:25" x14ac:dyDescent="0.2">
      <c r="A40" s="20"/>
      <c r="B40" s="20" t="s">
        <v>93</v>
      </c>
      <c r="C40" s="150">
        <v>0</v>
      </c>
      <c r="D40" s="150">
        <v>0</v>
      </c>
      <c r="E40" s="150">
        <v>0</v>
      </c>
      <c r="F40" s="70"/>
      <c r="G40" s="102"/>
      <c r="H40" s="102">
        <v>0</v>
      </c>
      <c r="I40" s="102">
        <v>0</v>
      </c>
      <c r="J40" s="102"/>
      <c r="K40" s="102"/>
      <c r="L40" s="143">
        <f t="shared" si="39"/>
        <v>0</v>
      </c>
      <c r="M40" s="143">
        <f t="shared" si="40"/>
        <v>0</v>
      </c>
      <c r="N40" s="143">
        <f t="shared" si="41"/>
        <v>0</v>
      </c>
      <c r="O40" s="126"/>
      <c r="P40" s="83">
        <f t="shared" si="42"/>
        <v>0</v>
      </c>
      <c r="Q40" s="83">
        <f t="shared" si="43"/>
        <v>0</v>
      </c>
      <c r="R40" s="83">
        <f t="shared" si="47"/>
        <v>0</v>
      </c>
      <c r="S40" s="83">
        <f t="shared" si="48"/>
        <v>0</v>
      </c>
      <c r="T40" s="89">
        <f t="shared" si="44"/>
        <v>0</v>
      </c>
      <c r="U40" s="126"/>
      <c r="V40" s="208">
        <f t="shared" si="22"/>
        <v>0</v>
      </c>
      <c r="W40" s="128"/>
      <c r="X40" s="128"/>
    </row>
    <row r="41" spans="1:25" s="43" customFormat="1" x14ac:dyDescent="0.2">
      <c r="A41" s="40" t="s">
        <v>37</v>
      </c>
      <c r="B41" s="40" t="s">
        <v>38</v>
      </c>
      <c r="C41" s="101">
        <f>SUM(C42:C47)</f>
        <v>174000</v>
      </c>
      <c r="D41" s="101">
        <f t="shared" ref="D41:F41" si="49">SUM(D42:D47)</f>
        <v>174000</v>
      </c>
      <c r="E41" s="101">
        <f t="shared" si="49"/>
        <v>174000</v>
      </c>
      <c r="F41" s="101">
        <f t="shared" si="49"/>
        <v>174000</v>
      </c>
      <c r="G41" s="101"/>
      <c r="H41" s="101">
        <f t="shared" ref="H41" si="50">SUM(H42:H47)</f>
        <v>86598</v>
      </c>
      <c r="I41" s="101">
        <f t="shared" ref="I41" si="51">SUM(I42:I47)</f>
        <v>129380</v>
      </c>
      <c r="J41" s="101">
        <f t="shared" ref="J41" si="52">SUM(J42:J47)</f>
        <v>172831</v>
      </c>
      <c r="K41" s="101"/>
      <c r="L41" s="144">
        <f t="shared" si="39"/>
        <v>0.49768965517241381</v>
      </c>
      <c r="M41" s="144">
        <f t="shared" si="40"/>
        <v>0.74356321839080464</v>
      </c>
      <c r="N41" s="144">
        <f t="shared" si="41"/>
        <v>0.99328160919540232</v>
      </c>
      <c r="O41" s="127"/>
      <c r="P41" s="83">
        <f t="shared" si="42"/>
        <v>0</v>
      </c>
      <c r="Q41" s="83">
        <f t="shared" si="43"/>
        <v>0</v>
      </c>
      <c r="R41" s="83">
        <f t="shared" si="47"/>
        <v>0</v>
      </c>
      <c r="S41" s="83">
        <f t="shared" si="48"/>
        <v>0</v>
      </c>
      <c r="T41" s="89">
        <f t="shared" si="44"/>
        <v>0</v>
      </c>
      <c r="U41" s="127"/>
      <c r="V41" s="208">
        <f t="shared" si="22"/>
        <v>0</v>
      </c>
      <c r="W41" s="135"/>
      <c r="X41" s="135"/>
    </row>
    <row r="42" spans="1:25" x14ac:dyDescent="0.2">
      <c r="A42" s="20" t="s">
        <v>39</v>
      </c>
      <c r="B42" s="20" t="s">
        <v>40</v>
      </c>
      <c r="C42" s="70">
        <v>78000</v>
      </c>
      <c r="D42" s="70">
        <v>78000</v>
      </c>
      <c r="E42" s="150">
        <v>78000</v>
      </c>
      <c r="F42" s="70">
        <v>78000</v>
      </c>
      <c r="G42" s="102"/>
      <c r="H42" s="102">
        <v>39000</v>
      </c>
      <c r="I42" s="102">
        <v>58500</v>
      </c>
      <c r="J42" s="102">
        <v>78000</v>
      </c>
      <c r="K42" s="102"/>
      <c r="L42" s="143">
        <f t="shared" si="39"/>
        <v>0.5</v>
      </c>
      <c r="M42" s="143">
        <f t="shared" si="40"/>
        <v>0.75</v>
      </c>
      <c r="N42" s="143">
        <f t="shared" si="41"/>
        <v>1</v>
      </c>
      <c r="O42" s="126"/>
      <c r="P42" s="83">
        <f t="shared" si="42"/>
        <v>0</v>
      </c>
      <c r="Q42" s="83">
        <f t="shared" si="43"/>
        <v>0</v>
      </c>
      <c r="R42" s="83">
        <f t="shared" si="47"/>
        <v>0</v>
      </c>
      <c r="S42" s="83">
        <f t="shared" si="48"/>
        <v>0</v>
      </c>
      <c r="T42" s="89">
        <f t="shared" si="44"/>
        <v>0</v>
      </c>
      <c r="U42" s="126"/>
      <c r="V42" s="208">
        <f t="shared" si="22"/>
        <v>0</v>
      </c>
      <c r="W42" s="128"/>
      <c r="X42" s="128"/>
      <c r="Y42" s="2"/>
    </row>
    <row r="43" spans="1:25" ht="14.25" customHeight="1" x14ac:dyDescent="0.2">
      <c r="A43" s="20"/>
      <c r="B43" s="20" t="s">
        <v>41</v>
      </c>
      <c r="C43" s="70"/>
      <c r="D43" s="70"/>
      <c r="E43" s="70"/>
      <c r="F43" s="70"/>
      <c r="G43" s="102"/>
      <c r="H43" s="102"/>
      <c r="I43" s="102"/>
      <c r="J43" s="102"/>
      <c r="K43" s="102"/>
      <c r="L43" s="142">
        <f t="shared" si="39"/>
        <v>0</v>
      </c>
      <c r="M43" s="142">
        <f t="shared" si="40"/>
        <v>0</v>
      </c>
      <c r="N43" s="142">
        <f t="shared" si="41"/>
        <v>0</v>
      </c>
      <c r="O43" s="125"/>
      <c r="P43" s="83">
        <f t="shared" si="42"/>
        <v>0</v>
      </c>
      <c r="Q43" s="83">
        <f t="shared" si="43"/>
        <v>0</v>
      </c>
      <c r="R43" s="83">
        <f t="shared" si="47"/>
        <v>0</v>
      </c>
      <c r="S43" s="83">
        <f t="shared" si="48"/>
        <v>0</v>
      </c>
      <c r="T43" s="89">
        <f t="shared" si="44"/>
        <v>0</v>
      </c>
      <c r="U43" s="125"/>
      <c r="V43" s="208">
        <f t="shared" si="22"/>
        <v>0</v>
      </c>
      <c r="W43" s="128"/>
      <c r="X43" s="128"/>
    </row>
    <row r="44" spans="1:25" ht="15.75" customHeight="1" x14ac:dyDescent="0.2">
      <c r="A44" s="20"/>
      <c r="B44" s="20" t="s">
        <v>42</v>
      </c>
      <c r="C44" s="70"/>
      <c r="D44" s="70"/>
      <c r="E44" s="70"/>
      <c r="F44" s="70"/>
      <c r="G44" s="102"/>
      <c r="H44" s="102"/>
      <c r="I44" s="102"/>
      <c r="J44" s="102"/>
      <c r="K44" s="102"/>
      <c r="L44" s="142">
        <f t="shared" si="39"/>
        <v>0</v>
      </c>
      <c r="M44" s="142">
        <f t="shared" si="40"/>
        <v>0</v>
      </c>
      <c r="N44" s="142">
        <f t="shared" si="41"/>
        <v>0</v>
      </c>
      <c r="O44" s="125"/>
      <c r="P44" s="83">
        <f t="shared" si="42"/>
        <v>0</v>
      </c>
      <c r="Q44" s="83">
        <f t="shared" si="43"/>
        <v>0</v>
      </c>
      <c r="R44" s="83">
        <f t="shared" si="47"/>
        <v>0</v>
      </c>
      <c r="S44" s="83">
        <f t="shared" si="48"/>
        <v>0</v>
      </c>
      <c r="T44" s="89">
        <f t="shared" si="44"/>
        <v>0</v>
      </c>
      <c r="U44" s="125"/>
      <c r="V44" s="208">
        <f t="shared" si="22"/>
        <v>0</v>
      </c>
      <c r="W44" s="128"/>
      <c r="X44" s="128"/>
    </row>
    <row r="45" spans="1:25" x14ac:dyDescent="0.2">
      <c r="A45" s="20"/>
      <c r="B45" s="20" t="s">
        <v>43</v>
      </c>
      <c r="C45" s="70"/>
      <c r="D45" s="70"/>
      <c r="E45" s="70"/>
      <c r="F45" s="70"/>
      <c r="G45" s="102"/>
      <c r="H45" s="102"/>
      <c r="I45" s="102"/>
      <c r="J45" s="102"/>
      <c r="K45" s="102"/>
      <c r="L45" s="142">
        <f t="shared" si="39"/>
        <v>0</v>
      </c>
      <c r="M45" s="142">
        <f t="shared" si="40"/>
        <v>0</v>
      </c>
      <c r="N45" s="142">
        <f t="shared" si="41"/>
        <v>0</v>
      </c>
      <c r="O45" s="125"/>
      <c r="P45" s="83">
        <f t="shared" si="42"/>
        <v>0</v>
      </c>
      <c r="Q45" s="83">
        <f t="shared" si="43"/>
        <v>0</v>
      </c>
      <c r="R45" s="83">
        <f t="shared" si="47"/>
        <v>0</v>
      </c>
      <c r="S45" s="83">
        <f t="shared" si="48"/>
        <v>0</v>
      </c>
      <c r="T45" s="89">
        <f t="shared" si="44"/>
        <v>0</v>
      </c>
      <c r="U45" s="125"/>
      <c r="V45" s="208">
        <f t="shared" si="22"/>
        <v>0</v>
      </c>
      <c r="W45" s="128"/>
      <c r="X45" s="128"/>
    </row>
    <row r="46" spans="1:25" x14ac:dyDescent="0.2">
      <c r="A46" s="20" t="s">
        <v>44</v>
      </c>
      <c r="B46" s="20" t="s">
        <v>45</v>
      </c>
      <c r="C46" s="70">
        <v>96000</v>
      </c>
      <c r="D46" s="70">
        <v>96000</v>
      </c>
      <c r="E46" s="150">
        <v>96000</v>
      </c>
      <c r="F46" s="70">
        <v>96000</v>
      </c>
      <c r="G46" s="102"/>
      <c r="H46" s="102">
        <v>47598</v>
      </c>
      <c r="I46" s="102">
        <v>70880</v>
      </c>
      <c r="J46" s="102">
        <v>94831</v>
      </c>
      <c r="K46" s="102"/>
      <c r="L46" s="143">
        <f t="shared" si="39"/>
        <v>0.49581249999999999</v>
      </c>
      <c r="M46" s="143">
        <f t="shared" si="40"/>
        <v>0.73833333333333329</v>
      </c>
      <c r="N46" s="143">
        <f t="shared" si="41"/>
        <v>0.98782291666666666</v>
      </c>
      <c r="O46" s="126"/>
      <c r="P46" s="83">
        <f t="shared" si="42"/>
        <v>0</v>
      </c>
      <c r="Q46" s="83">
        <f t="shared" si="43"/>
        <v>0</v>
      </c>
      <c r="R46" s="83">
        <f t="shared" si="47"/>
        <v>0</v>
      </c>
      <c r="S46" s="83">
        <f t="shared" si="48"/>
        <v>0</v>
      </c>
      <c r="T46" s="89">
        <f t="shared" si="44"/>
        <v>0</v>
      </c>
      <c r="U46" s="126"/>
      <c r="V46" s="208">
        <f t="shared" si="22"/>
        <v>0</v>
      </c>
      <c r="W46" s="128"/>
      <c r="X46" s="128"/>
    </row>
    <row r="47" spans="1:25" ht="15.75" customHeight="1" x14ac:dyDescent="0.2">
      <c r="A47" s="20"/>
      <c r="B47" s="20" t="s">
        <v>46</v>
      </c>
      <c r="C47" s="70"/>
      <c r="D47" s="70"/>
      <c r="E47" s="70"/>
      <c r="F47" s="70"/>
      <c r="G47" s="102"/>
      <c r="H47" s="102"/>
      <c r="I47" s="102"/>
      <c r="J47" s="102"/>
      <c r="K47" s="102"/>
      <c r="L47" s="142">
        <f t="shared" si="39"/>
        <v>0</v>
      </c>
      <c r="M47" s="142">
        <f t="shared" si="40"/>
        <v>0</v>
      </c>
      <c r="N47" s="142">
        <f t="shared" si="41"/>
        <v>0</v>
      </c>
      <c r="O47" s="125"/>
      <c r="P47" s="83">
        <f t="shared" si="42"/>
        <v>0</v>
      </c>
      <c r="Q47" s="83">
        <f t="shared" si="43"/>
        <v>0</v>
      </c>
      <c r="R47" s="83">
        <f t="shared" si="47"/>
        <v>0</v>
      </c>
      <c r="S47" s="83">
        <f t="shared" si="48"/>
        <v>0</v>
      </c>
      <c r="T47" s="89">
        <f t="shared" si="44"/>
        <v>0</v>
      </c>
      <c r="U47" s="125"/>
      <c r="V47" s="208">
        <f t="shared" si="22"/>
        <v>0</v>
      </c>
      <c r="W47" s="128"/>
      <c r="X47" s="128"/>
    </row>
    <row r="48" spans="1:25" s="43" customFormat="1" x14ac:dyDescent="0.2">
      <c r="A48" s="40" t="s">
        <v>47</v>
      </c>
      <c r="B48" s="40" t="s">
        <v>48</v>
      </c>
      <c r="C48" s="101">
        <f>SUM(C49:C65)</f>
        <v>6306000</v>
      </c>
      <c r="D48" s="101">
        <f t="shared" ref="D48:F48" si="53">SUM(D49:D65)</f>
        <v>7267000</v>
      </c>
      <c r="E48" s="101">
        <f t="shared" si="53"/>
        <v>7267000</v>
      </c>
      <c r="F48" s="101">
        <f t="shared" si="53"/>
        <v>6887000</v>
      </c>
      <c r="G48" s="101"/>
      <c r="H48" s="101">
        <f t="shared" ref="H48" si="54">SUM(H49:H65)</f>
        <v>3465173</v>
      </c>
      <c r="I48" s="101">
        <f t="shared" ref="I48" si="55">SUM(I49:I65)</f>
        <v>4726597</v>
      </c>
      <c r="J48" s="101">
        <f t="shared" ref="J48" si="56">SUM(J49:J65)</f>
        <v>6140060</v>
      </c>
      <c r="K48" s="101"/>
      <c r="L48" s="144">
        <f t="shared" si="39"/>
        <v>0.54950412305740559</v>
      </c>
      <c r="M48" s="144">
        <f t="shared" si="40"/>
        <v>0.6504192926929957</v>
      </c>
      <c r="N48" s="144">
        <f t="shared" si="41"/>
        <v>0.84492362735654325</v>
      </c>
      <c r="O48" s="127"/>
      <c r="P48" s="83">
        <f t="shared" si="42"/>
        <v>961000</v>
      </c>
      <c r="Q48" s="83">
        <f t="shared" si="43"/>
        <v>0</v>
      </c>
      <c r="R48" s="83">
        <f t="shared" si="47"/>
        <v>-380000</v>
      </c>
      <c r="S48" s="83">
        <f t="shared" si="48"/>
        <v>581000</v>
      </c>
      <c r="T48" s="89">
        <f t="shared" si="44"/>
        <v>9.213447510307643E-2</v>
      </c>
      <c r="U48" s="127"/>
      <c r="V48" s="208">
        <f t="shared" si="22"/>
        <v>-380000</v>
      </c>
      <c r="W48" s="135"/>
      <c r="X48" s="135"/>
    </row>
    <row r="49" spans="1:25" x14ac:dyDescent="0.2">
      <c r="A49" s="20" t="s">
        <v>49</v>
      </c>
      <c r="B49" s="592" t="s">
        <v>50</v>
      </c>
      <c r="C49" s="70">
        <v>558000</v>
      </c>
      <c r="D49" s="70">
        <v>1564000</v>
      </c>
      <c r="E49" s="70">
        <v>1524000</v>
      </c>
      <c r="F49" s="70">
        <v>1002000</v>
      </c>
      <c r="G49" s="102"/>
      <c r="H49" s="102">
        <v>821375</v>
      </c>
      <c r="I49" s="102">
        <v>509972</v>
      </c>
      <c r="J49" s="102">
        <v>617554</v>
      </c>
      <c r="K49" s="102"/>
      <c r="L49" s="143">
        <f t="shared" si="39"/>
        <v>1.4719982078853047</v>
      </c>
      <c r="M49" s="143">
        <f t="shared" si="40"/>
        <v>0.32606905370843992</v>
      </c>
      <c r="N49" s="143">
        <f t="shared" si="41"/>
        <v>0.40521916010498688</v>
      </c>
      <c r="O49" s="126"/>
      <c r="P49" s="83">
        <f t="shared" si="42"/>
        <v>1006000</v>
      </c>
      <c r="Q49" s="83">
        <f t="shared" si="43"/>
        <v>-40000</v>
      </c>
      <c r="R49" s="83">
        <f t="shared" si="47"/>
        <v>-522000</v>
      </c>
      <c r="S49" s="83">
        <f t="shared" si="48"/>
        <v>444000</v>
      </c>
      <c r="T49" s="89">
        <f t="shared" si="44"/>
        <v>0.79569892473118276</v>
      </c>
      <c r="U49" s="126"/>
      <c r="V49" s="208">
        <f t="shared" si="22"/>
        <v>-522000</v>
      </c>
      <c r="W49" s="128"/>
      <c r="X49" s="128"/>
    </row>
    <row r="50" spans="1:25" x14ac:dyDescent="0.2">
      <c r="A50" s="20" t="s">
        <v>103</v>
      </c>
      <c r="B50" s="20" t="s">
        <v>97</v>
      </c>
      <c r="C50" s="70"/>
      <c r="D50" s="70"/>
      <c r="E50" s="70"/>
      <c r="F50" s="70"/>
      <c r="G50" s="102"/>
      <c r="H50" s="102"/>
      <c r="I50" s="102"/>
      <c r="J50" s="102"/>
      <c r="K50" s="102"/>
      <c r="L50" s="142">
        <f t="shared" si="39"/>
        <v>0</v>
      </c>
      <c r="M50" s="142">
        <f t="shared" si="40"/>
        <v>0</v>
      </c>
      <c r="N50" s="142">
        <f t="shared" si="41"/>
        <v>0</v>
      </c>
      <c r="O50" s="125"/>
      <c r="P50" s="83">
        <f t="shared" si="42"/>
        <v>0</v>
      </c>
      <c r="Q50" s="83">
        <f t="shared" si="43"/>
        <v>0</v>
      </c>
      <c r="R50" s="83">
        <f t="shared" si="47"/>
        <v>0</v>
      </c>
      <c r="S50" s="83">
        <f t="shared" si="48"/>
        <v>0</v>
      </c>
      <c r="T50" s="89">
        <f t="shared" si="44"/>
        <v>0</v>
      </c>
      <c r="U50" s="125"/>
      <c r="V50" s="208">
        <f t="shared" si="22"/>
        <v>0</v>
      </c>
      <c r="W50" s="128"/>
      <c r="X50" s="128"/>
    </row>
    <row r="51" spans="1:25" x14ac:dyDescent="0.2">
      <c r="A51" s="20"/>
      <c r="B51" s="20" t="s">
        <v>98</v>
      </c>
      <c r="C51" s="70"/>
      <c r="D51" s="70"/>
      <c r="E51" s="70"/>
      <c r="F51" s="70"/>
      <c r="G51" s="102"/>
      <c r="H51" s="102"/>
      <c r="I51" s="102"/>
      <c r="J51" s="102"/>
      <c r="K51" s="102"/>
      <c r="L51" s="142">
        <f t="shared" si="39"/>
        <v>0</v>
      </c>
      <c r="M51" s="142">
        <f t="shared" si="40"/>
        <v>0</v>
      </c>
      <c r="N51" s="142">
        <f t="shared" si="41"/>
        <v>0</v>
      </c>
      <c r="O51" s="125"/>
      <c r="P51" s="83">
        <f t="shared" si="42"/>
        <v>0</v>
      </c>
      <c r="Q51" s="83">
        <f t="shared" si="43"/>
        <v>0</v>
      </c>
      <c r="R51" s="83">
        <f t="shared" si="47"/>
        <v>0</v>
      </c>
      <c r="S51" s="83">
        <f t="shared" si="48"/>
        <v>0</v>
      </c>
      <c r="T51" s="89">
        <f t="shared" si="44"/>
        <v>0</v>
      </c>
      <c r="U51" s="125"/>
      <c r="V51" s="208">
        <f t="shared" si="22"/>
        <v>0</v>
      </c>
      <c r="W51" s="128"/>
      <c r="X51" s="128"/>
    </row>
    <row r="52" spans="1:25" x14ac:dyDescent="0.2">
      <c r="A52" s="20"/>
      <c r="B52" s="20" t="s">
        <v>99</v>
      </c>
      <c r="C52" s="70"/>
      <c r="D52" s="70"/>
      <c r="E52" s="70"/>
      <c r="F52" s="70"/>
      <c r="G52" s="102"/>
      <c r="H52" s="102"/>
      <c r="I52" s="102"/>
      <c r="J52" s="102"/>
      <c r="K52" s="102"/>
      <c r="L52" s="142">
        <f t="shared" si="39"/>
        <v>0</v>
      </c>
      <c r="M52" s="142">
        <f t="shared" si="40"/>
        <v>0</v>
      </c>
      <c r="N52" s="142">
        <f t="shared" si="41"/>
        <v>0</v>
      </c>
      <c r="O52" s="125"/>
      <c r="P52" s="83">
        <f t="shared" si="42"/>
        <v>0</v>
      </c>
      <c r="Q52" s="83">
        <f t="shared" si="43"/>
        <v>0</v>
      </c>
      <c r="R52" s="83">
        <f t="shared" si="47"/>
        <v>0</v>
      </c>
      <c r="S52" s="83">
        <f t="shared" si="48"/>
        <v>0</v>
      </c>
      <c r="T52" s="89">
        <f t="shared" si="44"/>
        <v>0</v>
      </c>
      <c r="U52" s="125"/>
      <c r="V52" s="208">
        <f t="shared" si="22"/>
        <v>0</v>
      </c>
      <c r="W52" s="128"/>
      <c r="X52" s="128"/>
    </row>
    <row r="53" spans="1:25" x14ac:dyDescent="0.2">
      <c r="A53" s="20" t="s">
        <v>51</v>
      </c>
      <c r="B53" s="20" t="s">
        <v>52</v>
      </c>
      <c r="C53" s="70">
        <v>5535000</v>
      </c>
      <c r="D53" s="70">
        <v>5486000</v>
      </c>
      <c r="E53" s="150">
        <v>5486000</v>
      </c>
      <c r="F53" s="70">
        <v>5611000</v>
      </c>
      <c r="G53" s="102"/>
      <c r="H53" s="102">
        <v>2508996</v>
      </c>
      <c r="I53" s="102">
        <v>3998970</v>
      </c>
      <c r="J53" s="102">
        <v>5252275</v>
      </c>
      <c r="K53" s="102"/>
      <c r="L53" s="143">
        <f t="shared" si="39"/>
        <v>0.45329647696476966</v>
      </c>
      <c r="M53" s="143">
        <f t="shared" si="40"/>
        <v>0.72894094057601166</v>
      </c>
      <c r="N53" s="143">
        <f t="shared" si="41"/>
        <v>0.95739609916150203</v>
      </c>
      <c r="O53" s="126"/>
      <c r="P53" s="83">
        <f t="shared" si="42"/>
        <v>-49000</v>
      </c>
      <c r="Q53" s="83">
        <f t="shared" si="43"/>
        <v>0</v>
      </c>
      <c r="R53" s="83">
        <f t="shared" si="47"/>
        <v>125000</v>
      </c>
      <c r="S53" s="83">
        <f t="shared" si="48"/>
        <v>76000</v>
      </c>
      <c r="T53" s="89">
        <f t="shared" si="44"/>
        <v>1.3730803974706414E-2</v>
      </c>
      <c r="U53" s="126"/>
      <c r="V53" s="208">
        <f t="shared" si="22"/>
        <v>125000</v>
      </c>
      <c r="W53" s="128"/>
      <c r="X53" s="128"/>
    </row>
    <row r="54" spans="1:25" x14ac:dyDescent="0.2">
      <c r="A54" s="20"/>
      <c r="B54" s="20" t="s">
        <v>90</v>
      </c>
      <c r="C54" s="70"/>
      <c r="D54" s="70"/>
      <c r="E54" s="70"/>
      <c r="F54" s="70"/>
      <c r="G54" s="102"/>
      <c r="H54" s="102"/>
      <c r="I54" s="102"/>
      <c r="J54" s="102"/>
      <c r="K54" s="102"/>
      <c r="L54" s="142">
        <f t="shared" si="39"/>
        <v>0</v>
      </c>
      <c r="M54" s="142">
        <f t="shared" si="40"/>
        <v>0</v>
      </c>
      <c r="N54" s="142">
        <f t="shared" si="41"/>
        <v>0</v>
      </c>
      <c r="O54" s="125"/>
      <c r="P54" s="83">
        <f t="shared" si="42"/>
        <v>0</v>
      </c>
      <c r="Q54" s="83">
        <f t="shared" si="43"/>
        <v>0</v>
      </c>
      <c r="R54" s="83">
        <f t="shared" si="47"/>
        <v>0</v>
      </c>
      <c r="S54" s="83">
        <f t="shared" si="48"/>
        <v>0</v>
      </c>
      <c r="T54" s="89">
        <f t="shared" si="44"/>
        <v>0</v>
      </c>
      <c r="U54" s="125"/>
      <c r="V54" s="208">
        <f t="shared" si="22"/>
        <v>0</v>
      </c>
      <c r="W54" s="128"/>
      <c r="X54" s="128"/>
    </row>
    <row r="55" spans="1:25" x14ac:dyDescent="0.2">
      <c r="A55" s="20"/>
      <c r="B55" s="20" t="s">
        <v>53</v>
      </c>
      <c r="C55" s="70"/>
      <c r="D55" s="70"/>
      <c r="E55" s="70"/>
      <c r="F55" s="70"/>
      <c r="G55" s="102"/>
      <c r="H55" s="102"/>
      <c r="I55" s="102"/>
      <c r="J55" s="102"/>
      <c r="K55" s="102"/>
      <c r="L55" s="142">
        <f t="shared" si="39"/>
        <v>0</v>
      </c>
      <c r="M55" s="142">
        <f t="shared" si="40"/>
        <v>0</v>
      </c>
      <c r="N55" s="142">
        <f t="shared" si="41"/>
        <v>0</v>
      </c>
      <c r="O55" s="125"/>
      <c r="P55" s="83">
        <f t="shared" si="42"/>
        <v>0</v>
      </c>
      <c r="Q55" s="83">
        <f t="shared" si="43"/>
        <v>0</v>
      </c>
      <c r="R55" s="83">
        <f t="shared" si="47"/>
        <v>0</v>
      </c>
      <c r="S55" s="83">
        <f t="shared" si="48"/>
        <v>0</v>
      </c>
      <c r="T55" s="89">
        <f t="shared" si="44"/>
        <v>0</v>
      </c>
      <c r="U55" s="125"/>
      <c r="V55" s="208">
        <f t="shared" si="22"/>
        <v>0</v>
      </c>
      <c r="W55" s="128"/>
      <c r="X55" s="128"/>
    </row>
    <row r="56" spans="1:25" x14ac:dyDescent="0.2">
      <c r="A56" s="20" t="s">
        <v>54</v>
      </c>
      <c r="B56" s="20" t="s">
        <v>55</v>
      </c>
      <c r="C56" s="70"/>
      <c r="D56" s="70"/>
      <c r="E56" s="70"/>
      <c r="F56" s="70"/>
      <c r="G56" s="102"/>
      <c r="H56" s="102"/>
      <c r="I56" s="102"/>
      <c r="J56" s="102"/>
      <c r="K56" s="102"/>
      <c r="L56" s="142">
        <f t="shared" si="39"/>
        <v>0</v>
      </c>
      <c r="M56" s="142">
        <f t="shared" si="40"/>
        <v>0</v>
      </c>
      <c r="N56" s="142">
        <f t="shared" si="41"/>
        <v>0</v>
      </c>
      <c r="O56" s="125"/>
      <c r="P56" s="83">
        <f t="shared" si="42"/>
        <v>0</v>
      </c>
      <c r="Q56" s="83">
        <f t="shared" si="43"/>
        <v>0</v>
      </c>
      <c r="R56" s="83">
        <f t="shared" si="47"/>
        <v>0</v>
      </c>
      <c r="S56" s="83">
        <f t="shared" si="48"/>
        <v>0</v>
      </c>
      <c r="T56" s="89">
        <f t="shared" si="44"/>
        <v>0</v>
      </c>
      <c r="U56" s="125"/>
      <c r="V56" s="208">
        <f t="shared" si="22"/>
        <v>0</v>
      </c>
      <c r="W56" s="128"/>
      <c r="X56" s="128"/>
    </row>
    <row r="57" spans="1:25" x14ac:dyDescent="0.2">
      <c r="A57" s="20"/>
      <c r="B57" s="20" t="s">
        <v>56</v>
      </c>
      <c r="C57" s="70"/>
      <c r="D57" s="70"/>
      <c r="E57" s="70"/>
      <c r="F57" s="70"/>
      <c r="G57" s="102"/>
      <c r="H57" s="102"/>
      <c r="I57" s="102"/>
      <c r="J57" s="102"/>
      <c r="K57" s="102"/>
      <c r="L57" s="142">
        <f t="shared" si="39"/>
        <v>0</v>
      </c>
      <c r="M57" s="142">
        <f t="shared" si="40"/>
        <v>0</v>
      </c>
      <c r="N57" s="142">
        <f t="shared" si="41"/>
        <v>0</v>
      </c>
      <c r="O57" s="125"/>
      <c r="P57" s="83">
        <f t="shared" si="42"/>
        <v>0</v>
      </c>
      <c r="Q57" s="83">
        <f t="shared" si="43"/>
        <v>0</v>
      </c>
      <c r="R57" s="83">
        <f t="shared" si="47"/>
        <v>0</v>
      </c>
      <c r="S57" s="83">
        <f t="shared" si="48"/>
        <v>0</v>
      </c>
      <c r="T57" s="89">
        <f t="shared" si="44"/>
        <v>0</v>
      </c>
      <c r="U57" s="125"/>
      <c r="V57" s="208">
        <f t="shared" si="22"/>
        <v>0</v>
      </c>
      <c r="W57" s="128"/>
      <c r="X57" s="128"/>
    </row>
    <row r="58" spans="1:25" x14ac:dyDescent="0.2">
      <c r="A58" s="20" t="s">
        <v>57</v>
      </c>
      <c r="B58" s="20" t="s">
        <v>91</v>
      </c>
      <c r="C58" s="70">
        <v>0</v>
      </c>
      <c r="D58" s="70">
        <v>40000</v>
      </c>
      <c r="E58" s="70">
        <v>40000</v>
      </c>
      <c r="F58" s="70">
        <v>40000</v>
      </c>
      <c r="G58" s="102"/>
      <c r="H58" s="102">
        <v>37300</v>
      </c>
      <c r="I58" s="102">
        <v>37300</v>
      </c>
      <c r="J58" s="102">
        <v>37300</v>
      </c>
      <c r="K58" s="102"/>
      <c r="L58" s="143" t="e">
        <f t="shared" si="39"/>
        <v>#DIV/0!</v>
      </c>
      <c r="M58" s="143">
        <f t="shared" si="40"/>
        <v>0.9325</v>
      </c>
      <c r="N58" s="143">
        <f t="shared" si="41"/>
        <v>0.9325</v>
      </c>
      <c r="O58" s="126"/>
      <c r="P58" s="83">
        <f t="shared" si="42"/>
        <v>40000</v>
      </c>
      <c r="Q58" s="83">
        <f t="shared" si="43"/>
        <v>0</v>
      </c>
      <c r="R58" s="83">
        <f t="shared" si="47"/>
        <v>0</v>
      </c>
      <c r="S58" s="83">
        <f t="shared" si="48"/>
        <v>40000</v>
      </c>
      <c r="T58" s="89">
        <f t="shared" si="44"/>
        <v>0</v>
      </c>
      <c r="U58" s="126"/>
      <c r="V58" s="208">
        <f t="shared" si="22"/>
        <v>0</v>
      </c>
      <c r="W58" s="128"/>
      <c r="X58" s="128"/>
    </row>
    <row r="59" spans="1:25" x14ac:dyDescent="0.2">
      <c r="A59" s="20"/>
      <c r="B59" s="20" t="s">
        <v>58</v>
      </c>
      <c r="C59" s="70"/>
      <c r="D59" s="70"/>
      <c r="E59" s="70"/>
      <c r="F59" s="70"/>
      <c r="G59" s="102"/>
      <c r="H59" s="102"/>
      <c r="I59" s="102"/>
      <c r="J59" s="102"/>
      <c r="K59" s="102"/>
      <c r="L59" s="142">
        <f t="shared" si="39"/>
        <v>0</v>
      </c>
      <c r="M59" s="142">
        <f t="shared" si="40"/>
        <v>0</v>
      </c>
      <c r="N59" s="142">
        <f t="shared" si="41"/>
        <v>0</v>
      </c>
      <c r="O59" s="125"/>
      <c r="P59" s="83">
        <f t="shared" si="42"/>
        <v>0</v>
      </c>
      <c r="Q59" s="83">
        <f t="shared" si="43"/>
        <v>0</v>
      </c>
      <c r="R59" s="83">
        <f t="shared" si="47"/>
        <v>0</v>
      </c>
      <c r="S59" s="83">
        <f t="shared" si="48"/>
        <v>0</v>
      </c>
      <c r="T59" s="89">
        <f t="shared" si="44"/>
        <v>0</v>
      </c>
      <c r="U59" s="125"/>
      <c r="V59" s="208">
        <f t="shared" si="22"/>
        <v>0</v>
      </c>
      <c r="W59" s="128"/>
      <c r="X59" s="128"/>
    </row>
    <row r="60" spans="1:25" x14ac:dyDescent="0.2">
      <c r="A60" s="20" t="s">
        <v>59</v>
      </c>
      <c r="B60" s="20" t="s">
        <v>60</v>
      </c>
      <c r="C60" s="70"/>
      <c r="D60" s="70"/>
      <c r="E60" s="70"/>
      <c r="F60" s="70"/>
      <c r="G60" s="102"/>
      <c r="H60" s="102"/>
      <c r="I60" s="102"/>
      <c r="J60" s="102"/>
      <c r="K60" s="102"/>
      <c r="L60" s="142">
        <f t="shared" si="39"/>
        <v>0</v>
      </c>
      <c r="M60" s="142">
        <f t="shared" si="40"/>
        <v>0</v>
      </c>
      <c r="N60" s="142">
        <f t="shared" si="41"/>
        <v>0</v>
      </c>
      <c r="O60" s="125"/>
      <c r="P60" s="83">
        <f t="shared" si="42"/>
        <v>0</v>
      </c>
      <c r="Q60" s="83">
        <f t="shared" si="43"/>
        <v>0</v>
      </c>
      <c r="R60" s="83">
        <f t="shared" si="47"/>
        <v>0</v>
      </c>
      <c r="S60" s="83">
        <f t="shared" si="48"/>
        <v>0</v>
      </c>
      <c r="T60" s="89">
        <f t="shared" si="44"/>
        <v>0</v>
      </c>
      <c r="U60" s="125"/>
      <c r="V60" s="208">
        <f t="shared" si="22"/>
        <v>0</v>
      </c>
      <c r="W60" s="128"/>
      <c r="X60" s="128"/>
    </row>
    <row r="61" spans="1:25" ht="25.5" x14ac:dyDescent="0.2">
      <c r="A61" s="20"/>
      <c r="B61" s="20" t="s">
        <v>61</v>
      </c>
      <c r="C61" s="70"/>
      <c r="D61" s="70"/>
      <c r="E61" s="70"/>
      <c r="F61" s="70"/>
      <c r="G61" s="102"/>
      <c r="H61" s="102"/>
      <c r="I61" s="102"/>
      <c r="J61" s="102"/>
      <c r="K61" s="102"/>
      <c r="L61" s="142">
        <f t="shared" si="39"/>
        <v>0</v>
      </c>
      <c r="M61" s="142">
        <f t="shared" si="40"/>
        <v>0</v>
      </c>
      <c r="N61" s="142">
        <f t="shared" si="41"/>
        <v>0</v>
      </c>
      <c r="O61" s="125"/>
      <c r="P61" s="83">
        <f t="shared" si="42"/>
        <v>0</v>
      </c>
      <c r="Q61" s="83">
        <f t="shared" si="43"/>
        <v>0</v>
      </c>
      <c r="R61" s="83">
        <f t="shared" si="47"/>
        <v>0</v>
      </c>
      <c r="S61" s="83">
        <f t="shared" si="48"/>
        <v>0</v>
      </c>
      <c r="T61" s="89">
        <f t="shared" si="44"/>
        <v>0</v>
      </c>
      <c r="U61" s="125"/>
      <c r="V61" s="208">
        <f t="shared" si="22"/>
        <v>0</v>
      </c>
      <c r="W61" s="128"/>
      <c r="X61" s="128"/>
    </row>
    <row r="62" spans="1:25" x14ac:dyDescent="0.2">
      <c r="A62" s="20" t="s">
        <v>62</v>
      </c>
      <c r="B62" s="20" t="s">
        <v>63</v>
      </c>
      <c r="C62" s="70">
        <v>68000</v>
      </c>
      <c r="D62" s="70">
        <v>32000</v>
      </c>
      <c r="E62" s="70">
        <v>72000</v>
      </c>
      <c r="F62" s="70">
        <v>72000</v>
      </c>
      <c r="G62" s="102"/>
      <c r="H62" s="102">
        <v>31200</v>
      </c>
      <c r="I62" s="102">
        <v>71200</v>
      </c>
      <c r="J62" s="102">
        <v>71200</v>
      </c>
      <c r="K62" s="102"/>
      <c r="L62" s="143">
        <f t="shared" si="39"/>
        <v>0.45882352941176469</v>
      </c>
      <c r="M62" s="143">
        <f t="shared" si="40"/>
        <v>2.2250000000000001</v>
      </c>
      <c r="N62" s="143">
        <f t="shared" si="41"/>
        <v>0.98888888888888893</v>
      </c>
      <c r="O62" s="126"/>
      <c r="P62" s="83">
        <f t="shared" si="42"/>
        <v>-36000</v>
      </c>
      <c r="Q62" s="83">
        <f t="shared" si="43"/>
        <v>40000</v>
      </c>
      <c r="R62" s="83">
        <f t="shared" si="47"/>
        <v>0</v>
      </c>
      <c r="S62" s="83">
        <f t="shared" si="48"/>
        <v>4000</v>
      </c>
      <c r="T62" s="89">
        <f t="shared" si="44"/>
        <v>5.8823529411764705E-2</v>
      </c>
      <c r="U62" s="126"/>
      <c r="V62" s="208">
        <f t="shared" si="22"/>
        <v>0</v>
      </c>
      <c r="W62" s="128"/>
      <c r="X62" s="128"/>
    </row>
    <row r="63" spans="1:25" ht="40.35" customHeight="1" x14ac:dyDescent="0.2">
      <c r="A63" s="20"/>
      <c r="B63" s="20" t="s">
        <v>102</v>
      </c>
      <c r="C63" s="70"/>
      <c r="D63" s="70"/>
      <c r="E63" s="70"/>
      <c r="F63" s="70"/>
      <c r="G63" s="102"/>
      <c r="H63" s="102"/>
      <c r="I63" s="102"/>
      <c r="J63" s="102"/>
      <c r="K63" s="102"/>
      <c r="L63" s="142">
        <f t="shared" si="39"/>
        <v>0</v>
      </c>
      <c r="M63" s="142">
        <f t="shared" si="40"/>
        <v>0</v>
      </c>
      <c r="N63" s="142">
        <f t="shared" si="41"/>
        <v>0</v>
      </c>
      <c r="O63" s="125"/>
      <c r="P63" s="83">
        <f t="shared" si="42"/>
        <v>0</v>
      </c>
      <c r="Q63" s="83">
        <f t="shared" si="43"/>
        <v>0</v>
      </c>
      <c r="R63" s="83">
        <f t="shared" si="47"/>
        <v>0</v>
      </c>
      <c r="S63" s="83">
        <f t="shared" si="48"/>
        <v>0</v>
      </c>
      <c r="T63" s="89">
        <f t="shared" si="44"/>
        <v>0</v>
      </c>
      <c r="U63" s="125"/>
      <c r="V63" s="208">
        <f t="shared" si="22"/>
        <v>0</v>
      </c>
      <c r="W63" s="128"/>
      <c r="X63" s="128"/>
      <c r="Y63" s="2"/>
    </row>
    <row r="64" spans="1:25" x14ac:dyDescent="0.2">
      <c r="A64" s="20" t="s">
        <v>64</v>
      </c>
      <c r="B64" s="20" t="s">
        <v>65</v>
      </c>
      <c r="C64" s="70">
        <v>145000</v>
      </c>
      <c r="D64" s="70">
        <v>145000</v>
      </c>
      <c r="E64" s="150">
        <v>145000</v>
      </c>
      <c r="F64" s="70">
        <v>162000</v>
      </c>
      <c r="G64" s="102"/>
      <c r="H64" s="102">
        <v>66302</v>
      </c>
      <c r="I64" s="102">
        <v>109155</v>
      </c>
      <c r="J64" s="102">
        <v>161731</v>
      </c>
      <c r="K64" s="102"/>
      <c r="L64" s="143">
        <f t="shared" ref="L64:L89" si="57">IF(H64&gt;0,H64/C64,0)</f>
        <v>0.4572551724137931</v>
      </c>
      <c r="M64" s="143">
        <f t="shared" ref="M64:M89" si="58">IF(I64&gt;0,I64/D64,0)</f>
        <v>0.75279310344827588</v>
      </c>
      <c r="N64" s="143">
        <f t="shared" ref="N64:N89" si="59">IF(J64&gt;0,J64/E64,0)</f>
        <v>1.1153862068965517</v>
      </c>
      <c r="O64" s="126"/>
      <c r="P64" s="83">
        <f t="shared" ref="P64:P89" si="60">+(D64-C64)*P$10</f>
        <v>0</v>
      </c>
      <c r="Q64" s="83">
        <f t="shared" ref="Q64:Q89" si="61">+(E64-D64)*Q$10</f>
        <v>0</v>
      </c>
      <c r="R64" s="83">
        <f t="shared" ref="R64:R89" si="62">+(F64-E64)*R$10</f>
        <v>17000</v>
      </c>
      <c r="S64" s="83">
        <f t="shared" si="48"/>
        <v>17000</v>
      </c>
      <c r="T64" s="89">
        <f t="shared" ref="T64:T89" si="63">IF(C64=0,0,+S64/C64)</f>
        <v>0.11724137931034483</v>
      </c>
      <c r="U64" s="126"/>
      <c r="V64" s="208">
        <f t="shared" si="22"/>
        <v>17000</v>
      </c>
      <c r="W64" s="128"/>
      <c r="X64" s="128"/>
      <c r="Y64" s="2"/>
    </row>
    <row r="65" spans="1:24" ht="38.25" x14ac:dyDescent="0.2">
      <c r="A65" s="20"/>
      <c r="B65" s="20" t="s">
        <v>66</v>
      </c>
      <c r="C65" s="70"/>
      <c r="D65" s="70"/>
      <c r="E65" s="70"/>
      <c r="F65" s="70"/>
      <c r="G65" s="102"/>
      <c r="H65" s="102"/>
      <c r="I65" s="102"/>
      <c r="J65" s="102"/>
      <c r="K65" s="102"/>
      <c r="L65" s="142">
        <f t="shared" si="57"/>
        <v>0</v>
      </c>
      <c r="M65" s="142">
        <f t="shared" si="58"/>
        <v>0</v>
      </c>
      <c r="N65" s="142">
        <f t="shared" si="59"/>
        <v>0</v>
      </c>
      <c r="O65" s="125"/>
      <c r="P65" s="83">
        <f t="shared" si="60"/>
        <v>0</v>
      </c>
      <c r="Q65" s="83">
        <f t="shared" si="61"/>
        <v>0</v>
      </c>
      <c r="R65" s="83">
        <f t="shared" si="62"/>
        <v>0</v>
      </c>
      <c r="S65" s="83">
        <f t="shared" si="48"/>
        <v>0</v>
      </c>
      <c r="T65" s="89">
        <f t="shared" si="63"/>
        <v>0</v>
      </c>
      <c r="U65" s="125"/>
      <c r="V65" s="208">
        <f t="shared" si="22"/>
        <v>0</v>
      </c>
      <c r="W65" s="128"/>
      <c r="X65" s="128"/>
    </row>
    <row r="66" spans="1:24" s="43" customFormat="1" x14ac:dyDescent="0.2">
      <c r="A66" s="40" t="s">
        <v>67</v>
      </c>
      <c r="B66" s="40" t="s">
        <v>68</v>
      </c>
      <c r="C66" s="101">
        <f>SUM(C67:C70)</f>
        <v>432000</v>
      </c>
      <c r="D66" s="101">
        <f t="shared" ref="D66:F66" si="64">SUM(D67:D70)</f>
        <v>496000</v>
      </c>
      <c r="E66" s="101">
        <f t="shared" si="64"/>
        <v>506000</v>
      </c>
      <c r="F66" s="101">
        <f t="shared" si="64"/>
        <v>636000</v>
      </c>
      <c r="G66" s="101"/>
      <c r="H66" s="101">
        <f t="shared" ref="H66" si="65">SUM(H67:H70)</f>
        <v>284884</v>
      </c>
      <c r="I66" s="101">
        <f t="shared" ref="I66" si="66">SUM(I67:I70)</f>
        <v>364715</v>
      </c>
      <c r="J66" s="101">
        <f t="shared" ref="J66" si="67">SUM(J67:J70)</f>
        <v>594259</v>
      </c>
      <c r="K66" s="101"/>
      <c r="L66" s="144">
        <f t="shared" si="57"/>
        <v>0.65945370370370371</v>
      </c>
      <c r="M66" s="144">
        <f t="shared" si="58"/>
        <v>0.73531250000000004</v>
      </c>
      <c r="N66" s="144">
        <f t="shared" si="59"/>
        <v>1.1744249011857708</v>
      </c>
      <c r="O66" s="127"/>
      <c r="P66" s="83">
        <f t="shared" si="60"/>
        <v>64000</v>
      </c>
      <c r="Q66" s="83">
        <f t="shared" si="61"/>
        <v>10000</v>
      </c>
      <c r="R66" s="83">
        <f t="shared" si="62"/>
        <v>130000</v>
      </c>
      <c r="S66" s="83">
        <f t="shared" si="48"/>
        <v>204000</v>
      </c>
      <c r="T66" s="89">
        <f t="shared" si="63"/>
        <v>0.47222222222222221</v>
      </c>
      <c r="U66" s="127"/>
      <c r="V66" s="208">
        <f t="shared" si="22"/>
        <v>130000</v>
      </c>
      <c r="W66" s="135"/>
      <c r="X66" s="135"/>
    </row>
    <row r="67" spans="1:24" x14ac:dyDescent="0.2">
      <c r="A67" s="20" t="s">
        <v>69</v>
      </c>
      <c r="B67" s="20" t="s">
        <v>70</v>
      </c>
      <c r="C67" s="70">
        <v>432000</v>
      </c>
      <c r="D67" s="70">
        <v>496000</v>
      </c>
      <c r="E67" s="70">
        <v>506000</v>
      </c>
      <c r="F67" s="70">
        <v>636000</v>
      </c>
      <c r="G67" s="102"/>
      <c r="H67" s="102">
        <v>284884</v>
      </c>
      <c r="I67" s="102">
        <v>364715</v>
      </c>
      <c r="J67" s="102">
        <v>594259</v>
      </c>
      <c r="K67" s="102"/>
      <c r="L67" s="143">
        <f t="shared" si="57"/>
        <v>0.65945370370370371</v>
      </c>
      <c r="M67" s="143">
        <f t="shared" si="58"/>
        <v>0.73531250000000004</v>
      </c>
      <c r="N67" s="143">
        <f t="shared" si="59"/>
        <v>1.1744249011857708</v>
      </c>
      <c r="O67" s="126"/>
      <c r="P67" s="83">
        <f t="shared" si="60"/>
        <v>64000</v>
      </c>
      <c r="Q67" s="83">
        <f t="shared" si="61"/>
        <v>10000</v>
      </c>
      <c r="R67" s="83">
        <f t="shared" si="62"/>
        <v>130000</v>
      </c>
      <c r="S67" s="83">
        <f t="shared" si="48"/>
        <v>204000</v>
      </c>
      <c r="T67" s="89">
        <f t="shared" si="63"/>
        <v>0.47222222222222221</v>
      </c>
      <c r="U67" s="126"/>
      <c r="V67" s="208">
        <f t="shared" si="22"/>
        <v>130000</v>
      </c>
      <c r="W67" s="128"/>
      <c r="X67" s="128"/>
    </row>
    <row r="68" spans="1:24" ht="38.25" x14ac:dyDescent="0.2">
      <c r="A68" s="20"/>
      <c r="B68" s="20" t="s">
        <v>71</v>
      </c>
      <c r="C68" s="70"/>
      <c r="D68" s="70"/>
      <c r="E68" s="70"/>
      <c r="F68" s="70"/>
      <c r="G68" s="102"/>
      <c r="H68" s="102"/>
      <c r="I68" s="102"/>
      <c r="J68" s="102"/>
      <c r="K68" s="102"/>
      <c r="L68" s="142">
        <f t="shared" si="57"/>
        <v>0</v>
      </c>
      <c r="M68" s="142">
        <f t="shared" si="58"/>
        <v>0</v>
      </c>
      <c r="N68" s="142">
        <f t="shared" si="59"/>
        <v>0</v>
      </c>
      <c r="O68" s="125"/>
      <c r="P68" s="83">
        <f t="shared" si="60"/>
        <v>0</v>
      </c>
      <c r="Q68" s="83">
        <f t="shared" si="61"/>
        <v>0</v>
      </c>
      <c r="R68" s="83">
        <f t="shared" si="62"/>
        <v>0</v>
      </c>
      <c r="S68" s="83">
        <f t="shared" si="48"/>
        <v>0</v>
      </c>
      <c r="T68" s="89">
        <f t="shared" si="63"/>
        <v>0</v>
      </c>
      <c r="U68" s="125"/>
      <c r="V68" s="208">
        <f t="shared" si="22"/>
        <v>0</v>
      </c>
      <c r="W68" s="128"/>
      <c r="X68" s="128"/>
    </row>
    <row r="69" spans="1:24" x14ac:dyDescent="0.2">
      <c r="A69" s="20" t="s">
        <v>72</v>
      </c>
      <c r="B69" s="20" t="s">
        <v>100</v>
      </c>
      <c r="C69" s="70"/>
      <c r="D69" s="70"/>
      <c r="E69" s="70"/>
      <c r="F69" s="70"/>
      <c r="G69" s="102"/>
      <c r="H69" s="102"/>
      <c r="I69" s="102"/>
      <c r="J69" s="102"/>
      <c r="K69" s="102"/>
      <c r="L69" s="142">
        <f t="shared" si="57"/>
        <v>0</v>
      </c>
      <c r="M69" s="142">
        <f t="shared" si="58"/>
        <v>0</v>
      </c>
      <c r="N69" s="142">
        <f t="shared" si="59"/>
        <v>0</v>
      </c>
      <c r="O69" s="125"/>
      <c r="P69" s="83">
        <f t="shared" si="60"/>
        <v>0</v>
      </c>
      <c r="Q69" s="83">
        <f t="shared" si="61"/>
        <v>0</v>
      </c>
      <c r="R69" s="83">
        <f t="shared" si="62"/>
        <v>0</v>
      </c>
      <c r="S69" s="83">
        <f t="shared" si="48"/>
        <v>0</v>
      </c>
      <c r="T69" s="89">
        <f t="shared" si="63"/>
        <v>0</v>
      </c>
      <c r="U69" s="125"/>
      <c r="V69" s="208">
        <f t="shared" si="22"/>
        <v>0</v>
      </c>
      <c r="W69" s="128"/>
      <c r="X69" s="128"/>
    </row>
    <row r="70" spans="1:24" ht="38.25" x14ac:dyDescent="0.2">
      <c r="A70" s="20"/>
      <c r="B70" s="20" t="s">
        <v>73</v>
      </c>
      <c r="C70" s="70"/>
      <c r="D70" s="70"/>
      <c r="E70" s="70"/>
      <c r="F70" s="70"/>
      <c r="G70" s="102"/>
      <c r="H70" s="102"/>
      <c r="I70" s="102"/>
      <c r="J70" s="102"/>
      <c r="K70" s="102"/>
      <c r="L70" s="142">
        <f t="shared" si="57"/>
        <v>0</v>
      </c>
      <c r="M70" s="142">
        <f t="shared" si="58"/>
        <v>0</v>
      </c>
      <c r="N70" s="142">
        <f t="shared" si="59"/>
        <v>0</v>
      </c>
      <c r="O70" s="125"/>
      <c r="P70" s="83">
        <f t="shared" si="60"/>
        <v>0</v>
      </c>
      <c r="Q70" s="83">
        <f t="shared" si="61"/>
        <v>0</v>
      </c>
      <c r="R70" s="83">
        <f t="shared" si="62"/>
        <v>0</v>
      </c>
      <c r="S70" s="83">
        <f t="shared" si="48"/>
        <v>0</v>
      </c>
      <c r="T70" s="89">
        <f t="shared" si="63"/>
        <v>0</v>
      </c>
      <c r="U70" s="125"/>
      <c r="V70" s="208">
        <f t="shared" si="22"/>
        <v>0</v>
      </c>
      <c r="W70" s="128"/>
      <c r="X70" s="128"/>
    </row>
    <row r="71" spans="1:24" s="43" customFormat="1" x14ac:dyDescent="0.2">
      <c r="A71" s="40" t="s">
        <v>74</v>
      </c>
      <c r="B71" s="40" t="s">
        <v>75</v>
      </c>
      <c r="C71" s="101">
        <f>SUM(C72:C81)</f>
        <v>3372000</v>
      </c>
      <c r="D71" s="101">
        <f t="shared" ref="D71:F71" si="68">SUM(D72:D81)</f>
        <v>2685000</v>
      </c>
      <c r="E71" s="101">
        <f t="shared" si="68"/>
        <v>2675000</v>
      </c>
      <c r="F71" s="101">
        <f t="shared" si="68"/>
        <v>2911000</v>
      </c>
      <c r="G71" s="101"/>
      <c r="H71" s="101">
        <f t="shared" ref="H71" si="69">SUM(H72:H81)</f>
        <v>1423663</v>
      </c>
      <c r="I71" s="101">
        <f t="shared" ref="I71" si="70">SUM(I72:I81)</f>
        <v>1993858</v>
      </c>
      <c r="J71" s="101">
        <f t="shared" ref="J71" si="71">SUM(J72:J81)</f>
        <v>2766488</v>
      </c>
      <c r="K71" s="101"/>
      <c r="L71" s="144">
        <f t="shared" si="57"/>
        <v>0.42220136417556348</v>
      </c>
      <c r="M71" s="144">
        <f t="shared" si="58"/>
        <v>0.74259143389199256</v>
      </c>
      <c r="N71" s="144">
        <f t="shared" si="59"/>
        <v>1.0342011214953271</v>
      </c>
      <c r="O71" s="127"/>
      <c r="P71" s="83">
        <f t="shared" si="60"/>
        <v>-687000</v>
      </c>
      <c r="Q71" s="83">
        <f t="shared" si="61"/>
        <v>-10000</v>
      </c>
      <c r="R71" s="83">
        <f t="shared" si="62"/>
        <v>236000</v>
      </c>
      <c r="S71" s="83">
        <f t="shared" si="48"/>
        <v>-461000</v>
      </c>
      <c r="T71" s="89">
        <f t="shared" si="63"/>
        <v>-0.1367141162514828</v>
      </c>
      <c r="U71" s="127"/>
      <c r="V71" s="208">
        <f t="shared" si="22"/>
        <v>236000</v>
      </c>
      <c r="W71" s="135"/>
      <c r="X71" s="135"/>
    </row>
    <row r="72" spans="1:24" x14ac:dyDescent="0.2">
      <c r="A72" s="20" t="s">
        <v>76</v>
      </c>
      <c r="B72" s="20" t="s">
        <v>77</v>
      </c>
      <c r="C72" s="70">
        <v>1780000</v>
      </c>
      <c r="D72" s="70">
        <v>1888000</v>
      </c>
      <c r="E72" s="150">
        <v>1888000</v>
      </c>
      <c r="F72" s="70">
        <v>1898000</v>
      </c>
      <c r="G72" s="102"/>
      <c r="H72" s="102">
        <v>979671</v>
      </c>
      <c r="I72" s="102">
        <v>1329866</v>
      </c>
      <c r="J72" s="102">
        <v>1753840</v>
      </c>
      <c r="K72" s="102"/>
      <c r="L72" s="143">
        <f t="shared" si="57"/>
        <v>0.55037696629213484</v>
      </c>
      <c r="M72" s="143">
        <f t="shared" si="58"/>
        <v>0.70437817796610169</v>
      </c>
      <c r="N72" s="143">
        <f t="shared" si="59"/>
        <v>0.92894067796610169</v>
      </c>
      <c r="O72" s="126"/>
      <c r="P72" s="83">
        <f t="shared" si="60"/>
        <v>108000</v>
      </c>
      <c r="Q72" s="83">
        <f t="shared" si="61"/>
        <v>0</v>
      </c>
      <c r="R72" s="83">
        <f t="shared" si="62"/>
        <v>10000</v>
      </c>
      <c r="S72" s="83">
        <f t="shared" si="48"/>
        <v>118000</v>
      </c>
      <c r="T72" s="89">
        <f t="shared" si="63"/>
        <v>6.6292134831460681E-2</v>
      </c>
      <c r="U72" s="126"/>
      <c r="V72" s="208">
        <f t="shared" si="22"/>
        <v>10000</v>
      </c>
      <c r="W72" s="128"/>
      <c r="X72" s="128"/>
    </row>
    <row r="73" spans="1:24" x14ac:dyDescent="0.2">
      <c r="A73" s="20"/>
      <c r="B73" s="20" t="s">
        <v>78</v>
      </c>
      <c r="C73" s="70"/>
      <c r="D73" s="70"/>
      <c r="E73" s="70"/>
      <c r="F73" s="70"/>
      <c r="G73" s="102"/>
      <c r="H73" s="102"/>
      <c r="I73" s="102"/>
      <c r="J73" s="102"/>
      <c r="K73" s="102"/>
      <c r="L73" s="142">
        <f t="shared" si="57"/>
        <v>0</v>
      </c>
      <c r="M73" s="142">
        <f t="shared" si="58"/>
        <v>0</v>
      </c>
      <c r="N73" s="142">
        <f t="shared" si="59"/>
        <v>0</v>
      </c>
      <c r="O73" s="125"/>
      <c r="P73" s="83">
        <f t="shared" si="60"/>
        <v>0</v>
      </c>
      <c r="Q73" s="83">
        <f t="shared" si="61"/>
        <v>0</v>
      </c>
      <c r="R73" s="83">
        <f t="shared" si="62"/>
        <v>0</v>
      </c>
      <c r="S73" s="83">
        <f t="shared" si="48"/>
        <v>0</v>
      </c>
      <c r="T73" s="89">
        <f t="shared" si="63"/>
        <v>0</v>
      </c>
      <c r="U73" s="125"/>
      <c r="V73" s="208">
        <f t="shared" si="22"/>
        <v>0</v>
      </c>
      <c r="W73" s="128"/>
      <c r="X73" s="128"/>
    </row>
    <row r="74" spans="1:24" x14ac:dyDescent="0.2">
      <c r="A74" s="20" t="s">
        <v>79</v>
      </c>
      <c r="B74" s="20" t="s">
        <v>80</v>
      </c>
      <c r="C74" s="70">
        <v>1568000</v>
      </c>
      <c r="D74" s="70">
        <v>773000</v>
      </c>
      <c r="E74" s="70">
        <v>773000</v>
      </c>
      <c r="F74" s="70">
        <v>981000</v>
      </c>
      <c r="G74" s="102"/>
      <c r="H74" s="102">
        <v>442000</v>
      </c>
      <c r="I74" s="102">
        <v>662000</v>
      </c>
      <c r="J74" s="102">
        <v>981000</v>
      </c>
      <c r="K74" s="102"/>
      <c r="L74" s="143">
        <f t="shared" si="57"/>
        <v>0.28188775510204084</v>
      </c>
      <c r="M74" s="143">
        <f t="shared" si="58"/>
        <v>0.85640362225097022</v>
      </c>
      <c r="N74" s="143">
        <f t="shared" si="59"/>
        <v>1.2690815006468306</v>
      </c>
      <c r="O74" s="126"/>
      <c r="P74" s="83">
        <f t="shared" si="60"/>
        <v>-795000</v>
      </c>
      <c r="Q74" s="83">
        <f t="shared" si="61"/>
        <v>0</v>
      </c>
      <c r="R74" s="83">
        <f t="shared" si="62"/>
        <v>208000</v>
      </c>
      <c r="S74" s="83">
        <f t="shared" si="48"/>
        <v>-587000</v>
      </c>
      <c r="T74" s="89">
        <f t="shared" si="63"/>
        <v>-0.37436224489795916</v>
      </c>
      <c r="U74" s="126"/>
      <c r="V74" s="208">
        <f t="shared" si="22"/>
        <v>208000</v>
      </c>
      <c r="W74" s="128"/>
      <c r="X74" s="128"/>
    </row>
    <row r="75" spans="1:24" ht="25.5" x14ac:dyDescent="0.2">
      <c r="A75" s="20"/>
      <c r="B75" s="20" t="s">
        <v>101</v>
      </c>
      <c r="C75" s="70"/>
      <c r="D75" s="70"/>
      <c r="E75" s="70"/>
      <c r="F75" s="70"/>
      <c r="G75" s="102"/>
      <c r="H75" s="102"/>
      <c r="I75" s="102"/>
      <c r="J75" s="102"/>
      <c r="K75" s="102"/>
      <c r="L75" s="142">
        <f t="shared" si="57"/>
        <v>0</v>
      </c>
      <c r="M75" s="142">
        <f t="shared" si="58"/>
        <v>0</v>
      </c>
      <c r="N75" s="142">
        <f t="shared" si="59"/>
        <v>0</v>
      </c>
      <c r="O75" s="125"/>
      <c r="P75" s="83">
        <f t="shared" si="60"/>
        <v>0</v>
      </c>
      <c r="Q75" s="83">
        <f t="shared" si="61"/>
        <v>0</v>
      </c>
      <c r="R75" s="83">
        <f t="shared" si="62"/>
        <v>0</v>
      </c>
      <c r="S75" s="83">
        <f t="shared" si="48"/>
        <v>0</v>
      </c>
      <c r="T75" s="89">
        <f t="shared" si="63"/>
        <v>0</v>
      </c>
      <c r="U75" s="125"/>
      <c r="V75" s="208">
        <f t="shared" si="22"/>
        <v>0</v>
      </c>
      <c r="W75" s="128"/>
      <c r="X75" s="128"/>
    </row>
    <row r="76" spans="1:24" x14ac:dyDescent="0.2">
      <c r="A76" s="20" t="s">
        <v>81</v>
      </c>
      <c r="B76" s="20" t="s">
        <v>82</v>
      </c>
      <c r="C76" s="70"/>
      <c r="D76" s="70"/>
      <c r="E76" s="70"/>
      <c r="F76" s="70"/>
      <c r="G76" s="102"/>
      <c r="H76" s="102"/>
      <c r="I76" s="102"/>
      <c r="J76" s="102"/>
      <c r="K76" s="102"/>
      <c r="L76" s="142">
        <f t="shared" si="57"/>
        <v>0</v>
      </c>
      <c r="M76" s="142">
        <f t="shared" si="58"/>
        <v>0</v>
      </c>
      <c r="N76" s="142">
        <f t="shared" si="59"/>
        <v>0</v>
      </c>
      <c r="O76" s="125"/>
      <c r="P76" s="83">
        <f t="shared" si="60"/>
        <v>0</v>
      </c>
      <c r="Q76" s="83">
        <f t="shared" si="61"/>
        <v>0</v>
      </c>
      <c r="R76" s="83">
        <f t="shared" si="62"/>
        <v>0</v>
      </c>
      <c r="S76" s="83">
        <f t="shared" si="48"/>
        <v>0</v>
      </c>
      <c r="T76" s="89">
        <f t="shared" si="63"/>
        <v>0</v>
      </c>
      <c r="U76" s="125"/>
      <c r="V76" s="208">
        <f t="shared" si="22"/>
        <v>0</v>
      </c>
      <c r="W76" s="128"/>
      <c r="X76" s="128"/>
    </row>
    <row r="77" spans="1:24" ht="25.5" x14ac:dyDescent="0.2">
      <c r="A77" s="20"/>
      <c r="B77" s="20" t="s">
        <v>83</v>
      </c>
      <c r="C77" s="70"/>
      <c r="D77" s="70"/>
      <c r="E77" s="70"/>
      <c r="F77" s="70"/>
      <c r="G77" s="102"/>
      <c r="H77" s="102"/>
      <c r="I77" s="102"/>
      <c r="J77" s="102"/>
      <c r="K77" s="102"/>
      <c r="L77" s="142">
        <f t="shared" si="57"/>
        <v>0</v>
      </c>
      <c r="M77" s="142">
        <f t="shared" si="58"/>
        <v>0</v>
      </c>
      <c r="N77" s="142">
        <f t="shared" si="59"/>
        <v>0</v>
      </c>
      <c r="O77" s="125"/>
      <c r="P77" s="83">
        <f t="shared" si="60"/>
        <v>0</v>
      </c>
      <c r="Q77" s="83">
        <f t="shared" si="61"/>
        <v>0</v>
      </c>
      <c r="R77" s="83">
        <f t="shared" si="62"/>
        <v>0</v>
      </c>
      <c r="S77" s="83">
        <f t="shared" si="48"/>
        <v>0</v>
      </c>
      <c r="T77" s="89">
        <f t="shared" si="63"/>
        <v>0</v>
      </c>
      <c r="U77" s="125"/>
      <c r="V77" s="208">
        <f t="shared" ref="V77" si="72">+S77-E77+C77</f>
        <v>0</v>
      </c>
      <c r="W77" s="128"/>
      <c r="X77" s="128"/>
    </row>
    <row r="78" spans="1:24" x14ac:dyDescent="0.2">
      <c r="A78" s="20" t="s">
        <v>84</v>
      </c>
      <c r="B78" s="20" t="s">
        <v>85</v>
      </c>
      <c r="C78" s="70"/>
      <c r="D78" s="70"/>
      <c r="E78" s="70"/>
      <c r="F78" s="70"/>
      <c r="G78" s="102"/>
      <c r="H78" s="102"/>
      <c r="I78" s="102"/>
      <c r="J78" s="102"/>
      <c r="K78" s="102"/>
      <c r="L78" s="142">
        <f t="shared" si="57"/>
        <v>0</v>
      </c>
      <c r="M78" s="142">
        <f t="shared" si="58"/>
        <v>0</v>
      </c>
      <c r="N78" s="142">
        <f t="shared" si="59"/>
        <v>0</v>
      </c>
      <c r="O78" s="125"/>
      <c r="P78" s="83">
        <f t="shared" si="60"/>
        <v>0</v>
      </c>
      <c r="Q78" s="83">
        <f t="shared" si="61"/>
        <v>0</v>
      </c>
      <c r="R78" s="83">
        <f t="shared" si="62"/>
        <v>0</v>
      </c>
      <c r="S78" s="83">
        <f t="shared" si="48"/>
        <v>0</v>
      </c>
      <c r="T78" s="89">
        <f t="shared" si="63"/>
        <v>0</v>
      </c>
      <c r="U78" s="125"/>
      <c r="V78" s="208">
        <f t="shared" ref="V78:V95" si="73">+S78-E78+C78</f>
        <v>0</v>
      </c>
      <c r="W78" s="128"/>
      <c r="X78" s="128"/>
    </row>
    <row r="79" spans="1:24" x14ac:dyDescent="0.2">
      <c r="A79" s="20"/>
      <c r="B79" s="20" t="s">
        <v>86</v>
      </c>
      <c r="C79" s="70"/>
      <c r="D79" s="70"/>
      <c r="E79" s="70"/>
      <c r="F79" s="70"/>
      <c r="G79" s="102"/>
      <c r="H79" s="102"/>
      <c r="I79" s="102"/>
      <c r="J79" s="102"/>
      <c r="K79" s="102"/>
      <c r="L79" s="142">
        <f t="shared" si="57"/>
        <v>0</v>
      </c>
      <c r="M79" s="142">
        <f t="shared" si="58"/>
        <v>0</v>
      </c>
      <c r="N79" s="142">
        <f t="shared" si="59"/>
        <v>0</v>
      </c>
      <c r="O79" s="125"/>
      <c r="P79" s="83">
        <f t="shared" si="60"/>
        <v>0</v>
      </c>
      <c r="Q79" s="83">
        <f t="shared" si="61"/>
        <v>0</v>
      </c>
      <c r="R79" s="83">
        <f t="shared" si="62"/>
        <v>0</v>
      </c>
      <c r="S79" s="83">
        <f t="shared" si="48"/>
        <v>0</v>
      </c>
      <c r="T79" s="89">
        <f t="shared" si="63"/>
        <v>0</v>
      </c>
      <c r="U79" s="125"/>
      <c r="V79" s="208">
        <f t="shared" si="73"/>
        <v>0</v>
      </c>
      <c r="W79" s="128"/>
      <c r="X79" s="128"/>
    </row>
    <row r="80" spans="1:24" x14ac:dyDescent="0.2">
      <c r="A80" s="20" t="s">
        <v>87</v>
      </c>
      <c r="B80" s="20" t="s">
        <v>88</v>
      </c>
      <c r="C80" s="70">
        <v>24000</v>
      </c>
      <c r="D80" s="70">
        <v>24000</v>
      </c>
      <c r="E80" s="150">
        <v>14000</v>
      </c>
      <c r="F80" s="70">
        <v>32000</v>
      </c>
      <c r="G80" s="102"/>
      <c r="H80" s="102">
        <v>1992</v>
      </c>
      <c r="I80" s="102">
        <v>1992</v>
      </c>
      <c r="J80" s="102">
        <v>31648</v>
      </c>
      <c r="K80" s="102"/>
      <c r="L80" s="143">
        <f t="shared" si="57"/>
        <v>8.3000000000000004E-2</v>
      </c>
      <c r="M80" s="143">
        <f t="shared" si="58"/>
        <v>8.3000000000000004E-2</v>
      </c>
      <c r="N80" s="143">
        <f t="shared" si="59"/>
        <v>2.2605714285714287</v>
      </c>
      <c r="O80" s="126"/>
      <c r="P80" s="83">
        <f t="shared" si="60"/>
        <v>0</v>
      </c>
      <c r="Q80" s="83">
        <f t="shared" si="61"/>
        <v>-10000</v>
      </c>
      <c r="R80" s="83">
        <f t="shared" si="62"/>
        <v>18000</v>
      </c>
      <c r="S80" s="83">
        <f t="shared" si="48"/>
        <v>8000</v>
      </c>
      <c r="T80" s="89">
        <f t="shared" si="63"/>
        <v>0.33333333333333331</v>
      </c>
      <c r="U80" s="126"/>
      <c r="V80" s="208">
        <f t="shared" si="73"/>
        <v>18000</v>
      </c>
      <c r="W80" s="128"/>
      <c r="X80" s="128"/>
    </row>
    <row r="81" spans="1:26" ht="38.450000000000003" customHeight="1" x14ac:dyDescent="0.2">
      <c r="A81" s="20"/>
      <c r="B81" s="20" t="s">
        <v>92</v>
      </c>
      <c r="C81" s="70"/>
      <c r="D81" s="70"/>
      <c r="E81" s="70"/>
      <c r="F81" s="70"/>
      <c r="G81" s="102"/>
      <c r="H81" s="102"/>
      <c r="I81" s="102"/>
      <c r="J81" s="102"/>
      <c r="K81" s="102"/>
      <c r="L81" s="142">
        <f t="shared" si="57"/>
        <v>0</v>
      </c>
      <c r="M81" s="142">
        <f t="shared" si="58"/>
        <v>0</v>
      </c>
      <c r="N81" s="142">
        <f t="shared" si="59"/>
        <v>0</v>
      </c>
      <c r="O81" s="125"/>
      <c r="P81" s="83">
        <f t="shared" si="60"/>
        <v>0</v>
      </c>
      <c r="Q81" s="83">
        <f t="shared" si="61"/>
        <v>0</v>
      </c>
      <c r="R81" s="83">
        <f t="shared" si="62"/>
        <v>0</v>
      </c>
      <c r="S81" s="83">
        <f t="shared" si="48"/>
        <v>0</v>
      </c>
      <c r="T81" s="89">
        <f t="shared" si="63"/>
        <v>0</v>
      </c>
      <c r="U81" s="125"/>
      <c r="V81" s="208">
        <f t="shared" si="73"/>
        <v>0</v>
      </c>
      <c r="W81" s="128"/>
      <c r="X81" s="128"/>
      <c r="Y81" s="2"/>
    </row>
    <row r="82" spans="1:26" x14ac:dyDescent="0.2">
      <c r="A82" s="20"/>
      <c r="B82" s="14"/>
      <c r="C82" s="70"/>
      <c r="D82" s="99"/>
      <c r="E82" s="99"/>
      <c r="F82" s="99"/>
      <c r="G82" s="100"/>
      <c r="H82" s="100"/>
      <c r="I82" s="100"/>
      <c r="J82" s="100"/>
      <c r="K82" s="100"/>
      <c r="L82" s="142"/>
      <c r="M82" s="142"/>
      <c r="N82" s="142"/>
      <c r="O82" s="125"/>
      <c r="P82" s="83"/>
      <c r="Q82" s="83"/>
      <c r="R82" s="83"/>
      <c r="S82" s="83"/>
      <c r="T82" s="89"/>
      <c r="U82" s="125"/>
      <c r="V82" s="208">
        <f t="shared" si="73"/>
        <v>0</v>
      </c>
      <c r="W82" s="128"/>
      <c r="X82" s="128"/>
    </row>
    <row r="83" spans="1:26" x14ac:dyDescent="0.2">
      <c r="A83" s="3" t="s">
        <v>158</v>
      </c>
      <c r="B83" s="3" t="s">
        <v>159</v>
      </c>
      <c r="C83" s="95">
        <f>SUM(C84:C85)</f>
        <v>52000</v>
      </c>
      <c r="D83" s="95">
        <f t="shared" ref="D83:F83" si="74">SUM(D84:D85)</f>
        <v>52000</v>
      </c>
      <c r="E83" s="95">
        <f t="shared" si="74"/>
        <v>52000</v>
      </c>
      <c r="F83" s="95">
        <f t="shared" si="74"/>
        <v>52000</v>
      </c>
      <c r="G83" s="96"/>
      <c r="H83" s="95">
        <f t="shared" ref="H83:J83" si="75">SUM(H84:H85)</f>
        <v>0</v>
      </c>
      <c r="I83" s="95">
        <f t="shared" si="75"/>
        <v>0</v>
      </c>
      <c r="J83" s="95">
        <f t="shared" si="75"/>
        <v>23000</v>
      </c>
      <c r="K83" s="96"/>
      <c r="L83" s="89">
        <f t="shared" ref="L83:L84" si="76">IF(H83&gt;0,H83/C83,0)</f>
        <v>0</v>
      </c>
      <c r="M83" s="89">
        <f t="shared" ref="M83:M84" si="77">IF(I83&gt;0,I83/D83,0)</f>
        <v>0</v>
      </c>
      <c r="N83" s="89">
        <f t="shared" ref="N83:N84" si="78">IF(J83&gt;0,J83/E83,0)</f>
        <v>0.44230769230769229</v>
      </c>
      <c r="O83" s="124"/>
      <c r="P83" s="96">
        <f t="shared" ref="P83:P84" si="79">+(D83-C83)*P$10</f>
        <v>0</v>
      </c>
      <c r="Q83" s="96">
        <f t="shared" ref="Q83:Q84" si="80">+(E83-D83)*Q$10</f>
        <v>0</v>
      </c>
      <c r="R83" s="96">
        <f t="shared" ref="R83:R84" si="81">+(F83-E83)*R$10</f>
        <v>0</v>
      </c>
      <c r="S83" s="96">
        <f t="shared" ref="S83:S84" si="82">SUM(P83:R83)</f>
        <v>0</v>
      </c>
      <c r="T83" s="215">
        <f>IF(C83=0,0,+S83/C83)</f>
        <v>0</v>
      </c>
      <c r="U83" s="124"/>
      <c r="V83" s="208">
        <f t="shared" ref="V83:V88" si="83">+S83-E83+C83</f>
        <v>0</v>
      </c>
      <c r="W83" s="128"/>
      <c r="X83" s="128"/>
      <c r="Y83" s="2"/>
      <c r="Z83" s="2"/>
    </row>
    <row r="84" spans="1:26" x14ac:dyDescent="0.2">
      <c r="A84" s="20"/>
      <c r="B84" s="20"/>
      <c r="C84" s="295">
        <v>52000</v>
      </c>
      <c r="D84" s="295">
        <v>52000</v>
      </c>
      <c r="E84" s="295">
        <f>47000+5000</f>
        <v>52000</v>
      </c>
      <c r="F84" s="295">
        <v>52000</v>
      </c>
      <c r="G84" s="327"/>
      <c r="H84" s="327">
        <v>0</v>
      </c>
      <c r="I84" s="327">
        <v>0</v>
      </c>
      <c r="J84" s="327">
        <v>23000</v>
      </c>
      <c r="K84" s="100"/>
      <c r="L84" s="143">
        <f t="shared" si="76"/>
        <v>0</v>
      </c>
      <c r="M84" s="143">
        <f t="shared" si="77"/>
        <v>0</v>
      </c>
      <c r="N84" s="143">
        <f t="shared" si="78"/>
        <v>0.44230769230769229</v>
      </c>
      <c r="O84" s="126"/>
      <c r="P84" s="83">
        <f t="shared" si="79"/>
        <v>0</v>
      </c>
      <c r="Q84" s="83">
        <f t="shared" si="80"/>
        <v>0</v>
      </c>
      <c r="R84" s="83">
        <f t="shared" si="81"/>
        <v>0</v>
      </c>
      <c r="S84" s="83">
        <f t="shared" si="82"/>
        <v>0</v>
      </c>
      <c r="T84" s="89">
        <f>IF(C84=0,0,+S84/C84)</f>
        <v>0</v>
      </c>
      <c r="U84" s="126"/>
      <c r="V84" s="208">
        <f t="shared" si="83"/>
        <v>0</v>
      </c>
      <c r="W84" s="128"/>
      <c r="X84" s="128"/>
      <c r="Y84" s="59"/>
    </row>
    <row r="85" spans="1:26" x14ac:dyDescent="0.2">
      <c r="A85" s="20"/>
      <c r="B85" s="14"/>
      <c r="C85" s="70"/>
      <c r="D85" s="99"/>
      <c r="E85" s="99"/>
      <c r="F85" s="99"/>
      <c r="G85" s="100"/>
      <c r="H85" s="100"/>
      <c r="I85" s="100"/>
      <c r="J85" s="100"/>
      <c r="K85" s="100"/>
      <c r="L85" s="142"/>
      <c r="M85" s="142"/>
      <c r="N85" s="142"/>
      <c r="O85" s="125"/>
      <c r="P85" s="83"/>
      <c r="Q85" s="83"/>
      <c r="R85" s="83"/>
      <c r="S85" s="83"/>
      <c r="T85" s="89"/>
      <c r="U85" s="125"/>
      <c r="V85" s="208">
        <f t="shared" si="83"/>
        <v>0</v>
      </c>
      <c r="W85" s="128"/>
      <c r="X85" s="128"/>
    </row>
    <row r="86" spans="1:26" x14ac:dyDescent="0.2">
      <c r="A86" s="3" t="s">
        <v>173</v>
      </c>
      <c r="B86" s="3" t="s">
        <v>174</v>
      </c>
      <c r="C86" s="95">
        <f>SUM(C87:C88)</f>
        <v>0</v>
      </c>
      <c r="D86" s="95">
        <f t="shared" ref="D86:F86" si="84">SUM(D87:D88)</f>
        <v>0</v>
      </c>
      <c r="E86" s="95">
        <f t="shared" si="84"/>
        <v>0</v>
      </c>
      <c r="F86" s="95">
        <f t="shared" si="84"/>
        <v>0</v>
      </c>
      <c r="G86" s="96"/>
      <c r="H86" s="95">
        <f t="shared" ref="H86:J86" si="85">SUM(H87:H88)</f>
        <v>0</v>
      </c>
      <c r="I86" s="95">
        <f t="shared" si="85"/>
        <v>0</v>
      </c>
      <c r="J86" s="95">
        <f t="shared" si="85"/>
        <v>0</v>
      </c>
      <c r="K86" s="96"/>
      <c r="L86" s="89">
        <f t="shared" ref="L86:L87" si="86">IF(H86&gt;0,H86/C86,0)</f>
        <v>0</v>
      </c>
      <c r="M86" s="89">
        <f t="shared" ref="M86:M87" si="87">IF(I86&gt;0,I86/D86,0)</f>
        <v>0</v>
      </c>
      <c r="N86" s="89">
        <f t="shared" ref="N86:N87" si="88">IF(J86&gt;0,J86/E86,0)</f>
        <v>0</v>
      </c>
      <c r="O86" s="124"/>
      <c r="P86" s="96">
        <f t="shared" ref="P86:P87" si="89">+(D86-C86)*P$10</f>
        <v>0</v>
      </c>
      <c r="Q86" s="96">
        <f t="shared" ref="Q86:Q87" si="90">+(E86-D86)*Q$10</f>
        <v>0</v>
      </c>
      <c r="R86" s="96">
        <f t="shared" ref="R86:R87" si="91">+(F86-E86)*R$10</f>
        <v>0</v>
      </c>
      <c r="S86" s="96">
        <f t="shared" ref="S86:S87" si="92">SUM(P86:R86)</f>
        <v>0</v>
      </c>
      <c r="T86" s="215">
        <f>IF(C86=0,0,+S86/C86)</f>
        <v>0</v>
      </c>
      <c r="U86" s="124"/>
      <c r="V86" s="208">
        <f t="shared" si="83"/>
        <v>0</v>
      </c>
      <c r="W86" s="128"/>
      <c r="X86" s="128"/>
      <c r="Y86" s="2"/>
      <c r="Z86" s="2"/>
    </row>
    <row r="87" spans="1:26" x14ac:dyDescent="0.2">
      <c r="A87" s="20"/>
      <c r="B87" s="20"/>
      <c r="C87" s="295"/>
      <c r="D87" s="295"/>
      <c r="E87" s="295"/>
      <c r="F87" s="295"/>
      <c r="G87" s="327"/>
      <c r="H87" s="327"/>
      <c r="I87" s="327"/>
      <c r="J87" s="327"/>
      <c r="K87" s="100"/>
      <c r="L87" s="143">
        <f t="shared" si="86"/>
        <v>0</v>
      </c>
      <c r="M87" s="143">
        <f t="shared" si="87"/>
        <v>0</v>
      </c>
      <c r="N87" s="143">
        <f t="shared" si="88"/>
        <v>0</v>
      </c>
      <c r="O87" s="126"/>
      <c r="P87" s="83">
        <f t="shared" si="89"/>
        <v>0</v>
      </c>
      <c r="Q87" s="83">
        <f t="shared" si="90"/>
        <v>0</v>
      </c>
      <c r="R87" s="83">
        <f t="shared" si="91"/>
        <v>0</v>
      </c>
      <c r="S87" s="83">
        <f t="shared" si="92"/>
        <v>0</v>
      </c>
      <c r="T87" s="89">
        <f>IF(C87=0,0,+S87/C87)</f>
        <v>0</v>
      </c>
      <c r="U87" s="126"/>
      <c r="V87" s="208">
        <f t="shared" si="83"/>
        <v>0</v>
      </c>
      <c r="W87" s="128"/>
      <c r="X87" s="128"/>
      <c r="Y87" s="59"/>
    </row>
    <row r="88" spans="1:26" x14ac:dyDescent="0.2">
      <c r="A88" s="20"/>
      <c r="B88" s="14"/>
      <c r="C88" s="70"/>
      <c r="D88" s="99"/>
      <c r="E88" s="99"/>
      <c r="F88" s="99"/>
      <c r="G88" s="100"/>
      <c r="H88" s="100"/>
      <c r="I88" s="100"/>
      <c r="J88" s="100"/>
      <c r="K88" s="100"/>
      <c r="L88" s="142"/>
      <c r="M88" s="142"/>
      <c r="N88" s="142"/>
      <c r="O88" s="125"/>
      <c r="P88" s="83"/>
      <c r="Q88" s="83"/>
      <c r="R88" s="83"/>
      <c r="S88" s="83"/>
      <c r="T88" s="89"/>
      <c r="U88" s="125"/>
      <c r="V88" s="208">
        <f t="shared" si="83"/>
        <v>0</v>
      </c>
      <c r="W88" s="128"/>
      <c r="X88" s="128"/>
    </row>
    <row r="89" spans="1:26" x14ac:dyDescent="0.2">
      <c r="A89" s="3"/>
      <c r="B89" s="3" t="s">
        <v>378</v>
      </c>
      <c r="C89" s="95">
        <f>C13+C32+C29+C83+C86</f>
        <v>36750000</v>
      </c>
      <c r="D89" s="95">
        <f t="shared" ref="D89:J89" si="93">D13+D32+D29+D83+D86</f>
        <v>37159000</v>
      </c>
      <c r="E89" s="95">
        <f t="shared" si="93"/>
        <v>37159000</v>
      </c>
      <c r="F89" s="95">
        <f t="shared" si="93"/>
        <v>37225000</v>
      </c>
      <c r="G89" s="95"/>
      <c r="H89" s="95">
        <f t="shared" si="93"/>
        <v>17640024</v>
      </c>
      <c r="I89" s="95">
        <f t="shared" si="93"/>
        <v>26250389</v>
      </c>
      <c r="J89" s="95">
        <f t="shared" si="93"/>
        <v>35167699</v>
      </c>
      <c r="K89" s="96"/>
      <c r="L89" s="89">
        <f t="shared" si="57"/>
        <v>0.48000065306122447</v>
      </c>
      <c r="M89" s="89">
        <f t="shared" si="58"/>
        <v>0.70643421512957827</v>
      </c>
      <c r="N89" s="89">
        <f t="shared" si="59"/>
        <v>0.94641134045587882</v>
      </c>
      <c r="O89" s="124"/>
      <c r="P89" s="96">
        <f t="shared" si="60"/>
        <v>409000</v>
      </c>
      <c r="Q89" s="96">
        <f t="shared" si="61"/>
        <v>0</v>
      </c>
      <c r="R89" s="96">
        <f t="shared" si="62"/>
        <v>66000</v>
      </c>
      <c r="S89" s="96">
        <f t="shared" si="48"/>
        <v>475000</v>
      </c>
      <c r="T89" s="215">
        <f t="shared" si="63"/>
        <v>1.292517006802721E-2</v>
      </c>
      <c r="U89" s="124"/>
      <c r="V89" s="208">
        <f t="shared" si="73"/>
        <v>66000</v>
      </c>
      <c r="W89" s="128"/>
      <c r="X89" s="128"/>
    </row>
    <row r="90" spans="1:26" ht="10.35" customHeight="1" x14ac:dyDescent="0.2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73"/>
        <v>0</v>
      </c>
      <c r="W90" s="128"/>
      <c r="X90" s="128"/>
    </row>
    <row r="91" spans="1:26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6" ht="10.35" customHeight="1" x14ac:dyDescent="0.2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6" s="43" customFormat="1" x14ac:dyDescent="0.2">
      <c r="A93" s="4" t="s">
        <v>241</v>
      </c>
      <c r="B93" s="3" t="s">
        <v>242</v>
      </c>
      <c r="C93" s="68">
        <f>SUM(C94:C94)</f>
        <v>0</v>
      </c>
      <c r="D93" s="68">
        <f>SUM(D94:D94)</f>
        <v>0</v>
      </c>
      <c r="E93" s="68">
        <f>SUM(E94:E94)</f>
        <v>0</v>
      </c>
      <c r="F93" s="68">
        <f>SUM(F94:F94)</f>
        <v>0</v>
      </c>
      <c r="G93" s="68"/>
      <c r="H93" s="68">
        <f>SUM(H94:H94)</f>
        <v>0</v>
      </c>
      <c r="I93" s="68">
        <f>SUM(I94:I94)</f>
        <v>0</v>
      </c>
      <c r="J93" s="68">
        <f>SUM(J94:J94)</f>
        <v>0</v>
      </c>
      <c r="K93" s="68"/>
      <c r="L93" s="89">
        <f t="shared" ref="L93:L94" si="94">IF(H93&gt;0,H93/C93,0)</f>
        <v>0</v>
      </c>
      <c r="M93" s="89">
        <f t="shared" ref="M93:M94" si="95">IF(I93&gt;0,I93/D93,0)</f>
        <v>0</v>
      </c>
      <c r="N93" s="89">
        <f t="shared" ref="N93:N94" si="96">IF(J93&gt;0,J93/E93,0)</f>
        <v>0</v>
      </c>
      <c r="O93" s="32"/>
      <c r="P93" s="68">
        <f t="shared" ref="P93:P94" si="97">+(D93-C93)*P$10</f>
        <v>0</v>
      </c>
      <c r="Q93" s="68">
        <f t="shared" ref="Q93:Q94" si="98">+(E93-D93)*Q$10</f>
        <v>0</v>
      </c>
      <c r="R93" s="68">
        <f t="shared" ref="R93:R94" si="99">+(F93-E93)*R$10</f>
        <v>0</v>
      </c>
      <c r="S93" s="68">
        <f t="shared" ref="S93:S94" si="100">SUM(P93:R93)</f>
        <v>0</v>
      </c>
      <c r="T93" s="214">
        <f t="shared" ref="T93:T94" si="101">IF(C93=0,0,+S93/C93)</f>
        <v>0</v>
      </c>
      <c r="U93" s="124"/>
      <c r="V93" s="208">
        <f t="shared" si="73"/>
        <v>0</v>
      </c>
      <c r="W93" s="135"/>
      <c r="X93" s="135"/>
    </row>
    <row r="94" spans="1:26" x14ac:dyDescent="0.2">
      <c r="A94" s="14"/>
      <c r="B94" s="20"/>
      <c r="C94" s="149"/>
      <c r="D94" s="149"/>
      <c r="E94" s="495"/>
      <c r="F94" s="73"/>
      <c r="G94" s="123"/>
      <c r="H94" s="102"/>
      <c r="I94" s="102"/>
      <c r="J94" s="102"/>
      <c r="K94" s="123"/>
      <c r="L94" s="143">
        <f t="shared" si="94"/>
        <v>0</v>
      </c>
      <c r="M94" s="143">
        <f t="shared" si="95"/>
        <v>0</v>
      </c>
      <c r="N94" s="143">
        <f t="shared" si="96"/>
        <v>0</v>
      </c>
      <c r="O94" s="126"/>
      <c r="P94" s="83">
        <f t="shared" si="97"/>
        <v>0</v>
      </c>
      <c r="Q94" s="83">
        <f t="shared" si="98"/>
        <v>0</v>
      </c>
      <c r="R94" s="83">
        <f t="shared" si="99"/>
        <v>0</v>
      </c>
      <c r="S94" s="83">
        <f t="shared" si="100"/>
        <v>0</v>
      </c>
      <c r="T94" s="89">
        <f t="shared" si="101"/>
        <v>0</v>
      </c>
      <c r="U94" s="126"/>
      <c r="V94" s="208">
        <f>+S94-E94+C94</f>
        <v>0</v>
      </c>
      <c r="W94" s="128"/>
      <c r="X94" s="128"/>
    </row>
    <row r="95" spans="1:26" s="43" customFormat="1" x14ac:dyDescent="0.2">
      <c r="A95" s="4" t="s">
        <v>284</v>
      </c>
      <c r="B95" s="3" t="s">
        <v>285</v>
      </c>
      <c r="C95" s="68">
        <f>SUM(C96:C98)</f>
        <v>8135000</v>
      </c>
      <c r="D95" s="68">
        <f>SUM(D96:D98)</f>
        <v>8135000</v>
      </c>
      <c r="E95" s="68">
        <f>SUM(E96:E98)</f>
        <v>8135000</v>
      </c>
      <c r="F95" s="68">
        <f>SUM(F96:F98)</f>
        <v>8201000</v>
      </c>
      <c r="G95" s="68"/>
      <c r="H95" s="68">
        <f>SUM(H96:H98)</f>
        <v>3968495</v>
      </c>
      <c r="I95" s="68">
        <f>+I96+I97+I98</f>
        <v>5851709</v>
      </c>
      <c r="J95" s="68">
        <f>+J96+J97+J98</f>
        <v>8169050</v>
      </c>
      <c r="K95" s="68"/>
      <c r="L95" s="89">
        <f t="shared" ref="L95:N102" si="102">IF(H95&gt;0,H95/C95,0)</f>
        <v>0.48782974800245849</v>
      </c>
      <c r="M95" s="89">
        <f t="shared" si="102"/>
        <v>0.7193250153657037</v>
      </c>
      <c r="N95" s="89">
        <f t="shared" si="102"/>
        <v>1.0041856177012907</v>
      </c>
      <c r="O95" s="32"/>
      <c r="P95" s="68">
        <f t="shared" ref="P95:R102" si="103">+(D95-C95)*P$10</f>
        <v>0</v>
      </c>
      <c r="Q95" s="68">
        <f t="shared" si="103"/>
        <v>0</v>
      </c>
      <c r="R95" s="68">
        <f t="shared" si="103"/>
        <v>66000</v>
      </c>
      <c r="S95" s="68">
        <f t="shared" ref="S95" si="104">SUM(P95:R95)</f>
        <v>66000</v>
      </c>
      <c r="T95" s="214">
        <f t="shared" ref="T95:T102" si="105">IF(C95=0,0,+S95/C95)</f>
        <v>8.1130915795943458E-3</v>
      </c>
      <c r="U95" s="124"/>
      <c r="V95" s="208">
        <f t="shared" si="73"/>
        <v>66000</v>
      </c>
      <c r="W95" s="135"/>
      <c r="X95" s="135"/>
    </row>
    <row r="96" spans="1:26" x14ac:dyDescent="0.2">
      <c r="A96" s="14" t="s">
        <v>296</v>
      </c>
      <c r="B96" s="20" t="s">
        <v>297</v>
      </c>
      <c r="C96" s="73">
        <v>6710000</v>
      </c>
      <c r="D96" s="73">
        <v>6704000</v>
      </c>
      <c r="E96" s="495">
        <v>6704000</v>
      </c>
      <c r="F96" s="73">
        <v>6770000</v>
      </c>
      <c r="G96" s="123"/>
      <c r="H96" s="102">
        <v>3312298</v>
      </c>
      <c r="I96" s="102">
        <v>4843460</v>
      </c>
      <c r="J96" s="102">
        <v>6741565</v>
      </c>
      <c r="K96" s="123"/>
      <c r="L96" s="143">
        <f t="shared" si="102"/>
        <v>0.49363606557377049</v>
      </c>
      <c r="M96" s="143">
        <f t="shared" si="102"/>
        <v>0.7224731503579952</v>
      </c>
      <c r="N96" s="143">
        <f t="shared" si="102"/>
        <v>1.0056033711217183</v>
      </c>
      <c r="O96" s="126"/>
      <c r="P96" s="83">
        <f t="shared" si="103"/>
        <v>-6000</v>
      </c>
      <c r="Q96" s="83">
        <f t="shared" si="103"/>
        <v>0</v>
      </c>
      <c r="R96" s="83">
        <f t="shared" si="103"/>
        <v>66000</v>
      </c>
      <c r="S96" s="83">
        <f t="shared" ref="S96" si="106">SUM(P96:R96)</f>
        <v>60000</v>
      </c>
      <c r="T96" s="89">
        <f t="shared" si="105"/>
        <v>8.9418777943368107E-3</v>
      </c>
      <c r="U96" s="126"/>
      <c r="V96" s="208">
        <f>+S96-E96+C96</f>
        <v>66000</v>
      </c>
      <c r="W96" s="128"/>
      <c r="X96" s="128"/>
    </row>
    <row r="97" spans="1:24" x14ac:dyDescent="0.2">
      <c r="A97" s="14" t="s">
        <v>299</v>
      </c>
      <c r="B97" s="20" t="s">
        <v>300</v>
      </c>
      <c r="C97" s="73">
        <v>1425000</v>
      </c>
      <c r="D97" s="73">
        <v>1425000</v>
      </c>
      <c r="E97" s="149">
        <v>1425000</v>
      </c>
      <c r="F97" s="73">
        <v>1425000</v>
      </c>
      <c r="G97" s="123"/>
      <c r="H97" s="102">
        <v>653629</v>
      </c>
      <c r="I97" s="102">
        <v>1005456</v>
      </c>
      <c r="J97" s="102">
        <v>1294981</v>
      </c>
      <c r="K97" s="123"/>
      <c r="L97" s="143">
        <f t="shared" si="102"/>
        <v>0.45868701754385965</v>
      </c>
      <c r="M97" s="143">
        <f t="shared" si="102"/>
        <v>0.7055831578947368</v>
      </c>
      <c r="N97" s="143">
        <f t="shared" si="102"/>
        <v>0.90875859649122803</v>
      </c>
      <c r="O97" s="126"/>
      <c r="P97" s="83">
        <f t="shared" si="103"/>
        <v>0</v>
      </c>
      <c r="Q97" s="83">
        <f t="shared" si="103"/>
        <v>0</v>
      </c>
      <c r="R97" s="83">
        <f t="shared" si="103"/>
        <v>0</v>
      </c>
      <c r="S97" s="83">
        <f t="shared" ref="S97:S102" si="107">SUM(P97:R97)</f>
        <v>0</v>
      </c>
      <c r="T97" s="89">
        <f t="shared" si="105"/>
        <v>0</v>
      </c>
      <c r="U97" s="126"/>
      <c r="V97" s="208">
        <f t="shared" ref="V97:V99" si="108">+S97-E97+C97</f>
        <v>0</v>
      </c>
      <c r="W97" s="128"/>
      <c r="X97" s="128"/>
    </row>
    <row r="98" spans="1:24" x14ac:dyDescent="0.2">
      <c r="A98" s="560" t="s">
        <v>471</v>
      </c>
      <c r="B98" s="513" t="s">
        <v>470</v>
      </c>
      <c r="C98" s="73">
        <v>0</v>
      </c>
      <c r="D98" s="73">
        <v>6000</v>
      </c>
      <c r="E98" s="149">
        <f>1000+5000</f>
        <v>6000</v>
      </c>
      <c r="F98" s="73">
        <v>6000</v>
      </c>
      <c r="G98" s="123"/>
      <c r="H98" s="102">
        <f>116+2452</f>
        <v>2568</v>
      </c>
      <c r="I98" s="102">
        <f>161+2632</f>
        <v>2793</v>
      </c>
      <c r="J98" s="102">
        <f>206+132298</f>
        <v>132504</v>
      </c>
      <c r="K98" s="123"/>
      <c r="L98" s="143" t="e">
        <f t="shared" si="102"/>
        <v>#DIV/0!</v>
      </c>
      <c r="M98" s="143">
        <f t="shared" si="102"/>
        <v>0.46550000000000002</v>
      </c>
      <c r="N98" s="143">
        <f t="shared" si="102"/>
        <v>22.084</v>
      </c>
      <c r="O98" s="126"/>
      <c r="P98" s="83">
        <f t="shared" si="103"/>
        <v>6000</v>
      </c>
      <c r="Q98" s="83">
        <f t="shared" si="103"/>
        <v>0</v>
      </c>
      <c r="R98" s="83">
        <f t="shared" si="103"/>
        <v>0</v>
      </c>
      <c r="S98" s="83">
        <f t="shared" si="107"/>
        <v>6000</v>
      </c>
      <c r="T98" s="89">
        <f t="shared" si="105"/>
        <v>0</v>
      </c>
      <c r="U98" s="126"/>
      <c r="V98" s="208">
        <f t="shared" si="108"/>
        <v>0</v>
      </c>
      <c r="W98" s="128"/>
      <c r="X98" s="128"/>
    </row>
    <row r="99" spans="1:24" s="43" customFormat="1" x14ac:dyDescent="0.2">
      <c r="A99" s="4" t="s">
        <v>333</v>
      </c>
      <c r="B99" s="3" t="s">
        <v>334</v>
      </c>
      <c r="C99" s="68">
        <f>SUM(C100:C101)</f>
        <v>28615000</v>
      </c>
      <c r="D99" s="68">
        <f t="shared" ref="D99:F99" si="109">SUM(D100:D101)</f>
        <v>29024000</v>
      </c>
      <c r="E99" s="72">
        <f t="shared" si="109"/>
        <v>29024000</v>
      </c>
      <c r="F99" s="68">
        <f t="shared" si="109"/>
        <v>29024000</v>
      </c>
      <c r="G99" s="68"/>
      <c r="H99" s="68">
        <f t="shared" ref="H99" si="110">SUM(H100:H101)</f>
        <v>16476846</v>
      </c>
      <c r="I99" s="68">
        <f t="shared" ref="I99" si="111">SUM(I100:I101)</f>
        <v>22724293</v>
      </c>
      <c r="J99" s="68">
        <f t="shared" ref="J99" si="112">SUM(J100:J101)</f>
        <v>28560423</v>
      </c>
      <c r="K99" s="68"/>
      <c r="L99" s="89">
        <f t="shared" si="102"/>
        <v>0.57581149746636384</v>
      </c>
      <c r="M99" s="89">
        <f t="shared" si="102"/>
        <v>0.78294835308710031</v>
      </c>
      <c r="N99" s="89">
        <f t="shared" si="102"/>
        <v>0.98402780457552375</v>
      </c>
      <c r="O99" s="32"/>
      <c r="P99" s="68">
        <f t="shared" si="103"/>
        <v>409000</v>
      </c>
      <c r="Q99" s="68">
        <f t="shared" si="103"/>
        <v>0</v>
      </c>
      <c r="R99" s="68">
        <f t="shared" si="103"/>
        <v>0</v>
      </c>
      <c r="S99" s="68">
        <f t="shared" si="107"/>
        <v>409000</v>
      </c>
      <c r="T99" s="214">
        <f t="shared" si="105"/>
        <v>1.4293202865629915E-2</v>
      </c>
      <c r="U99" s="124"/>
      <c r="V99" s="208">
        <f t="shared" si="108"/>
        <v>0</v>
      </c>
      <c r="W99" s="135"/>
      <c r="X99" s="135"/>
    </row>
    <row r="100" spans="1:24" x14ac:dyDescent="0.2">
      <c r="A100" s="14" t="s">
        <v>359</v>
      </c>
      <c r="B100" s="20" t="s">
        <v>389</v>
      </c>
      <c r="C100" s="73">
        <v>27728761</v>
      </c>
      <c r="D100" s="73">
        <v>28137761</v>
      </c>
      <c r="E100" s="495">
        <v>28137761</v>
      </c>
      <c r="F100" s="73">
        <v>28137761</v>
      </c>
      <c r="G100" s="123"/>
      <c r="H100" s="102">
        <v>15590607</v>
      </c>
      <c r="I100" s="102">
        <v>21838054</v>
      </c>
      <c r="J100" s="102">
        <v>27674184</v>
      </c>
      <c r="K100" s="123"/>
      <c r="L100" s="143">
        <f t="shared" si="102"/>
        <v>0.56225400767095224</v>
      </c>
      <c r="M100" s="143">
        <f t="shared" si="102"/>
        <v>0.77611200123563495</v>
      </c>
      <c r="N100" s="143">
        <f t="shared" si="102"/>
        <v>0.9835247374515691</v>
      </c>
      <c r="O100" s="126"/>
      <c r="P100" s="83">
        <f t="shared" si="103"/>
        <v>409000</v>
      </c>
      <c r="Q100" s="83">
        <f t="shared" si="103"/>
        <v>0</v>
      </c>
      <c r="R100" s="83">
        <f t="shared" si="103"/>
        <v>0</v>
      </c>
      <c r="S100" s="83">
        <f t="shared" si="107"/>
        <v>409000</v>
      </c>
      <c r="T100" s="89">
        <f t="shared" si="105"/>
        <v>1.4750027958335391E-2</v>
      </c>
      <c r="U100" s="126"/>
      <c r="V100" s="208">
        <f>+S100-E100+C100</f>
        <v>0</v>
      </c>
      <c r="W100" s="128"/>
      <c r="X100" s="128"/>
    </row>
    <row r="101" spans="1:24" ht="15.75" customHeight="1" x14ac:dyDescent="0.2">
      <c r="A101" s="14" t="s">
        <v>347</v>
      </c>
      <c r="B101" s="20" t="s">
        <v>348</v>
      </c>
      <c r="C101" s="151">
        <v>886239</v>
      </c>
      <c r="D101" s="70">
        <v>886239</v>
      </c>
      <c r="E101" s="187">
        <v>886239</v>
      </c>
      <c r="F101" s="70">
        <v>886239</v>
      </c>
      <c r="G101" s="102"/>
      <c r="H101" s="102">
        <v>886239</v>
      </c>
      <c r="I101" s="102">
        <v>886239</v>
      </c>
      <c r="J101" s="102">
        <v>886239</v>
      </c>
      <c r="K101" s="102"/>
      <c r="L101" s="142">
        <f t="shared" si="102"/>
        <v>1</v>
      </c>
      <c r="M101" s="142">
        <f t="shared" si="102"/>
        <v>1</v>
      </c>
      <c r="N101" s="142">
        <f t="shared" si="102"/>
        <v>1</v>
      </c>
      <c r="O101" s="125"/>
      <c r="P101" s="83">
        <f t="shared" si="103"/>
        <v>0</v>
      </c>
      <c r="Q101" s="83">
        <f t="shared" si="103"/>
        <v>0</v>
      </c>
      <c r="R101" s="83">
        <f t="shared" si="103"/>
        <v>0</v>
      </c>
      <c r="S101" s="83">
        <f t="shared" si="107"/>
        <v>0</v>
      </c>
      <c r="T101" s="89">
        <f t="shared" si="105"/>
        <v>0</v>
      </c>
      <c r="U101" s="125"/>
      <c r="V101" s="208">
        <f t="shared" ref="V101:V102" si="113">+S101-E101+C101</f>
        <v>0</v>
      </c>
      <c r="W101" s="128"/>
      <c r="X101" s="128"/>
    </row>
    <row r="102" spans="1:24" x14ac:dyDescent="0.2">
      <c r="A102" s="5"/>
      <c r="B102" s="5" t="s">
        <v>377</v>
      </c>
      <c r="C102" s="69">
        <f>+C95+C99+C93</f>
        <v>36750000</v>
      </c>
      <c r="D102" s="69">
        <f>+D95+D99+D93</f>
        <v>37159000</v>
      </c>
      <c r="E102" s="69">
        <f>+E95+E99+E93</f>
        <v>37159000</v>
      </c>
      <c r="F102" s="69">
        <f>+F95+F99+F93</f>
        <v>37225000</v>
      </c>
      <c r="G102" s="69"/>
      <c r="H102" s="69">
        <f>+H95+H99+H93</f>
        <v>20445341</v>
      </c>
      <c r="I102" s="69">
        <f>+I95+I99+I93</f>
        <v>28576002</v>
      </c>
      <c r="J102" s="69">
        <f>+J95+J99+J93</f>
        <v>36729473</v>
      </c>
      <c r="K102" s="69"/>
      <c r="L102" s="89">
        <f t="shared" si="102"/>
        <v>0.55633580952380957</v>
      </c>
      <c r="M102" s="89">
        <f t="shared" si="102"/>
        <v>0.76901967221938161</v>
      </c>
      <c r="N102" s="89">
        <f t="shared" si="102"/>
        <v>0.98844083532926075</v>
      </c>
      <c r="O102" s="32"/>
      <c r="P102" s="69">
        <f t="shared" si="103"/>
        <v>409000</v>
      </c>
      <c r="Q102" s="69">
        <f t="shared" si="103"/>
        <v>0</v>
      </c>
      <c r="R102" s="69">
        <f t="shared" si="103"/>
        <v>66000</v>
      </c>
      <c r="S102" s="69">
        <f t="shared" si="107"/>
        <v>475000</v>
      </c>
      <c r="T102" s="89">
        <f t="shared" si="105"/>
        <v>1.292517006802721E-2</v>
      </c>
      <c r="U102" s="124"/>
      <c r="V102" s="209">
        <f t="shared" si="113"/>
        <v>66000</v>
      </c>
      <c r="W102" s="128"/>
      <c r="X102" s="128"/>
    </row>
    <row r="103" spans="1:24" x14ac:dyDescent="0.2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P103" s="104"/>
      <c r="Q103" s="104"/>
      <c r="R103" s="104"/>
      <c r="S103" s="104"/>
      <c r="T103" s="104"/>
      <c r="W103" s="128"/>
      <c r="X103" s="128"/>
    </row>
    <row r="104" spans="1:24" x14ac:dyDescent="0.2">
      <c r="B104" s="25"/>
      <c r="C104" s="103"/>
      <c r="D104" s="104"/>
      <c r="E104" s="104"/>
      <c r="F104" s="104"/>
      <c r="G104" s="104"/>
      <c r="H104" s="104"/>
      <c r="I104" s="104"/>
      <c r="J104" s="104"/>
      <c r="K104" s="104"/>
      <c r="L104" s="19"/>
      <c r="M104" s="19"/>
      <c r="N104" s="19"/>
      <c r="O104" s="19"/>
      <c r="P104" s="104"/>
      <c r="Q104" s="104"/>
      <c r="R104" s="104"/>
      <c r="S104" s="104"/>
      <c r="T104" s="104"/>
      <c r="U104" s="19"/>
      <c r="V104" s="19"/>
      <c r="W104" s="128"/>
      <c r="X104" s="128"/>
    </row>
    <row r="105" spans="1:24" x14ac:dyDescent="0.2">
      <c r="B105" s="25"/>
      <c r="C105" s="103"/>
      <c r="D105" s="103"/>
      <c r="E105" s="104"/>
      <c r="F105" s="104"/>
      <c r="G105" s="104"/>
      <c r="H105" s="104"/>
      <c r="I105" s="104"/>
      <c r="J105" s="104"/>
      <c r="K105" s="104"/>
      <c r="P105" s="104"/>
      <c r="Q105" s="104"/>
      <c r="R105" s="104"/>
      <c r="S105" s="104"/>
      <c r="T105" s="104"/>
      <c r="W105" s="128"/>
      <c r="X105" s="128"/>
    </row>
    <row r="106" spans="1:24" x14ac:dyDescent="0.2">
      <c r="B106" s="25"/>
      <c r="C106" s="103"/>
      <c r="D106" s="104"/>
      <c r="E106" s="104"/>
      <c r="F106" s="104"/>
      <c r="G106" s="104"/>
      <c r="H106" s="104"/>
      <c r="I106" s="104"/>
      <c r="J106" s="104"/>
      <c r="K106" s="104"/>
    </row>
    <row r="107" spans="1:24" x14ac:dyDescent="0.2">
      <c r="A107" s="591"/>
      <c r="B107" s="61"/>
      <c r="C107" s="103"/>
      <c r="D107" s="103"/>
      <c r="E107" s="104"/>
      <c r="F107" s="104"/>
      <c r="G107" s="104"/>
      <c r="H107" s="104"/>
      <c r="K107" s="104"/>
    </row>
    <row r="108" spans="1:24" x14ac:dyDescent="0.2">
      <c r="A108" s="591"/>
      <c r="B108" s="61"/>
      <c r="C108" s="103"/>
      <c r="D108" s="103"/>
      <c r="E108" s="104"/>
      <c r="F108" s="104"/>
      <c r="G108" s="104"/>
      <c r="H108" s="104"/>
      <c r="K108" s="104"/>
    </row>
    <row r="109" spans="1:24" x14ac:dyDescent="0.2">
      <c r="A109" s="591"/>
      <c r="B109" s="61"/>
      <c r="C109" s="103"/>
      <c r="D109" s="103"/>
      <c r="E109" s="104"/>
      <c r="F109" s="104"/>
      <c r="G109" s="104"/>
      <c r="H109" s="104"/>
      <c r="K109" s="104"/>
    </row>
    <row r="110" spans="1:24" x14ac:dyDescent="0.2">
      <c r="A110" s="26"/>
      <c r="B110" s="591"/>
      <c r="C110" s="103"/>
      <c r="D110" s="103"/>
      <c r="E110" s="104"/>
      <c r="F110" s="104"/>
      <c r="G110" s="104"/>
      <c r="H110" s="104"/>
      <c r="K110" s="104"/>
    </row>
    <row r="111" spans="1:24" x14ac:dyDescent="0.2">
      <c r="B111" s="591"/>
      <c r="C111" s="103"/>
      <c r="D111" s="103"/>
      <c r="E111" s="104"/>
      <c r="F111" s="104"/>
      <c r="G111" s="104"/>
      <c r="H111" s="104"/>
      <c r="K111" s="104"/>
    </row>
    <row r="112" spans="1:24" x14ac:dyDescent="0.2">
      <c r="B112" s="25"/>
      <c r="C112" s="103"/>
      <c r="D112" s="104"/>
      <c r="E112" s="104"/>
      <c r="F112" s="104"/>
      <c r="G112" s="104"/>
      <c r="H112" s="104"/>
      <c r="K112" s="104"/>
    </row>
    <row r="113" spans="1:11" x14ac:dyDescent="0.2">
      <c r="B113" s="25"/>
      <c r="C113" s="103"/>
      <c r="D113" s="104"/>
      <c r="E113" s="104"/>
      <c r="F113" s="104"/>
      <c r="G113" s="104"/>
      <c r="H113" s="104"/>
      <c r="K113" s="104"/>
    </row>
    <row r="114" spans="1:11" x14ac:dyDescent="0.2">
      <c r="B114" s="25"/>
      <c r="C114" s="103"/>
      <c r="D114" s="104"/>
      <c r="E114" s="104"/>
      <c r="F114" s="104"/>
      <c r="G114" s="104"/>
      <c r="H114" s="104"/>
      <c r="K114" s="104"/>
    </row>
    <row r="115" spans="1:11" x14ac:dyDescent="0.2">
      <c r="C115" s="103"/>
      <c r="D115" s="104"/>
      <c r="E115" s="104"/>
      <c r="F115" s="104"/>
      <c r="G115" s="104"/>
      <c r="H115" s="104"/>
      <c r="K115" s="104"/>
    </row>
    <row r="116" spans="1:11" x14ac:dyDescent="0.2">
      <c r="A116" s="26"/>
      <c r="B116" s="26"/>
      <c r="C116" s="103"/>
      <c r="D116" s="104"/>
      <c r="E116" s="104"/>
      <c r="F116" s="104"/>
      <c r="G116" s="104"/>
      <c r="H116" s="104"/>
      <c r="K116" s="104"/>
    </row>
    <row r="117" spans="1:11" x14ac:dyDescent="0.2">
      <c r="B117" s="25"/>
      <c r="C117" s="103"/>
      <c r="D117" s="104"/>
      <c r="E117" s="104"/>
      <c r="F117" s="104"/>
      <c r="G117" s="104"/>
      <c r="H117" s="104"/>
      <c r="K117" s="104"/>
    </row>
    <row r="118" spans="1:11" x14ac:dyDescent="0.2">
      <c r="B118" s="25"/>
      <c r="C118" s="103"/>
      <c r="D118" s="104"/>
      <c r="E118" s="104"/>
      <c r="F118" s="104"/>
      <c r="G118" s="104"/>
      <c r="H118" s="104"/>
      <c r="K118" s="104"/>
    </row>
    <row r="119" spans="1:11" x14ac:dyDescent="0.2">
      <c r="B119" s="25"/>
      <c r="C119" s="103"/>
      <c r="D119" s="104"/>
      <c r="E119" s="104"/>
      <c r="F119" s="104"/>
      <c r="G119" s="104"/>
      <c r="H119" s="104"/>
      <c r="K119" s="104"/>
    </row>
    <row r="120" spans="1:11" x14ac:dyDescent="0.2">
      <c r="B120" s="25"/>
      <c r="C120" s="103"/>
      <c r="D120" s="104"/>
      <c r="E120" s="104"/>
      <c r="F120" s="104"/>
      <c r="G120" s="104"/>
      <c r="H120" s="104"/>
      <c r="K120" s="104"/>
    </row>
    <row r="121" spans="1:11" x14ac:dyDescent="0.2">
      <c r="B121" s="25"/>
      <c r="C121" s="103"/>
      <c r="D121" s="104"/>
      <c r="E121" s="104"/>
      <c r="F121" s="104"/>
      <c r="G121" s="104"/>
      <c r="H121" s="104"/>
      <c r="K121" s="104"/>
    </row>
    <row r="122" spans="1:11" x14ac:dyDescent="0.2">
      <c r="B122" s="25"/>
      <c r="C122" s="103"/>
      <c r="D122" s="104"/>
      <c r="E122" s="104"/>
      <c r="F122" s="104"/>
      <c r="G122" s="104"/>
      <c r="H122" s="104"/>
      <c r="K122" s="104"/>
    </row>
    <row r="123" spans="1:11" x14ac:dyDescent="0.2">
      <c r="B123" s="25"/>
      <c r="C123" s="103"/>
      <c r="D123" s="104"/>
      <c r="E123" s="104"/>
      <c r="F123" s="104"/>
      <c r="G123" s="104"/>
      <c r="H123" s="104"/>
      <c r="K123" s="104"/>
    </row>
    <row r="124" spans="1:11" x14ac:dyDescent="0.2">
      <c r="B124" s="25"/>
      <c r="C124" s="103"/>
      <c r="D124" s="104"/>
      <c r="E124" s="104"/>
      <c r="F124" s="104"/>
      <c r="G124" s="104"/>
      <c r="H124" s="104"/>
      <c r="K124" s="104"/>
    </row>
    <row r="125" spans="1:11" x14ac:dyDescent="0.2">
      <c r="C125" s="103"/>
      <c r="D125" s="104"/>
      <c r="E125" s="104"/>
      <c r="F125" s="104"/>
      <c r="G125" s="104"/>
      <c r="H125" s="104"/>
      <c r="K125" s="104"/>
    </row>
    <row r="126" spans="1:11" x14ac:dyDescent="0.2">
      <c r="A126" s="26"/>
      <c r="B126" s="26"/>
      <c r="C126" s="103"/>
      <c r="D126" s="104"/>
      <c r="E126" s="104"/>
      <c r="F126" s="104"/>
      <c r="G126" s="104"/>
      <c r="H126" s="104"/>
      <c r="K126" s="104"/>
    </row>
    <row r="127" spans="1:11" x14ac:dyDescent="0.2">
      <c r="B127" s="25"/>
      <c r="C127" s="103"/>
      <c r="D127" s="104"/>
      <c r="E127" s="104"/>
      <c r="F127" s="104"/>
      <c r="G127" s="104"/>
      <c r="H127" s="104"/>
      <c r="K127" s="104"/>
    </row>
    <row r="128" spans="1:11" x14ac:dyDescent="0.2">
      <c r="B128" s="25"/>
      <c r="C128" s="103"/>
      <c r="D128" s="104"/>
      <c r="E128" s="104"/>
      <c r="F128" s="104"/>
      <c r="G128" s="104"/>
      <c r="H128" s="104"/>
      <c r="K128" s="104"/>
    </row>
    <row r="129" spans="2:11" x14ac:dyDescent="0.2">
      <c r="B129" s="25"/>
      <c r="C129" s="103"/>
      <c r="D129" s="104"/>
      <c r="E129" s="104"/>
      <c r="F129" s="104"/>
      <c r="G129" s="104"/>
      <c r="H129" s="104"/>
      <c r="K129" s="104"/>
    </row>
    <row r="130" spans="2:11" x14ac:dyDescent="0.2">
      <c r="B130" s="25"/>
      <c r="C130" s="103"/>
      <c r="D130" s="104"/>
      <c r="E130" s="104"/>
      <c r="F130" s="104"/>
      <c r="G130" s="104"/>
      <c r="H130" s="104"/>
      <c r="K130" s="104"/>
    </row>
    <row r="131" spans="2:11" x14ac:dyDescent="0.2">
      <c r="B131" s="25"/>
      <c r="C131" s="103"/>
      <c r="D131" s="104"/>
      <c r="E131" s="104"/>
      <c r="F131" s="104"/>
      <c r="G131" s="104"/>
      <c r="H131" s="104"/>
      <c r="K131" s="104"/>
    </row>
    <row r="132" spans="2:11" x14ac:dyDescent="0.2">
      <c r="B132" s="25"/>
      <c r="C132" s="103"/>
      <c r="D132" s="104"/>
      <c r="E132" s="104"/>
      <c r="F132" s="104"/>
      <c r="G132" s="104"/>
      <c r="H132" s="104"/>
      <c r="K132" s="104"/>
    </row>
    <row r="133" spans="2:11" x14ac:dyDescent="0.2">
      <c r="B133" s="25"/>
      <c r="C133" s="103"/>
      <c r="D133" s="104"/>
      <c r="E133" s="104"/>
      <c r="F133" s="104"/>
      <c r="G133" s="104"/>
      <c r="H133" s="104"/>
      <c r="K133" s="104"/>
    </row>
    <row r="134" spans="2:11" x14ac:dyDescent="0.2">
      <c r="B134" s="25"/>
    </row>
    <row r="135" spans="2:11" x14ac:dyDescent="0.2">
      <c r="B135" s="25"/>
    </row>
    <row r="136" spans="2:11" x14ac:dyDescent="0.2">
      <c r="B136" s="25"/>
    </row>
    <row r="137" spans="2:11" x14ac:dyDescent="0.2">
      <c r="B137" s="25"/>
    </row>
    <row r="138" spans="2:11" x14ac:dyDescent="0.2">
      <c r="B138" s="25"/>
    </row>
    <row r="139" spans="2:11" x14ac:dyDescent="0.2">
      <c r="B139" s="25"/>
    </row>
    <row r="140" spans="2:11" x14ac:dyDescent="0.2">
      <c r="B140" s="25"/>
    </row>
    <row r="141" spans="2:11" x14ac:dyDescent="0.2">
      <c r="B141" s="25"/>
    </row>
    <row r="142" spans="2:11" x14ac:dyDescent="0.2">
      <c r="B142" s="25"/>
    </row>
    <row r="143" spans="2:11" x14ac:dyDescent="0.2">
      <c r="B143" s="25"/>
    </row>
    <row r="144" spans="2:11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</sheetData>
  <mergeCells count="5">
    <mergeCell ref="C9:F9"/>
    <mergeCell ref="P9:T9"/>
    <mergeCell ref="H9:N9"/>
    <mergeCell ref="H10:J10"/>
    <mergeCell ref="L10:N10"/>
  </mergeCells>
  <phoneticPr fontId="2" type="noConversion"/>
  <printOptions horizontalCentered="1"/>
  <pageMargins left="0" right="0" top="0.39370078740157483" bottom="0" header="0.51181102362204722" footer="0.51181102362204722"/>
  <pageSetup paperSize="8" scale="71" fitToHeight="0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topLeftCell="C82" zoomScaleNormal="100" zoomScaleSheetLayoutView="100" workbookViewId="0">
      <selection activeCell="H104" sqref="H104"/>
    </sheetView>
  </sheetViews>
  <sheetFormatPr defaultRowHeight="12.75" x14ac:dyDescent="0.2"/>
  <cols>
    <col min="1" max="1" width="6.42578125" style="13" bestFit="1" customWidth="1"/>
    <col min="2" max="2" width="57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2" width="15.5703125" style="13" customWidth="1"/>
    <col min="13" max="13" width="13.42578125" style="13" bestFit="1" customWidth="1"/>
    <col min="14" max="14" width="15.5703125" style="13" customWidth="1"/>
    <col min="15" max="15" width="0.85546875" style="13" customWidth="1"/>
    <col min="16" max="19" width="15.5703125" style="13" customWidth="1"/>
    <col min="20" max="20" width="7.140625" style="13" customWidth="1"/>
    <col min="21" max="21" width="2.85546875" style="13" customWidth="1"/>
    <col min="22" max="22" width="3.42578125" style="13" customWidth="1"/>
    <col min="23" max="23" width="14.5703125" bestFit="1" customWidth="1"/>
    <col min="24" max="24" width="15.42578125" bestFit="1" customWidth="1"/>
  </cols>
  <sheetData>
    <row r="1" spans="1:26" ht="26.25" x14ac:dyDescent="0.4">
      <c r="A1" s="250" t="s">
        <v>472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+C90</f>
        <v>171876100</v>
      </c>
      <c r="D5" s="273">
        <f t="shared" ref="D5:F5" si="0">+D90</f>
        <v>173326100</v>
      </c>
      <c r="E5" s="273">
        <f t="shared" si="0"/>
        <v>174986100</v>
      </c>
      <c r="F5" s="273">
        <f t="shared" si="0"/>
        <v>185010115</v>
      </c>
      <c r="G5" s="273"/>
      <c r="H5" s="273">
        <f t="shared" ref="H5:J5" si="1">+H90</f>
        <v>87833991</v>
      </c>
      <c r="I5" s="273">
        <f t="shared" si="1"/>
        <v>136992599</v>
      </c>
      <c r="J5" s="273">
        <f t="shared" si="1"/>
        <v>184507577</v>
      </c>
      <c r="K5" s="95"/>
      <c r="L5" s="32">
        <f t="shared" ref="L5:N6" si="2">IF(H5&gt;0,H5/C5,0)</f>
        <v>0.5110308588570488</v>
      </c>
      <c r="M5" s="32">
        <f t="shared" si="2"/>
        <v>0.79037490026026092</v>
      </c>
      <c r="N5" s="32">
        <f t="shared" si="2"/>
        <v>1.0544127619279475</v>
      </c>
      <c r="O5" s="32"/>
      <c r="P5" s="273">
        <f t="shared" ref="P5:S5" si="3">+P90</f>
        <v>1450000</v>
      </c>
      <c r="Q5" s="273">
        <f t="shared" si="3"/>
        <v>1660000</v>
      </c>
      <c r="R5" s="273">
        <f t="shared" si="3"/>
        <v>10024015</v>
      </c>
      <c r="S5" s="273">
        <f t="shared" si="3"/>
        <v>13134015</v>
      </c>
      <c r="T5" s="139">
        <f>IF(C5=0,0,+S5/C5)</f>
        <v>7.6415598212898714E-2</v>
      </c>
      <c r="U5" s="124"/>
      <c r="V5" s="211">
        <f t="shared" ref="V5:V7" si="4">+S5-E5+C5</f>
        <v>10024015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171876100</v>
      </c>
      <c r="D6" s="275">
        <f t="shared" ref="D6:F6" si="5">+D102</f>
        <v>173326100</v>
      </c>
      <c r="E6" s="275">
        <f t="shared" si="5"/>
        <v>174986100</v>
      </c>
      <c r="F6" s="275">
        <f t="shared" si="5"/>
        <v>185010115</v>
      </c>
      <c r="G6" s="275"/>
      <c r="H6" s="275">
        <f t="shared" ref="H6:J6" si="6">+H102</f>
        <v>91732232</v>
      </c>
      <c r="I6" s="275">
        <f t="shared" si="6"/>
        <v>138218661</v>
      </c>
      <c r="J6" s="275">
        <f t="shared" si="6"/>
        <v>184749251</v>
      </c>
      <c r="K6" s="69"/>
      <c r="L6" s="32">
        <f t="shared" si="2"/>
        <v>0.53371138861074929</v>
      </c>
      <c r="M6" s="32">
        <f t="shared" si="2"/>
        <v>0.79744863006783173</v>
      </c>
      <c r="N6" s="32">
        <f t="shared" si="2"/>
        <v>1.0557938659127781</v>
      </c>
      <c r="O6" s="32"/>
      <c r="P6" s="275">
        <f t="shared" ref="P6:S6" si="7">+P102</f>
        <v>1450000</v>
      </c>
      <c r="Q6" s="275">
        <f t="shared" si="7"/>
        <v>1660000</v>
      </c>
      <c r="R6" s="275">
        <f t="shared" si="7"/>
        <v>10024015</v>
      </c>
      <c r="S6" s="275">
        <f t="shared" si="7"/>
        <v>13134015</v>
      </c>
      <c r="T6" s="32">
        <f>IF(C6=0,0,+S6/C6)</f>
        <v>7.6415598212898714E-2</v>
      </c>
      <c r="U6" s="124"/>
      <c r="V6" s="211">
        <f t="shared" si="4"/>
        <v>10024015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8">+D6-D5</f>
        <v>0</v>
      </c>
      <c r="E7" s="275">
        <f t="shared" si="8"/>
        <v>0</v>
      </c>
      <c r="F7" s="275">
        <f t="shared" si="8"/>
        <v>0</v>
      </c>
      <c r="G7" s="275"/>
      <c r="H7" s="275">
        <f t="shared" si="8"/>
        <v>3898241</v>
      </c>
      <c r="I7" s="275">
        <f>+I6-I5</f>
        <v>1226062</v>
      </c>
      <c r="J7" s="275">
        <f t="shared" ref="J7" si="9">+J6-J5</f>
        <v>241674</v>
      </c>
      <c r="K7" s="69"/>
      <c r="L7" s="32"/>
      <c r="M7" s="32"/>
      <c r="N7" s="32"/>
      <c r="O7" s="32"/>
      <c r="P7" s="275">
        <f t="shared" ref="P7:S7" si="10">+P6-P5</f>
        <v>0</v>
      </c>
      <c r="Q7" s="275">
        <f t="shared" si="10"/>
        <v>0</v>
      </c>
      <c r="R7" s="275">
        <f t="shared" si="10"/>
        <v>0</v>
      </c>
      <c r="S7" s="275">
        <f t="shared" si="10"/>
        <v>0</v>
      </c>
      <c r="T7" s="32">
        <f>IF(C7=0,0,+S7/C7)</f>
        <v>0</v>
      </c>
      <c r="U7" s="124"/>
      <c r="V7" s="211">
        <f t="shared" si="4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57" t="s">
        <v>408</v>
      </c>
      <c r="D9" s="662"/>
      <c r="E9" s="662"/>
      <c r="F9" s="663"/>
      <c r="G9" s="165"/>
      <c r="H9" s="657" t="s">
        <v>407</v>
      </c>
      <c r="I9" s="662"/>
      <c r="J9" s="662"/>
      <c r="K9" s="662"/>
      <c r="L9" s="662"/>
      <c r="M9" s="662"/>
      <c r="N9" s="663"/>
      <c r="O9" s="165"/>
      <c r="P9" s="657" t="s">
        <v>404</v>
      </c>
      <c r="Q9" s="662"/>
      <c r="R9" s="662"/>
      <c r="S9" s="662"/>
      <c r="T9" s="663"/>
      <c r="U9" s="212"/>
      <c r="V9" s="208"/>
      <c r="W9" s="128"/>
      <c r="X9" s="128"/>
    </row>
    <row r="10" spans="1:26" x14ac:dyDescent="0.2">
      <c r="A10" s="66"/>
      <c r="B10" s="67"/>
      <c r="C10" s="255"/>
      <c r="D10" s="94"/>
      <c r="E10" s="94"/>
      <c r="F10" s="256"/>
      <c r="G10" s="140"/>
      <c r="H10" s="654" t="s">
        <v>421</v>
      </c>
      <c r="I10" s="664"/>
      <c r="J10" s="665"/>
      <c r="K10" s="140"/>
      <c r="L10" s="654" t="s">
        <v>420</v>
      </c>
      <c r="M10" s="664"/>
      <c r="N10" s="665"/>
      <c r="O10" s="141"/>
      <c r="P10" s="134">
        <f>+' 2. Önk. Bevételek'!P8</f>
        <v>1</v>
      </c>
      <c r="Q10" s="134">
        <f>+' 2. Önk. Bevételek'!Q8</f>
        <v>1</v>
      </c>
      <c r="R10" s="134">
        <f>+' 2. Önk. Bevételek'!R8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6" ht="78.7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x14ac:dyDescent="0.2">
      <c r="A13" s="313" t="s">
        <v>0</v>
      </c>
      <c r="B13" s="313" t="s">
        <v>3</v>
      </c>
      <c r="C13" s="314">
        <f>SUM(C15:C29)</f>
        <v>133266100</v>
      </c>
      <c r="D13" s="314">
        <f t="shared" ref="D13:J13" si="11">SUM(D15:D29)</f>
        <v>133266100</v>
      </c>
      <c r="E13" s="314">
        <f t="shared" si="11"/>
        <v>133886100</v>
      </c>
      <c r="F13" s="314">
        <f t="shared" si="11"/>
        <v>139676693</v>
      </c>
      <c r="G13" s="314"/>
      <c r="H13" s="314">
        <f t="shared" si="11"/>
        <v>64161938</v>
      </c>
      <c r="I13" s="314">
        <f t="shared" si="11"/>
        <v>102942419</v>
      </c>
      <c r="J13" s="314">
        <f t="shared" si="11"/>
        <v>139672082</v>
      </c>
      <c r="K13" s="314">
        <f t="shared" ref="K13" si="12">SUM(K15:K28)</f>
        <v>0</v>
      </c>
      <c r="L13" s="55">
        <f>IF(H13&gt;0,H13/C13,0)</f>
        <v>0.48145730984849111</v>
      </c>
      <c r="M13" s="55">
        <f>IF(I13&gt;0,I13/D13,0)</f>
        <v>0.77245765427216673</v>
      </c>
      <c r="N13" s="55">
        <f>IF(J13&gt;0,J13/E13,0)</f>
        <v>1.0432157034972265</v>
      </c>
      <c r="O13" s="314">
        <f>SUM(O15:O28)</f>
        <v>0</v>
      </c>
      <c r="P13" s="314">
        <f>+(D13-C13)*P$10</f>
        <v>0</v>
      </c>
      <c r="Q13" s="314">
        <f>+(E13-D13)*Q$10</f>
        <v>620000</v>
      </c>
      <c r="R13" s="314">
        <f>+(F13-E13)*R$10</f>
        <v>5790593</v>
      </c>
      <c r="S13" s="314">
        <f>SUM(P13:R13)</f>
        <v>6410593</v>
      </c>
      <c r="T13" s="284">
        <f>IF(C13=0,0,+S13/C13)</f>
        <v>4.8103703792637439E-2</v>
      </c>
      <c r="U13" s="126"/>
      <c r="V13" s="208">
        <f t="shared" ref="V13" si="13">+S13-E13+C13</f>
        <v>5790593</v>
      </c>
      <c r="W13">
        <f t="shared" ref="W13" si="14">+T13-F13+D13</f>
        <v>-6410592.9518963099</v>
      </c>
    </row>
    <row r="14" spans="1:26" x14ac:dyDescent="0.2">
      <c r="A14" s="15" t="s">
        <v>1</v>
      </c>
      <c r="B14" s="15"/>
      <c r="C14" s="71"/>
      <c r="D14" s="97"/>
      <c r="E14" s="97"/>
      <c r="F14" s="97"/>
      <c r="G14" s="98"/>
      <c r="H14" s="98"/>
      <c r="I14" s="98"/>
      <c r="J14" s="98"/>
      <c r="K14" s="98"/>
      <c r="L14" s="142"/>
      <c r="M14" s="142"/>
      <c r="N14" s="142"/>
      <c r="O14" s="125"/>
      <c r="P14" s="98"/>
      <c r="Q14" s="98"/>
      <c r="R14" s="98"/>
      <c r="S14" s="98"/>
      <c r="T14" s="161"/>
      <c r="U14" s="125"/>
      <c r="V14" s="208">
        <f t="shared" ref="V14" si="15">+S14-E14+C14</f>
        <v>0</v>
      </c>
      <c r="W14" s="128"/>
      <c r="X14" s="128"/>
    </row>
    <row r="15" spans="1:26" x14ac:dyDescent="0.2">
      <c r="A15" s="14" t="s">
        <v>2</v>
      </c>
      <c r="B15" s="56" t="s">
        <v>398</v>
      </c>
      <c r="C15" s="152">
        <f>120687000+2500000</f>
        <v>123187000</v>
      </c>
      <c r="D15" s="152">
        <v>123087000</v>
      </c>
      <c r="E15" s="152">
        <v>122926000</v>
      </c>
      <c r="F15" s="599">
        <v>127703593</v>
      </c>
      <c r="G15" s="152"/>
      <c r="H15" s="152">
        <v>60842837</v>
      </c>
      <c r="I15" s="152">
        <v>93902402</v>
      </c>
      <c r="J15" s="152">
        <v>127702776</v>
      </c>
      <c r="K15" s="152"/>
      <c r="L15" s="221">
        <f t="shared" ref="L15:L28" si="16">IF(H15&gt;0,H15/C15,0)</f>
        <v>0.49390631316616201</v>
      </c>
      <c r="M15" s="221">
        <f t="shared" ref="M15:M28" si="17">IF(I15&gt;0,I15/D15,0)</f>
        <v>0.76289455425837005</v>
      </c>
      <c r="N15" s="221">
        <f t="shared" ref="N15:N29" si="18">IF(J15&gt;0,J15/E15,0)</f>
        <v>1.0388589557945431</v>
      </c>
      <c r="O15" s="152"/>
      <c r="P15" s="83">
        <f>+(D15-C15)*P$10</f>
        <v>-100000</v>
      </c>
      <c r="Q15" s="83">
        <f>+(E15-D15)*Q$10</f>
        <v>-161000</v>
      </c>
      <c r="R15" s="83">
        <f>+(F15-E15)*R$10</f>
        <v>4777593</v>
      </c>
      <c r="S15" s="83">
        <f>SUM(P15:R15)</f>
        <v>4516593</v>
      </c>
      <c r="T15" s="304">
        <f>IF(C15=0,0,+S15/C15)</f>
        <v>3.666452628930001E-2</v>
      </c>
      <c r="U15" s="126"/>
      <c r="V15" s="208">
        <f t="shared" ref="V15" si="19">+S15-E15+C15</f>
        <v>4777593</v>
      </c>
      <c r="X15" s="2"/>
    </row>
    <row r="16" spans="1:26" ht="25.5" x14ac:dyDescent="0.2">
      <c r="A16" s="14"/>
      <c r="B16" s="56" t="s">
        <v>397</v>
      </c>
      <c r="C16" s="152">
        <v>0</v>
      </c>
      <c r="D16" s="152">
        <v>0</v>
      </c>
      <c r="E16" s="152"/>
      <c r="F16" s="152"/>
      <c r="G16" s="152"/>
      <c r="H16" s="152"/>
      <c r="I16" s="152"/>
      <c r="J16" s="152"/>
      <c r="K16" s="152"/>
      <c r="L16" s="221">
        <f t="shared" si="16"/>
        <v>0</v>
      </c>
      <c r="M16" s="221">
        <f t="shared" si="17"/>
        <v>0</v>
      </c>
      <c r="N16" s="221">
        <f t="shared" si="18"/>
        <v>0</v>
      </c>
      <c r="O16" s="152"/>
      <c r="P16" s="83">
        <f t="shared" ref="P16:P30" si="20">+(D16-C16)*P$10</f>
        <v>0</v>
      </c>
      <c r="Q16" s="83">
        <f t="shared" ref="Q16:Q30" si="21">+(E16-D16)*Q$10</f>
        <v>0</v>
      </c>
      <c r="R16" s="83">
        <f t="shared" ref="R16:R30" si="22">+(F16-E16)*R$10</f>
        <v>0</v>
      </c>
      <c r="S16" s="83">
        <f t="shared" ref="S16:S30" si="23">SUM(P16:R16)</f>
        <v>0</v>
      </c>
      <c r="T16" s="304">
        <f t="shared" ref="T16:T30" si="24">IF(C16=0,0,+S16/C16)</f>
        <v>0</v>
      </c>
      <c r="U16" s="126"/>
      <c r="V16" s="208">
        <f t="shared" ref="V16:V30" si="25">+S16-E16+C16</f>
        <v>0</v>
      </c>
      <c r="X16" s="2"/>
    </row>
    <row r="17" spans="1:24" x14ac:dyDescent="0.2">
      <c r="A17" s="14" t="s">
        <v>12</v>
      </c>
      <c r="B17" s="20" t="s">
        <v>4</v>
      </c>
      <c r="C17" s="70">
        <v>0</v>
      </c>
      <c r="D17" s="70">
        <v>0</v>
      </c>
      <c r="E17" s="70"/>
      <c r="F17" s="70"/>
      <c r="G17" s="70"/>
      <c r="H17" s="70">
        <v>0</v>
      </c>
      <c r="I17" s="70">
        <v>0</v>
      </c>
      <c r="J17" s="70"/>
      <c r="K17" s="70"/>
      <c r="L17" s="221">
        <f t="shared" si="16"/>
        <v>0</v>
      </c>
      <c r="M17" s="221">
        <f t="shared" si="17"/>
        <v>0</v>
      </c>
      <c r="N17" s="221">
        <f t="shared" si="18"/>
        <v>0</v>
      </c>
      <c r="O17" s="70"/>
      <c r="P17" s="83">
        <f t="shared" si="20"/>
        <v>0</v>
      </c>
      <c r="Q17" s="83">
        <f t="shared" si="21"/>
        <v>0</v>
      </c>
      <c r="R17" s="83">
        <f t="shared" si="22"/>
        <v>0</v>
      </c>
      <c r="S17" s="83">
        <f t="shared" si="23"/>
        <v>0</v>
      </c>
      <c r="T17" s="304">
        <f t="shared" si="24"/>
        <v>0</v>
      </c>
      <c r="U17" s="126"/>
      <c r="V17" s="208">
        <f t="shared" si="25"/>
        <v>0</v>
      </c>
    </row>
    <row r="18" spans="1:24" x14ac:dyDescent="0.2">
      <c r="A18" s="14" t="s">
        <v>13</v>
      </c>
      <c r="B18" s="20" t="s">
        <v>5</v>
      </c>
      <c r="C18" s="70"/>
      <c r="D18" s="70"/>
      <c r="E18" s="70"/>
      <c r="F18" s="70"/>
      <c r="G18" s="70"/>
      <c r="H18" s="70"/>
      <c r="I18" s="70"/>
      <c r="J18" s="70"/>
      <c r="K18" s="70"/>
      <c r="L18" s="221">
        <f t="shared" si="16"/>
        <v>0</v>
      </c>
      <c r="M18" s="221">
        <f t="shared" si="17"/>
        <v>0</v>
      </c>
      <c r="N18" s="221">
        <f t="shared" si="18"/>
        <v>0</v>
      </c>
      <c r="O18" s="70"/>
      <c r="P18" s="83">
        <f t="shared" si="20"/>
        <v>0</v>
      </c>
      <c r="Q18" s="83">
        <f t="shared" si="21"/>
        <v>0</v>
      </c>
      <c r="R18" s="83">
        <f t="shared" si="22"/>
        <v>0</v>
      </c>
      <c r="S18" s="83">
        <f t="shared" si="23"/>
        <v>0</v>
      </c>
      <c r="T18" s="304">
        <f t="shared" si="24"/>
        <v>0</v>
      </c>
      <c r="U18" s="126"/>
      <c r="V18" s="208">
        <f t="shared" si="25"/>
        <v>0</v>
      </c>
    </row>
    <row r="19" spans="1:24" x14ac:dyDescent="0.2">
      <c r="A19" s="14" t="s">
        <v>386</v>
      </c>
      <c r="B19" s="20" t="s">
        <v>6</v>
      </c>
      <c r="C19" s="70">
        <f>4557100+350000</f>
        <v>4907100</v>
      </c>
      <c r="D19" s="70">
        <v>4907100</v>
      </c>
      <c r="E19" s="70">
        <v>4907100</v>
      </c>
      <c r="F19" s="70">
        <v>4907100</v>
      </c>
      <c r="G19" s="70"/>
      <c r="H19" s="70">
        <v>698300</v>
      </c>
      <c r="I19" s="70">
        <v>4284800</v>
      </c>
      <c r="J19" s="70">
        <v>4904800</v>
      </c>
      <c r="K19" s="70"/>
      <c r="L19" s="221">
        <f t="shared" si="16"/>
        <v>0.14230400847751218</v>
      </c>
      <c r="M19" s="221">
        <f t="shared" si="17"/>
        <v>0.87318375415214688</v>
      </c>
      <c r="N19" s="221">
        <f t="shared" si="18"/>
        <v>0.99953129139410246</v>
      </c>
      <c r="O19" s="70"/>
      <c r="P19" s="83">
        <f t="shared" si="20"/>
        <v>0</v>
      </c>
      <c r="Q19" s="83">
        <f t="shared" si="21"/>
        <v>0</v>
      </c>
      <c r="R19" s="83">
        <f t="shared" si="22"/>
        <v>0</v>
      </c>
      <c r="S19" s="83">
        <f t="shared" si="23"/>
        <v>0</v>
      </c>
      <c r="T19" s="304">
        <f t="shared" si="24"/>
        <v>0</v>
      </c>
      <c r="U19" s="126"/>
      <c r="V19" s="208">
        <f t="shared" si="25"/>
        <v>0</v>
      </c>
      <c r="W19" s="2"/>
    </row>
    <row r="20" spans="1:24" x14ac:dyDescent="0.2">
      <c r="A20" s="14" t="s">
        <v>14</v>
      </c>
      <c r="B20" s="20" t="s">
        <v>7</v>
      </c>
      <c r="C20" s="70">
        <v>2640000</v>
      </c>
      <c r="D20" s="70">
        <v>2640000</v>
      </c>
      <c r="E20" s="70">
        <v>2640000</v>
      </c>
      <c r="F20" s="70">
        <v>4390000</v>
      </c>
      <c r="G20" s="70"/>
      <c r="H20" s="70">
        <v>1290000</v>
      </c>
      <c r="I20" s="70">
        <v>2545000</v>
      </c>
      <c r="J20" s="70">
        <v>4390000</v>
      </c>
      <c r="K20" s="70"/>
      <c r="L20" s="221">
        <f t="shared" si="16"/>
        <v>0.48863636363636365</v>
      </c>
      <c r="M20" s="221">
        <f t="shared" si="17"/>
        <v>0.96401515151515149</v>
      </c>
      <c r="N20" s="221">
        <f t="shared" si="18"/>
        <v>1.6628787878787878</v>
      </c>
      <c r="O20" s="70"/>
      <c r="P20" s="83">
        <f t="shared" si="20"/>
        <v>0</v>
      </c>
      <c r="Q20" s="83">
        <f t="shared" si="21"/>
        <v>0</v>
      </c>
      <c r="R20" s="83">
        <f t="shared" si="22"/>
        <v>1750000</v>
      </c>
      <c r="S20" s="83">
        <f t="shared" si="23"/>
        <v>1750000</v>
      </c>
      <c r="T20" s="304">
        <f t="shared" si="24"/>
        <v>0.66287878787878785</v>
      </c>
      <c r="U20" s="126"/>
      <c r="V20" s="208">
        <f t="shared" si="25"/>
        <v>1750000</v>
      </c>
      <c r="W20" s="2"/>
    </row>
    <row r="21" spans="1:24" x14ac:dyDescent="0.2">
      <c r="A21" s="14" t="s">
        <v>15</v>
      </c>
      <c r="B21" s="20" t="s">
        <v>8</v>
      </c>
      <c r="C21" s="70">
        <v>0</v>
      </c>
      <c r="D21" s="70"/>
      <c r="E21" s="70"/>
      <c r="F21" s="70"/>
      <c r="G21" s="70"/>
      <c r="H21" s="70"/>
      <c r="I21" s="70"/>
      <c r="J21" s="70"/>
      <c r="K21" s="70"/>
      <c r="L21" s="221">
        <f t="shared" si="16"/>
        <v>0</v>
      </c>
      <c r="M21" s="221">
        <f t="shared" si="17"/>
        <v>0</v>
      </c>
      <c r="N21" s="221">
        <f t="shared" si="18"/>
        <v>0</v>
      </c>
      <c r="O21" s="70"/>
      <c r="P21" s="83">
        <f t="shared" si="20"/>
        <v>0</v>
      </c>
      <c r="Q21" s="83">
        <f t="shared" si="21"/>
        <v>0</v>
      </c>
      <c r="R21" s="83">
        <f t="shared" si="22"/>
        <v>0</v>
      </c>
      <c r="S21" s="83">
        <f t="shared" si="23"/>
        <v>0</v>
      </c>
      <c r="T21" s="304">
        <f t="shared" si="24"/>
        <v>0</v>
      </c>
      <c r="U21" s="126"/>
      <c r="V21" s="208">
        <f t="shared" si="25"/>
        <v>0</v>
      </c>
    </row>
    <row r="22" spans="1:24" x14ac:dyDescent="0.2">
      <c r="A22" s="14" t="s">
        <v>16</v>
      </c>
      <c r="B22" s="20" t="s">
        <v>9</v>
      </c>
      <c r="C22" s="70">
        <v>480000</v>
      </c>
      <c r="D22" s="70">
        <v>480000</v>
      </c>
      <c r="E22" s="70">
        <v>480000</v>
      </c>
      <c r="F22" s="70">
        <v>252000</v>
      </c>
      <c r="G22" s="70"/>
      <c r="H22" s="70">
        <v>84260</v>
      </c>
      <c r="I22" s="70">
        <v>128480</v>
      </c>
      <c r="J22" s="70">
        <v>251460</v>
      </c>
      <c r="K22" s="70"/>
      <c r="L22" s="221">
        <f t="shared" si="16"/>
        <v>0.17554166666666668</v>
      </c>
      <c r="M22" s="221">
        <f t="shared" si="17"/>
        <v>0.26766666666666666</v>
      </c>
      <c r="N22" s="221">
        <f t="shared" si="18"/>
        <v>0.52387499999999998</v>
      </c>
      <c r="O22" s="70"/>
      <c r="P22" s="83">
        <f t="shared" si="20"/>
        <v>0</v>
      </c>
      <c r="Q22" s="83">
        <f t="shared" si="21"/>
        <v>0</v>
      </c>
      <c r="R22" s="83">
        <f t="shared" si="22"/>
        <v>-228000</v>
      </c>
      <c r="S22" s="83">
        <f t="shared" si="23"/>
        <v>-228000</v>
      </c>
      <c r="T22" s="304">
        <f t="shared" si="24"/>
        <v>-0.47499999999999998</v>
      </c>
      <c r="U22" s="126"/>
      <c r="V22" s="208">
        <f t="shared" si="25"/>
        <v>-228000</v>
      </c>
      <c r="X22" s="38"/>
    </row>
    <row r="23" spans="1:24" x14ac:dyDescent="0.2">
      <c r="A23" s="14" t="s">
        <v>17</v>
      </c>
      <c r="B23" s="20" t="s">
        <v>10</v>
      </c>
      <c r="C23" s="70"/>
      <c r="D23" s="70"/>
      <c r="E23" s="70"/>
      <c r="F23" s="70"/>
      <c r="G23" s="70"/>
      <c r="H23" s="70"/>
      <c r="I23" s="70"/>
      <c r="J23" s="70"/>
      <c r="K23" s="70"/>
      <c r="L23" s="221">
        <f t="shared" si="16"/>
        <v>0</v>
      </c>
      <c r="M23" s="221">
        <f t="shared" si="17"/>
        <v>0</v>
      </c>
      <c r="N23" s="221">
        <f t="shared" si="18"/>
        <v>0</v>
      </c>
      <c r="O23" s="70"/>
      <c r="P23" s="83">
        <f t="shared" si="20"/>
        <v>0</v>
      </c>
      <c r="Q23" s="83">
        <f t="shared" si="21"/>
        <v>0</v>
      </c>
      <c r="R23" s="83">
        <f t="shared" si="22"/>
        <v>0</v>
      </c>
      <c r="S23" s="83">
        <f t="shared" si="23"/>
        <v>0</v>
      </c>
      <c r="T23" s="304">
        <f t="shared" si="24"/>
        <v>0</v>
      </c>
      <c r="U23" s="126"/>
      <c r="V23" s="208">
        <f t="shared" si="25"/>
        <v>0</v>
      </c>
    </row>
    <row r="24" spans="1:24" x14ac:dyDescent="0.2">
      <c r="A24" s="14" t="s">
        <v>18</v>
      </c>
      <c r="B24" s="20" t="s">
        <v>11</v>
      </c>
      <c r="C24" s="70">
        <v>1880000</v>
      </c>
      <c r="D24" s="70">
        <v>1880000</v>
      </c>
      <c r="E24" s="70">
        <v>2380000</v>
      </c>
      <c r="F24" s="70">
        <v>1934000</v>
      </c>
      <c r="G24" s="70"/>
      <c r="H24" s="70">
        <v>977070</v>
      </c>
      <c r="I24" s="70">
        <v>1673766</v>
      </c>
      <c r="J24" s="70">
        <v>1933275</v>
      </c>
      <c r="K24" s="70"/>
      <c r="L24" s="221">
        <f t="shared" si="16"/>
        <v>0.51971808510638295</v>
      </c>
      <c r="M24" s="221">
        <f t="shared" si="17"/>
        <v>0.89030106382978724</v>
      </c>
      <c r="N24" s="221">
        <f t="shared" si="18"/>
        <v>0.81230042016806725</v>
      </c>
      <c r="O24" s="70"/>
      <c r="P24" s="83">
        <f t="shared" si="20"/>
        <v>0</v>
      </c>
      <c r="Q24" s="83">
        <f t="shared" si="21"/>
        <v>500000</v>
      </c>
      <c r="R24" s="83">
        <f t="shared" si="22"/>
        <v>-446000</v>
      </c>
      <c r="S24" s="83">
        <f t="shared" si="23"/>
        <v>54000</v>
      </c>
      <c r="T24" s="304">
        <f t="shared" si="24"/>
        <v>2.8723404255319149E-2</v>
      </c>
      <c r="U24" s="126"/>
      <c r="V24" s="208">
        <f t="shared" si="25"/>
        <v>-446000</v>
      </c>
    </row>
    <row r="25" spans="1:24" x14ac:dyDescent="0.2">
      <c r="A25" s="14" t="s">
        <v>19</v>
      </c>
      <c r="B25" s="20"/>
      <c r="C25" s="70"/>
      <c r="D25" s="70"/>
      <c r="E25" s="70"/>
      <c r="F25" s="70"/>
      <c r="G25" s="70"/>
      <c r="H25" s="70"/>
      <c r="I25" s="70"/>
      <c r="J25" s="70"/>
      <c r="K25" s="70"/>
      <c r="L25" s="221">
        <f t="shared" si="16"/>
        <v>0</v>
      </c>
      <c r="M25" s="221">
        <f t="shared" si="17"/>
        <v>0</v>
      </c>
      <c r="N25" s="221">
        <f t="shared" si="18"/>
        <v>0</v>
      </c>
      <c r="O25" s="70"/>
      <c r="P25" s="83">
        <f t="shared" si="20"/>
        <v>0</v>
      </c>
      <c r="Q25" s="83">
        <f t="shared" si="21"/>
        <v>0</v>
      </c>
      <c r="R25" s="83">
        <f t="shared" si="22"/>
        <v>0</v>
      </c>
      <c r="S25" s="83">
        <f t="shared" si="23"/>
        <v>0</v>
      </c>
      <c r="T25" s="304">
        <f t="shared" si="24"/>
        <v>0</v>
      </c>
      <c r="U25" s="126"/>
      <c r="V25" s="208">
        <f t="shared" si="25"/>
        <v>0</v>
      </c>
      <c r="W25" s="2"/>
    </row>
    <row r="26" spans="1:24" x14ac:dyDescent="0.2">
      <c r="A26" s="14" t="s">
        <v>20</v>
      </c>
      <c r="B26" s="20" t="s">
        <v>21</v>
      </c>
      <c r="C26" s="70">
        <v>0</v>
      </c>
      <c r="D26" s="70"/>
      <c r="E26" s="150"/>
      <c r="F26" s="70"/>
      <c r="G26" s="70"/>
      <c r="H26" s="70"/>
      <c r="I26" s="70"/>
      <c r="J26" s="70"/>
      <c r="K26" s="70"/>
      <c r="L26" s="221">
        <f t="shared" si="16"/>
        <v>0</v>
      </c>
      <c r="M26" s="221">
        <f t="shared" si="17"/>
        <v>0</v>
      </c>
      <c r="N26" s="221">
        <f t="shared" si="18"/>
        <v>0</v>
      </c>
      <c r="O26" s="70"/>
      <c r="P26" s="83">
        <f t="shared" si="20"/>
        <v>0</v>
      </c>
      <c r="Q26" s="83">
        <f t="shared" si="21"/>
        <v>0</v>
      </c>
      <c r="R26" s="83">
        <f t="shared" si="22"/>
        <v>0</v>
      </c>
      <c r="S26" s="83">
        <f t="shared" si="23"/>
        <v>0</v>
      </c>
      <c r="T26" s="304">
        <f t="shared" si="24"/>
        <v>0</v>
      </c>
      <c r="U26" s="126"/>
      <c r="V26" s="208">
        <f t="shared" si="25"/>
        <v>0</v>
      </c>
    </row>
    <row r="27" spans="1:24" x14ac:dyDescent="0.2">
      <c r="A27" s="14" t="s">
        <v>22</v>
      </c>
      <c r="B27" s="20" t="s">
        <v>23</v>
      </c>
      <c r="C27" s="70">
        <v>172000</v>
      </c>
      <c r="D27" s="70">
        <v>272000</v>
      </c>
      <c r="E27" s="70">
        <v>553000</v>
      </c>
      <c r="F27" s="70">
        <v>490000</v>
      </c>
      <c r="G27" s="70"/>
      <c r="H27" s="70">
        <v>269471</v>
      </c>
      <c r="I27" s="70">
        <v>407971</v>
      </c>
      <c r="J27" s="70">
        <v>489771</v>
      </c>
      <c r="K27" s="70"/>
      <c r="L27" s="221">
        <f t="shared" si="16"/>
        <v>1.5666918604651163</v>
      </c>
      <c r="M27" s="221">
        <f t="shared" si="17"/>
        <v>1.4998933823529412</v>
      </c>
      <c r="N27" s="221">
        <f t="shared" si="18"/>
        <v>0.88566184448462926</v>
      </c>
      <c r="O27" s="70"/>
      <c r="P27" s="83">
        <f t="shared" si="20"/>
        <v>100000</v>
      </c>
      <c r="Q27" s="83">
        <f t="shared" si="21"/>
        <v>281000</v>
      </c>
      <c r="R27" s="83">
        <f t="shared" si="22"/>
        <v>-63000</v>
      </c>
      <c r="S27" s="83">
        <f t="shared" si="23"/>
        <v>318000</v>
      </c>
      <c r="T27" s="304">
        <f t="shared" si="24"/>
        <v>1.8488372093023255</v>
      </c>
      <c r="U27" s="126"/>
      <c r="V27" s="208">
        <f t="shared" si="25"/>
        <v>-63000</v>
      </c>
      <c r="W27" s="2"/>
    </row>
    <row r="28" spans="1:24" x14ac:dyDescent="0.2">
      <c r="A28" s="14" t="s">
        <v>24</v>
      </c>
      <c r="B28" s="20" t="s">
        <v>25</v>
      </c>
      <c r="C28" s="70">
        <v>0</v>
      </c>
      <c r="D28" s="70">
        <v>0</v>
      </c>
      <c r="E28" s="70">
        <v>0</v>
      </c>
      <c r="F28" s="70"/>
      <c r="G28" s="70"/>
      <c r="H28" s="70">
        <v>0</v>
      </c>
      <c r="I28" s="70">
        <v>0</v>
      </c>
      <c r="J28" s="70"/>
      <c r="K28" s="70"/>
      <c r="L28" s="221">
        <f t="shared" si="16"/>
        <v>0</v>
      </c>
      <c r="M28" s="221">
        <f t="shared" si="17"/>
        <v>0</v>
      </c>
      <c r="N28" s="221">
        <f t="shared" si="18"/>
        <v>0</v>
      </c>
      <c r="O28" s="70"/>
      <c r="P28" s="83">
        <f t="shared" si="20"/>
        <v>0</v>
      </c>
      <c r="Q28" s="83">
        <f t="shared" si="21"/>
        <v>0</v>
      </c>
      <c r="R28" s="83">
        <f t="shared" si="22"/>
        <v>0</v>
      </c>
      <c r="S28" s="83">
        <f t="shared" si="23"/>
        <v>0</v>
      </c>
      <c r="T28" s="304">
        <f t="shared" si="24"/>
        <v>0</v>
      </c>
      <c r="U28" s="126"/>
      <c r="V28" s="208">
        <f t="shared" si="25"/>
        <v>0</v>
      </c>
    </row>
    <row r="29" spans="1:24" x14ac:dyDescent="0.2">
      <c r="A29" s="14"/>
      <c r="B29" s="14"/>
      <c r="C29" s="70"/>
      <c r="D29" s="70"/>
      <c r="E29" s="70">
        <v>0</v>
      </c>
      <c r="F29" s="70"/>
      <c r="G29" s="70"/>
      <c r="H29" s="70"/>
      <c r="I29" s="70"/>
      <c r="J29" s="70"/>
      <c r="K29" s="70"/>
      <c r="L29" s="219"/>
      <c r="M29" s="220"/>
      <c r="N29" s="219">
        <f t="shared" si="18"/>
        <v>0</v>
      </c>
      <c r="O29" s="70"/>
      <c r="P29" s="83">
        <f t="shared" si="20"/>
        <v>0</v>
      </c>
      <c r="Q29" s="83">
        <f t="shared" si="21"/>
        <v>0</v>
      </c>
      <c r="R29" s="83">
        <f t="shared" si="22"/>
        <v>0</v>
      </c>
      <c r="S29" s="83">
        <f t="shared" si="23"/>
        <v>0</v>
      </c>
      <c r="T29" s="304">
        <f t="shared" si="24"/>
        <v>0</v>
      </c>
      <c r="U29" s="126"/>
      <c r="V29" s="208">
        <f t="shared" si="25"/>
        <v>0</v>
      </c>
    </row>
    <row r="30" spans="1:24" x14ac:dyDescent="0.2">
      <c r="A30" s="7" t="s">
        <v>26</v>
      </c>
      <c r="B30" s="5" t="s">
        <v>27</v>
      </c>
      <c r="C30" s="69">
        <f>+C31</f>
        <v>28627000</v>
      </c>
      <c r="D30" s="69">
        <f>SUM(D31)</f>
        <v>28627000</v>
      </c>
      <c r="E30" s="69">
        <f>SUM(E31)</f>
        <v>28627000</v>
      </c>
      <c r="F30" s="69">
        <f>SUM(F31)</f>
        <v>32210407</v>
      </c>
      <c r="G30" s="69"/>
      <c r="H30" s="69">
        <f>SUM(H31)</f>
        <v>15717456</v>
      </c>
      <c r="I30" s="69">
        <f>SUM(I31)</f>
        <v>24507259</v>
      </c>
      <c r="J30" s="69">
        <f>SUM(J31)</f>
        <v>32210279</v>
      </c>
      <c r="K30" s="69"/>
      <c r="L30" s="222"/>
      <c r="M30" s="223">
        <f>+I30/E30</f>
        <v>0.85608897194955813</v>
      </c>
      <c r="N30" s="222"/>
      <c r="O30" s="69"/>
      <c r="P30" s="69">
        <f t="shared" si="20"/>
        <v>0</v>
      </c>
      <c r="Q30" s="69">
        <f t="shared" si="21"/>
        <v>0</v>
      </c>
      <c r="R30" s="69">
        <f t="shared" si="22"/>
        <v>3583407</v>
      </c>
      <c r="S30" s="69">
        <f t="shared" si="23"/>
        <v>3583407</v>
      </c>
      <c r="T30" s="284">
        <f t="shared" si="24"/>
        <v>0.12517577811157299</v>
      </c>
      <c r="U30" s="69"/>
      <c r="V30" s="279">
        <f t="shared" si="25"/>
        <v>3583407</v>
      </c>
    </row>
    <row r="31" spans="1:24" x14ac:dyDescent="0.2">
      <c r="A31" s="14"/>
      <c r="B31" s="20" t="s">
        <v>28</v>
      </c>
      <c r="C31" s="70">
        <f>28000000+(2500000+350000)*0.22</f>
        <v>28627000</v>
      </c>
      <c r="D31" s="70">
        <v>28627000</v>
      </c>
      <c r="E31" s="70">
        <v>28627000</v>
      </c>
      <c r="F31" s="70">
        <v>32210407</v>
      </c>
      <c r="G31" s="70"/>
      <c r="H31" s="70">
        <v>15717456</v>
      </c>
      <c r="I31" s="70">
        <v>24507259</v>
      </c>
      <c r="J31" s="70">
        <v>32210279</v>
      </c>
      <c r="K31" s="70"/>
      <c r="L31" s="221">
        <f>IF(H31&gt;0,H31/C31,0)</f>
        <v>0.54904307122646456</v>
      </c>
      <c r="M31" s="221">
        <f>IF(I31&gt;0,I31/D31,0)</f>
        <v>0.85608897194955813</v>
      </c>
      <c r="N31" s="221">
        <f>IF(J31&gt;0,J31/E31,0)</f>
        <v>1.1251713068082578</v>
      </c>
      <c r="O31" s="70"/>
      <c r="P31" s="83">
        <f t="shared" ref="P31" si="26">+(D31-C31)*P$10</f>
        <v>0</v>
      </c>
      <c r="Q31" s="83">
        <f t="shared" ref="Q31" si="27">+(E31-D31)*Q$10</f>
        <v>0</v>
      </c>
      <c r="R31" s="83">
        <f t="shared" ref="R31" si="28">+(F31-E31)*R$10</f>
        <v>3583407</v>
      </c>
      <c r="S31" s="83">
        <f t="shared" ref="S31" si="29">SUM(P31:R31)</f>
        <v>3583407</v>
      </c>
      <c r="T31" s="304">
        <f t="shared" ref="T31" si="30">IF(C31=0,0,+S31/C31)</f>
        <v>0.12517577811157299</v>
      </c>
      <c r="U31" s="126"/>
      <c r="V31" s="208">
        <f t="shared" ref="V31" si="31">+S31-E31+C31</f>
        <v>3583407</v>
      </c>
    </row>
    <row r="32" spans="1:24" x14ac:dyDescent="0.2">
      <c r="A32" s="14"/>
      <c r="B32" s="14"/>
      <c r="C32" s="70"/>
      <c r="D32" s="70"/>
      <c r="E32" s="70"/>
      <c r="F32" s="70"/>
      <c r="G32" s="70"/>
      <c r="H32" s="70"/>
      <c r="I32" s="70"/>
      <c r="J32" s="70"/>
      <c r="K32" s="70"/>
      <c r="L32" s="219"/>
      <c r="M32" s="220"/>
      <c r="N32" s="219"/>
      <c r="O32" s="70"/>
      <c r="P32" s="70"/>
      <c r="Q32" s="70"/>
      <c r="R32" s="70"/>
      <c r="S32" s="70"/>
      <c r="T32" s="285"/>
      <c r="U32" s="70"/>
      <c r="V32" s="278"/>
    </row>
    <row r="33" spans="1:24" x14ac:dyDescent="0.2">
      <c r="A33" s="7" t="s">
        <v>29</v>
      </c>
      <c r="B33" s="5" t="s">
        <v>30</v>
      </c>
      <c r="C33" s="69">
        <f>+C34+C42+C49+C67+C72</f>
        <v>8913000</v>
      </c>
      <c r="D33" s="69">
        <f>+D34+D42+D49+D67+D72</f>
        <v>10814000</v>
      </c>
      <c r="E33" s="69">
        <f>+E34+E42+E49+E67+E72</f>
        <v>11884000</v>
      </c>
      <c r="F33" s="69">
        <f>+F34+F42+F49+F67+F72</f>
        <v>12755015</v>
      </c>
      <c r="G33" s="69"/>
      <c r="H33" s="69">
        <f>+H34+H42+H49+H67+H72</f>
        <v>7922608</v>
      </c>
      <c r="I33" s="69">
        <f>+I34+I42+I49+I67+I72</f>
        <v>9510932</v>
      </c>
      <c r="J33" s="69">
        <f>+J34+J42+J49+J67+J72</f>
        <v>12355914</v>
      </c>
      <c r="K33" s="69"/>
      <c r="L33" s="222"/>
      <c r="M33" s="223">
        <f>+I33/E33</f>
        <v>0.80031403567822279</v>
      </c>
      <c r="N33" s="222"/>
      <c r="O33" s="69"/>
      <c r="P33" s="69">
        <f t="shared" ref="P33" si="32">+(D33-C33)*P$10</f>
        <v>1901000</v>
      </c>
      <c r="Q33" s="69">
        <f t="shared" ref="Q33" si="33">+(E33-D33)*Q$10</f>
        <v>1070000</v>
      </c>
      <c r="R33" s="69">
        <f t="shared" ref="R33" si="34">+(F33-E33)*R$10</f>
        <v>871015</v>
      </c>
      <c r="S33" s="69">
        <f t="shared" ref="S33" si="35">SUM(P33:R33)</f>
        <v>3842015</v>
      </c>
      <c r="T33" s="284">
        <f t="shared" ref="T33" si="36">IF(C33=0,0,+S33/C33)</f>
        <v>0.43105744418265457</v>
      </c>
      <c r="U33" s="69"/>
      <c r="V33" s="279">
        <f t="shared" ref="V33" si="37">+S33-E33+C33</f>
        <v>871015</v>
      </c>
    </row>
    <row r="34" spans="1:24" x14ac:dyDescent="0.2">
      <c r="A34" s="39" t="s">
        <v>31</v>
      </c>
      <c r="B34" s="40" t="s">
        <v>32</v>
      </c>
      <c r="C34" s="101">
        <f>SUM(C35:C41)</f>
        <v>2680000</v>
      </c>
      <c r="D34" s="101">
        <f t="shared" ref="D34:F34" si="38">SUM(D35:D41)</f>
        <v>1979000</v>
      </c>
      <c r="E34" s="101">
        <f t="shared" si="38"/>
        <v>2079000</v>
      </c>
      <c r="F34" s="101">
        <f t="shared" si="38"/>
        <v>2411000</v>
      </c>
      <c r="G34" s="101"/>
      <c r="H34" s="101">
        <f t="shared" ref="H34" si="39">SUM(H35:H41)</f>
        <v>1532930</v>
      </c>
      <c r="I34" s="101">
        <f t="shared" ref="I34" si="40">SUM(I35:I41)</f>
        <v>1773555</v>
      </c>
      <c r="J34" s="101">
        <f t="shared" ref="J34" si="41">SUM(J35:J41)</f>
        <v>2397294</v>
      </c>
      <c r="K34" s="101"/>
      <c r="L34" s="224">
        <f t="shared" ref="L34:L65" si="42">IF(H34&gt;0,H34/C34,0)</f>
        <v>0.57198880597014923</v>
      </c>
      <c r="M34" s="225">
        <f t="shared" ref="M34:M65" si="43">IF(I34&gt;0,I34/D34,0)</f>
        <v>0.89618746841839314</v>
      </c>
      <c r="N34" s="224">
        <f t="shared" ref="N34:N65" si="44">IF(J34&gt;0,J34/E34,0)</f>
        <v>1.1530995670995672</v>
      </c>
      <c r="O34" s="101"/>
      <c r="P34" s="101">
        <f t="shared" ref="P34:P84" si="45">+(D34-C34)*P$10</f>
        <v>-701000</v>
      </c>
      <c r="Q34" s="101">
        <f t="shared" ref="Q34:Q84" si="46">+(E34-D34)*Q$10</f>
        <v>100000</v>
      </c>
      <c r="R34" s="101">
        <f t="shared" ref="R34:R84" si="47">+(F34-E34)*R$10</f>
        <v>332000</v>
      </c>
      <c r="S34" s="101">
        <f t="shared" ref="S34:S84" si="48">SUM(P34:R34)</f>
        <v>-269000</v>
      </c>
      <c r="T34" s="286">
        <f t="shared" ref="T34:T84" si="49">IF(C34=0,0,+S34/C34)</f>
        <v>-0.1003731343283582</v>
      </c>
      <c r="U34" s="101"/>
      <c r="V34" s="280">
        <f t="shared" ref="V34:V84" si="50">+S34-E34+C34</f>
        <v>332000</v>
      </c>
    </row>
    <row r="35" spans="1:24" x14ac:dyDescent="0.2">
      <c r="A35" s="14" t="s">
        <v>33</v>
      </c>
      <c r="B35" s="20" t="s">
        <v>35</v>
      </c>
      <c r="C35" s="70">
        <v>197000</v>
      </c>
      <c r="D35" s="70">
        <v>197000</v>
      </c>
      <c r="E35" s="70">
        <v>157000</v>
      </c>
      <c r="F35" s="70">
        <v>104000</v>
      </c>
      <c r="G35" s="70"/>
      <c r="H35" s="70">
        <v>45289</v>
      </c>
      <c r="I35" s="70">
        <v>45289</v>
      </c>
      <c r="J35" s="70">
        <v>103954</v>
      </c>
      <c r="K35" s="70"/>
      <c r="L35" s="219">
        <f t="shared" si="42"/>
        <v>0.22989340101522843</v>
      </c>
      <c r="M35" s="226">
        <f t="shared" si="43"/>
        <v>0.22989340101522843</v>
      </c>
      <c r="N35" s="219">
        <f t="shared" si="44"/>
        <v>0.66212738853503184</v>
      </c>
      <c r="O35" s="70"/>
      <c r="P35" s="70">
        <f t="shared" si="45"/>
        <v>0</v>
      </c>
      <c r="Q35" s="70">
        <f t="shared" si="46"/>
        <v>-40000</v>
      </c>
      <c r="R35" s="70">
        <f t="shared" si="47"/>
        <v>-53000</v>
      </c>
      <c r="S35" s="70">
        <f t="shared" si="48"/>
        <v>-93000</v>
      </c>
      <c r="T35" s="285">
        <f t="shared" si="49"/>
        <v>-0.4720812182741117</v>
      </c>
      <c r="U35" s="70"/>
      <c r="V35" s="278">
        <f t="shared" si="50"/>
        <v>-53000</v>
      </c>
    </row>
    <row r="36" spans="1:24" x14ac:dyDescent="0.2">
      <c r="A36" s="14"/>
      <c r="B36" s="20" t="s">
        <v>89</v>
      </c>
      <c r="C36" s="70">
        <v>0</v>
      </c>
      <c r="D36" s="70">
        <v>0</v>
      </c>
      <c r="E36" s="70">
        <v>0</v>
      </c>
      <c r="F36" s="70"/>
      <c r="G36" s="70"/>
      <c r="H36" s="70">
        <v>0</v>
      </c>
      <c r="I36" s="70"/>
      <c r="J36" s="70"/>
      <c r="K36" s="70"/>
      <c r="L36" s="219">
        <f t="shared" si="42"/>
        <v>0</v>
      </c>
      <c r="M36" s="220">
        <f t="shared" si="43"/>
        <v>0</v>
      </c>
      <c r="N36" s="219">
        <f t="shared" si="44"/>
        <v>0</v>
      </c>
      <c r="O36" s="70"/>
      <c r="P36" s="70">
        <f t="shared" si="45"/>
        <v>0</v>
      </c>
      <c r="Q36" s="70">
        <f t="shared" si="46"/>
        <v>0</v>
      </c>
      <c r="R36" s="70">
        <f t="shared" si="47"/>
        <v>0</v>
      </c>
      <c r="S36" s="70">
        <f t="shared" si="48"/>
        <v>0</v>
      </c>
      <c r="T36" s="285">
        <f t="shared" si="49"/>
        <v>0</v>
      </c>
      <c r="U36" s="70"/>
      <c r="V36" s="278">
        <f t="shared" si="50"/>
        <v>0</v>
      </c>
    </row>
    <row r="37" spans="1:24" x14ac:dyDescent="0.2">
      <c r="A37" s="14" t="s">
        <v>34</v>
      </c>
      <c r="B37" s="20" t="s">
        <v>36</v>
      </c>
      <c r="C37" s="70">
        <v>2483000</v>
      </c>
      <c r="D37" s="152">
        <v>1782000</v>
      </c>
      <c r="E37" s="70">
        <v>1922000</v>
      </c>
      <c r="F37" s="70">
        <v>2307000</v>
      </c>
      <c r="G37" s="70"/>
      <c r="H37" s="70">
        <v>1487641</v>
      </c>
      <c r="I37" s="70">
        <v>1728266</v>
      </c>
      <c r="J37" s="70">
        <v>2293340</v>
      </c>
      <c r="K37" s="70"/>
      <c r="L37" s="219">
        <f t="shared" si="42"/>
        <v>0.59913048731373342</v>
      </c>
      <c r="M37" s="226">
        <f t="shared" si="43"/>
        <v>0.96984624017957355</v>
      </c>
      <c r="N37" s="219">
        <f t="shared" si="44"/>
        <v>1.1932049947970864</v>
      </c>
      <c r="O37" s="70"/>
      <c r="P37" s="70">
        <f t="shared" si="45"/>
        <v>-701000</v>
      </c>
      <c r="Q37" s="70">
        <f t="shared" si="46"/>
        <v>140000</v>
      </c>
      <c r="R37" s="70">
        <f t="shared" si="47"/>
        <v>385000</v>
      </c>
      <c r="S37" s="70">
        <f t="shared" si="48"/>
        <v>-176000</v>
      </c>
      <c r="T37" s="285">
        <f t="shared" si="49"/>
        <v>-7.0881997583568265E-2</v>
      </c>
      <c r="U37" s="70"/>
      <c r="V37" s="278">
        <f t="shared" si="50"/>
        <v>385000</v>
      </c>
      <c r="X37" s="38"/>
    </row>
    <row r="38" spans="1:24" x14ac:dyDescent="0.2">
      <c r="A38" s="14"/>
      <c r="B38" s="20" t="s">
        <v>96</v>
      </c>
      <c r="C38" s="70"/>
      <c r="D38" s="152">
        <v>0</v>
      </c>
      <c r="E38" s="70">
        <v>0</v>
      </c>
      <c r="F38" s="70"/>
      <c r="G38" s="70"/>
      <c r="H38" s="70">
        <v>0</v>
      </c>
      <c r="I38" s="70"/>
      <c r="J38" s="70"/>
      <c r="K38" s="70"/>
      <c r="L38" s="219">
        <f t="shared" si="42"/>
        <v>0</v>
      </c>
      <c r="M38" s="220">
        <f t="shared" si="43"/>
        <v>0</v>
      </c>
      <c r="N38" s="219">
        <f t="shared" si="44"/>
        <v>0</v>
      </c>
      <c r="O38" s="70"/>
      <c r="P38" s="70">
        <f t="shared" si="45"/>
        <v>0</v>
      </c>
      <c r="Q38" s="70">
        <f t="shared" si="46"/>
        <v>0</v>
      </c>
      <c r="R38" s="70">
        <f t="shared" si="47"/>
        <v>0</v>
      </c>
      <c r="S38" s="70">
        <f t="shared" si="48"/>
        <v>0</v>
      </c>
      <c r="T38" s="285">
        <f t="shared" si="49"/>
        <v>0</v>
      </c>
      <c r="U38" s="70"/>
      <c r="V38" s="278">
        <f t="shared" si="50"/>
        <v>0</v>
      </c>
    </row>
    <row r="39" spans="1:24" x14ac:dyDescent="0.2">
      <c r="A39" s="14"/>
      <c r="B39" s="20" t="s">
        <v>95</v>
      </c>
      <c r="C39" s="70"/>
      <c r="D39" s="152"/>
      <c r="E39" s="70"/>
      <c r="F39" s="70"/>
      <c r="G39" s="70"/>
      <c r="H39" s="70"/>
      <c r="I39" s="70"/>
      <c r="J39" s="70"/>
      <c r="K39" s="70"/>
      <c r="L39" s="219">
        <f t="shared" si="42"/>
        <v>0</v>
      </c>
      <c r="M39" s="220">
        <f t="shared" si="43"/>
        <v>0</v>
      </c>
      <c r="N39" s="219">
        <f t="shared" si="44"/>
        <v>0</v>
      </c>
      <c r="O39" s="70"/>
      <c r="P39" s="70">
        <f t="shared" si="45"/>
        <v>0</v>
      </c>
      <c r="Q39" s="70">
        <f t="shared" si="46"/>
        <v>0</v>
      </c>
      <c r="R39" s="70">
        <f t="shared" si="47"/>
        <v>0</v>
      </c>
      <c r="S39" s="70">
        <f t="shared" si="48"/>
        <v>0</v>
      </c>
      <c r="T39" s="285">
        <f t="shared" si="49"/>
        <v>0</v>
      </c>
      <c r="U39" s="70"/>
      <c r="V39" s="278">
        <f t="shared" si="50"/>
        <v>0</v>
      </c>
    </row>
    <row r="40" spans="1:24" x14ac:dyDescent="0.2">
      <c r="A40" s="14"/>
      <c r="B40" s="20" t="s">
        <v>94</v>
      </c>
      <c r="C40" s="70"/>
      <c r="D40" s="152"/>
      <c r="E40" s="70"/>
      <c r="F40" s="70"/>
      <c r="G40" s="70"/>
      <c r="H40" s="70"/>
      <c r="I40" s="70"/>
      <c r="J40" s="70"/>
      <c r="K40" s="70"/>
      <c r="L40" s="219">
        <f t="shared" si="42"/>
        <v>0</v>
      </c>
      <c r="M40" s="220">
        <f t="shared" si="43"/>
        <v>0</v>
      </c>
      <c r="N40" s="219">
        <f t="shared" si="44"/>
        <v>0</v>
      </c>
      <c r="O40" s="70"/>
      <c r="P40" s="70">
        <f t="shared" si="45"/>
        <v>0</v>
      </c>
      <c r="Q40" s="70">
        <f t="shared" si="46"/>
        <v>0</v>
      </c>
      <c r="R40" s="70">
        <f t="shared" si="47"/>
        <v>0</v>
      </c>
      <c r="S40" s="70">
        <f t="shared" si="48"/>
        <v>0</v>
      </c>
      <c r="T40" s="285">
        <f t="shared" si="49"/>
        <v>0</v>
      </c>
      <c r="U40" s="70"/>
      <c r="V40" s="278">
        <f t="shared" si="50"/>
        <v>0</v>
      </c>
    </row>
    <row r="41" spans="1:24" x14ac:dyDescent="0.2">
      <c r="A41" s="14"/>
      <c r="B41" s="20" t="s">
        <v>93</v>
      </c>
      <c r="C41" s="70">
        <v>0</v>
      </c>
      <c r="D41" s="152">
        <v>0</v>
      </c>
      <c r="E41" s="70">
        <v>0</v>
      </c>
      <c r="F41" s="70"/>
      <c r="G41" s="70"/>
      <c r="H41" s="70">
        <v>0</v>
      </c>
      <c r="I41" s="70"/>
      <c r="J41" s="70"/>
      <c r="K41" s="70"/>
      <c r="L41" s="219">
        <f t="shared" si="42"/>
        <v>0</v>
      </c>
      <c r="M41" s="220">
        <f t="shared" si="43"/>
        <v>0</v>
      </c>
      <c r="N41" s="219">
        <f t="shared" si="44"/>
        <v>0</v>
      </c>
      <c r="O41" s="70"/>
      <c r="P41" s="70">
        <f t="shared" si="45"/>
        <v>0</v>
      </c>
      <c r="Q41" s="70">
        <f t="shared" si="46"/>
        <v>0</v>
      </c>
      <c r="R41" s="70">
        <f t="shared" si="47"/>
        <v>0</v>
      </c>
      <c r="S41" s="70">
        <f t="shared" si="48"/>
        <v>0</v>
      </c>
      <c r="T41" s="285">
        <f t="shared" si="49"/>
        <v>0</v>
      </c>
      <c r="U41" s="70"/>
      <c r="V41" s="278">
        <f t="shared" si="50"/>
        <v>0</v>
      </c>
    </row>
    <row r="42" spans="1:24" x14ac:dyDescent="0.2">
      <c r="A42" s="39" t="s">
        <v>37</v>
      </c>
      <c r="B42" s="40" t="s">
        <v>38</v>
      </c>
      <c r="C42" s="101">
        <f>+C43+C47</f>
        <v>118000</v>
      </c>
      <c r="D42" s="600">
        <f>+D43+D47</f>
        <v>101000</v>
      </c>
      <c r="E42" s="101">
        <f>+E43+E47</f>
        <v>101000</v>
      </c>
      <c r="F42" s="101">
        <f>+F43+F47</f>
        <v>141000</v>
      </c>
      <c r="G42" s="101"/>
      <c r="H42" s="101">
        <f>+H43+H47</f>
        <v>59173</v>
      </c>
      <c r="I42" s="101">
        <f>+I43+I47</f>
        <v>88309</v>
      </c>
      <c r="J42" s="101">
        <f>+J43+J47</f>
        <v>117339</v>
      </c>
      <c r="K42" s="101"/>
      <c r="L42" s="224">
        <f t="shared" si="42"/>
        <v>0.50146610169491523</v>
      </c>
      <c r="M42" s="225">
        <f t="shared" si="43"/>
        <v>0.87434653465346535</v>
      </c>
      <c r="N42" s="224">
        <f t="shared" si="44"/>
        <v>1.1617722772277228</v>
      </c>
      <c r="O42" s="101"/>
      <c r="P42" s="101">
        <f t="shared" si="45"/>
        <v>-17000</v>
      </c>
      <c r="Q42" s="101">
        <f t="shared" si="46"/>
        <v>0</v>
      </c>
      <c r="R42" s="101">
        <f t="shared" si="47"/>
        <v>40000</v>
      </c>
      <c r="S42" s="101">
        <f t="shared" si="48"/>
        <v>23000</v>
      </c>
      <c r="T42" s="286">
        <f t="shared" si="49"/>
        <v>0.19491525423728814</v>
      </c>
      <c r="U42" s="101"/>
      <c r="V42" s="280">
        <f t="shared" si="50"/>
        <v>40000</v>
      </c>
    </row>
    <row r="43" spans="1:24" x14ac:dyDescent="0.2">
      <c r="A43" s="14" t="s">
        <v>39</v>
      </c>
      <c r="B43" s="20" t="s">
        <v>40</v>
      </c>
      <c r="C43" s="70">
        <v>118000</v>
      </c>
      <c r="D43" s="152">
        <v>0</v>
      </c>
      <c r="E43" s="70">
        <f>+D43</f>
        <v>0</v>
      </c>
      <c r="F43" s="70">
        <v>0</v>
      </c>
      <c r="G43" s="70"/>
      <c r="H43" s="70">
        <v>0</v>
      </c>
      <c r="I43" s="70">
        <v>0</v>
      </c>
      <c r="J43" s="70">
        <v>0</v>
      </c>
      <c r="K43" s="70"/>
      <c r="L43" s="219">
        <f t="shared" si="42"/>
        <v>0</v>
      </c>
      <c r="M43" s="226">
        <f t="shared" si="43"/>
        <v>0</v>
      </c>
      <c r="N43" s="219">
        <f t="shared" si="44"/>
        <v>0</v>
      </c>
      <c r="O43" s="70"/>
      <c r="P43" s="70">
        <f t="shared" si="45"/>
        <v>-118000</v>
      </c>
      <c r="Q43" s="70">
        <f t="shared" si="46"/>
        <v>0</v>
      </c>
      <c r="R43" s="70">
        <f t="shared" si="47"/>
        <v>0</v>
      </c>
      <c r="S43" s="70">
        <f t="shared" si="48"/>
        <v>-118000</v>
      </c>
      <c r="T43" s="285">
        <f t="shared" si="49"/>
        <v>-1</v>
      </c>
      <c r="U43" s="70"/>
      <c r="V43" s="278">
        <f t="shared" si="50"/>
        <v>0</v>
      </c>
    </row>
    <row r="44" spans="1:24" x14ac:dyDescent="0.2">
      <c r="A44" s="14"/>
      <c r="B44" s="20" t="s">
        <v>41</v>
      </c>
      <c r="C44" s="70">
        <v>0</v>
      </c>
      <c r="D44" s="152"/>
      <c r="E44" s="70"/>
      <c r="F44" s="70"/>
      <c r="G44" s="70"/>
      <c r="H44" s="70">
        <v>0</v>
      </c>
      <c r="I44" s="70"/>
      <c r="J44" s="70"/>
      <c r="K44" s="70"/>
      <c r="L44" s="219">
        <f t="shared" si="42"/>
        <v>0</v>
      </c>
      <c r="M44" s="220">
        <f t="shared" si="43"/>
        <v>0</v>
      </c>
      <c r="N44" s="219">
        <f t="shared" si="44"/>
        <v>0</v>
      </c>
      <c r="O44" s="70"/>
      <c r="P44" s="70">
        <f t="shared" si="45"/>
        <v>0</v>
      </c>
      <c r="Q44" s="70">
        <f t="shared" si="46"/>
        <v>0</v>
      </c>
      <c r="R44" s="70">
        <f t="shared" si="47"/>
        <v>0</v>
      </c>
      <c r="S44" s="70">
        <f t="shared" si="48"/>
        <v>0</v>
      </c>
      <c r="T44" s="285">
        <f t="shared" si="49"/>
        <v>0</v>
      </c>
      <c r="U44" s="70"/>
      <c r="V44" s="278">
        <f t="shared" si="50"/>
        <v>0</v>
      </c>
    </row>
    <row r="45" spans="1:24" x14ac:dyDescent="0.2">
      <c r="A45" s="14"/>
      <c r="B45" s="20" t="s">
        <v>42</v>
      </c>
      <c r="C45" s="70">
        <v>0</v>
      </c>
      <c r="D45" s="152"/>
      <c r="E45" s="70"/>
      <c r="F45" s="70"/>
      <c r="G45" s="70"/>
      <c r="H45" s="70"/>
      <c r="I45" s="70"/>
      <c r="J45" s="70"/>
      <c r="K45" s="70"/>
      <c r="L45" s="219">
        <f t="shared" si="42"/>
        <v>0</v>
      </c>
      <c r="M45" s="220">
        <f t="shared" si="43"/>
        <v>0</v>
      </c>
      <c r="N45" s="219">
        <f t="shared" si="44"/>
        <v>0</v>
      </c>
      <c r="O45" s="70"/>
      <c r="P45" s="70">
        <f t="shared" si="45"/>
        <v>0</v>
      </c>
      <c r="Q45" s="70">
        <f t="shared" si="46"/>
        <v>0</v>
      </c>
      <c r="R45" s="70">
        <f t="shared" si="47"/>
        <v>0</v>
      </c>
      <c r="S45" s="70">
        <f t="shared" si="48"/>
        <v>0</v>
      </c>
      <c r="T45" s="285">
        <f t="shared" si="49"/>
        <v>0</v>
      </c>
      <c r="U45" s="70"/>
      <c r="V45" s="278">
        <f t="shared" si="50"/>
        <v>0</v>
      </c>
    </row>
    <row r="46" spans="1:24" x14ac:dyDescent="0.2">
      <c r="A46" s="14"/>
      <c r="B46" s="20" t="s">
        <v>43</v>
      </c>
      <c r="C46" s="70">
        <v>0</v>
      </c>
      <c r="D46" s="152"/>
      <c r="E46" s="70"/>
      <c r="F46" s="70"/>
      <c r="G46" s="70"/>
      <c r="H46" s="70"/>
      <c r="I46" s="70"/>
      <c r="J46" s="70"/>
      <c r="K46" s="70"/>
      <c r="L46" s="219">
        <f t="shared" si="42"/>
        <v>0</v>
      </c>
      <c r="M46" s="220">
        <f t="shared" si="43"/>
        <v>0</v>
      </c>
      <c r="N46" s="219">
        <f t="shared" si="44"/>
        <v>0</v>
      </c>
      <c r="O46" s="70"/>
      <c r="P46" s="70">
        <f t="shared" si="45"/>
        <v>0</v>
      </c>
      <c r="Q46" s="70">
        <f t="shared" si="46"/>
        <v>0</v>
      </c>
      <c r="R46" s="70">
        <f t="shared" si="47"/>
        <v>0</v>
      </c>
      <c r="S46" s="70">
        <f t="shared" si="48"/>
        <v>0</v>
      </c>
      <c r="T46" s="285">
        <f t="shared" si="49"/>
        <v>0</v>
      </c>
      <c r="U46" s="70"/>
      <c r="V46" s="278">
        <f t="shared" si="50"/>
        <v>0</v>
      </c>
    </row>
    <row r="47" spans="1:24" x14ac:dyDescent="0.2">
      <c r="A47" s="14" t="s">
        <v>44</v>
      </c>
      <c r="B47" s="20" t="s">
        <v>45</v>
      </c>
      <c r="C47" s="70">
        <v>0</v>
      </c>
      <c r="D47" s="152">
        <v>101000</v>
      </c>
      <c r="E47" s="70">
        <v>101000</v>
      </c>
      <c r="F47" s="70">
        <v>141000</v>
      </c>
      <c r="G47" s="70"/>
      <c r="H47" s="70">
        <v>59173</v>
      </c>
      <c r="I47" s="70">
        <v>88309</v>
      </c>
      <c r="J47" s="70">
        <v>117339</v>
      </c>
      <c r="K47" s="70"/>
      <c r="L47" s="219" t="e">
        <f t="shared" si="42"/>
        <v>#DIV/0!</v>
      </c>
      <c r="M47" s="226">
        <f t="shared" si="43"/>
        <v>0.87434653465346535</v>
      </c>
      <c r="N47" s="219">
        <f t="shared" si="44"/>
        <v>1.1617722772277228</v>
      </c>
      <c r="O47" s="70"/>
      <c r="P47" s="70">
        <f t="shared" si="45"/>
        <v>101000</v>
      </c>
      <c r="Q47" s="70">
        <f t="shared" si="46"/>
        <v>0</v>
      </c>
      <c r="R47" s="70">
        <f t="shared" si="47"/>
        <v>40000</v>
      </c>
      <c r="S47" s="70">
        <f t="shared" si="48"/>
        <v>141000</v>
      </c>
      <c r="T47" s="285">
        <f t="shared" si="49"/>
        <v>0</v>
      </c>
      <c r="U47" s="70"/>
      <c r="V47" s="278">
        <f t="shared" si="50"/>
        <v>40000</v>
      </c>
    </row>
    <row r="48" spans="1:24" x14ac:dyDescent="0.2">
      <c r="A48" s="14"/>
      <c r="B48" s="20" t="s">
        <v>46</v>
      </c>
      <c r="C48" s="70">
        <v>0</v>
      </c>
      <c r="D48" s="152">
        <v>0</v>
      </c>
      <c r="E48" s="70">
        <v>0</v>
      </c>
      <c r="F48" s="70"/>
      <c r="G48" s="70"/>
      <c r="H48" s="70"/>
      <c r="I48" s="70"/>
      <c r="J48" s="70"/>
      <c r="K48" s="70"/>
      <c r="L48" s="219">
        <f t="shared" si="42"/>
        <v>0</v>
      </c>
      <c r="M48" s="220">
        <f t="shared" si="43"/>
        <v>0</v>
      </c>
      <c r="N48" s="219">
        <f t="shared" si="44"/>
        <v>0</v>
      </c>
      <c r="O48" s="70"/>
      <c r="P48" s="70">
        <f t="shared" si="45"/>
        <v>0</v>
      </c>
      <c r="Q48" s="70">
        <f t="shared" si="46"/>
        <v>0</v>
      </c>
      <c r="R48" s="70">
        <f t="shared" si="47"/>
        <v>0</v>
      </c>
      <c r="S48" s="70">
        <f t="shared" si="48"/>
        <v>0</v>
      </c>
      <c r="T48" s="285">
        <f t="shared" si="49"/>
        <v>0</v>
      </c>
      <c r="U48" s="70"/>
      <c r="V48" s="278">
        <f t="shared" si="50"/>
        <v>0</v>
      </c>
    </row>
    <row r="49" spans="1:22" s="43" customFormat="1" x14ac:dyDescent="0.2">
      <c r="A49" s="39" t="s">
        <v>47</v>
      </c>
      <c r="B49" s="40" t="s">
        <v>48</v>
      </c>
      <c r="C49" s="101">
        <f>+C50+C54+C57+C59+C61+C63+C65</f>
        <v>4135000</v>
      </c>
      <c r="D49" s="600">
        <f>+D50+D54+D57+D59+D61+D63+D65</f>
        <v>6634000</v>
      </c>
      <c r="E49" s="101">
        <f>+E50+E54+E57+E59+E61+E63+E65</f>
        <v>7514000</v>
      </c>
      <c r="F49" s="101">
        <f>+F50+F54+F57+F59+F61+F63+F65</f>
        <v>7576740</v>
      </c>
      <c r="G49" s="101"/>
      <c r="H49" s="101">
        <f>+H50+H54+H57+H59+H61+H63+H65</f>
        <v>4777631</v>
      </c>
      <c r="I49" s="101">
        <f>+I50+I54+I57+I59+I61+I63+I65</f>
        <v>5772603</v>
      </c>
      <c r="J49" s="101">
        <f>+J50+J54+J57+J59+J61+J63+J65</f>
        <v>7464870</v>
      </c>
      <c r="K49" s="101"/>
      <c r="L49" s="224">
        <f t="shared" si="42"/>
        <v>1.1554125755743652</v>
      </c>
      <c r="M49" s="225">
        <f t="shared" si="43"/>
        <v>0.87015420560747658</v>
      </c>
      <c r="N49" s="224">
        <f t="shared" si="44"/>
        <v>0.99346153846153851</v>
      </c>
      <c r="O49" s="101"/>
      <c r="P49" s="101">
        <f t="shared" si="45"/>
        <v>2499000</v>
      </c>
      <c r="Q49" s="101">
        <f t="shared" si="46"/>
        <v>880000</v>
      </c>
      <c r="R49" s="101">
        <f t="shared" si="47"/>
        <v>62740</v>
      </c>
      <c r="S49" s="101">
        <f t="shared" si="48"/>
        <v>3441740</v>
      </c>
      <c r="T49" s="286">
        <f t="shared" si="49"/>
        <v>0.83234340991535671</v>
      </c>
      <c r="U49" s="101"/>
      <c r="V49" s="280">
        <f t="shared" si="50"/>
        <v>62740</v>
      </c>
    </row>
    <row r="50" spans="1:22" x14ac:dyDescent="0.2">
      <c r="A50" s="14" t="s">
        <v>49</v>
      </c>
      <c r="B50" s="20" t="s">
        <v>50</v>
      </c>
      <c r="C50" s="235">
        <v>3150000</v>
      </c>
      <c r="D50" s="152">
        <v>5600000</v>
      </c>
      <c r="E50" s="70">
        <v>6100000</v>
      </c>
      <c r="F50" s="70">
        <v>5527000</v>
      </c>
      <c r="G50" s="70"/>
      <c r="H50" s="70">
        <v>3994311</v>
      </c>
      <c r="I50" s="70">
        <v>4740442</v>
      </c>
      <c r="J50" s="70">
        <v>5460950</v>
      </c>
      <c r="K50" s="70"/>
      <c r="L50" s="219">
        <f t="shared" si="42"/>
        <v>1.268035238095238</v>
      </c>
      <c r="M50" s="226">
        <f t="shared" si="43"/>
        <v>0.84650749999999997</v>
      </c>
      <c r="N50" s="219">
        <f t="shared" si="44"/>
        <v>0.89523770491803278</v>
      </c>
      <c r="O50" s="70"/>
      <c r="P50" s="70">
        <f t="shared" si="45"/>
        <v>2450000</v>
      </c>
      <c r="Q50" s="70">
        <f t="shared" si="46"/>
        <v>500000</v>
      </c>
      <c r="R50" s="70">
        <f t="shared" si="47"/>
        <v>-573000</v>
      </c>
      <c r="S50" s="70">
        <f t="shared" si="48"/>
        <v>2377000</v>
      </c>
      <c r="T50" s="285">
        <f t="shared" si="49"/>
        <v>0.75460317460317461</v>
      </c>
      <c r="U50" s="70"/>
      <c r="V50" s="278">
        <f t="shared" si="50"/>
        <v>-573000</v>
      </c>
    </row>
    <row r="51" spans="1:22" x14ac:dyDescent="0.2">
      <c r="A51" s="14" t="s">
        <v>103</v>
      </c>
      <c r="B51" s="20" t="s">
        <v>97</v>
      </c>
      <c r="C51" s="70"/>
      <c r="D51" s="152"/>
      <c r="E51" s="70"/>
      <c r="F51" s="70"/>
      <c r="G51" s="70"/>
      <c r="H51" s="70"/>
      <c r="I51" s="70"/>
      <c r="J51" s="70"/>
      <c r="K51" s="70"/>
      <c r="L51" s="219">
        <f t="shared" si="42"/>
        <v>0</v>
      </c>
      <c r="M51" s="220">
        <f t="shared" si="43"/>
        <v>0</v>
      </c>
      <c r="N51" s="219">
        <f t="shared" si="44"/>
        <v>0</v>
      </c>
      <c r="O51" s="70"/>
      <c r="P51" s="70">
        <f t="shared" si="45"/>
        <v>0</v>
      </c>
      <c r="Q51" s="70">
        <f t="shared" si="46"/>
        <v>0</v>
      </c>
      <c r="R51" s="70">
        <f t="shared" si="47"/>
        <v>0</v>
      </c>
      <c r="S51" s="70">
        <f t="shared" si="48"/>
        <v>0</v>
      </c>
      <c r="T51" s="285">
        <f t="shared" si="49"/>
        <v>0</v>
      </c>
      <c r="U51" s="70"/>
      <c r="V51" s="278">
        <f t="shared" si="50"/>
        <v>0</v>
      </c>
    </row>
    <row r="52" spans="1:22" x14ac:dyDescent="0.2">
      <c r="A52" s="14"/>
      <c r="B52" s="20" t="s">
        <v>98</v>
      </c>
      <c r="C52" s="70"/>
      <c r="D52" s="152"/>
      <c r="E52" s="70"/>
      <c r="F52" s="70"/>
      <c r="G52" s="70"/>
      <c r="H52" s="70"/>
      <c r="I52" s="70"/>
      <c r="J52" s="70"/>
      <c r="K52" s="70"/>
      <c r="L52" s="219">
        <f t="shared" si="42"/>
        <v>0</v>
      </c>
      <c r="M52" s="220">
        <f t="shared" si="43"/>
        <v>0</v>
      </c>
      <c r="N52" s="219">
        <f t="shared" si="44"/>
        <v>0</v>
      </c>
      <c r="O52" s="70"/>
      <c r="P52" s="70">
        <f t="shared" si="45"/>
        <v>0</v>
      </c>
      <c r="Q52" s="70">
        <f t="shared" si="46"/>
        <v>0</v>
      </c>
      <c r="R52" s="70">
        <f t="shared" si="47"/>
        <v>0</v>
      </c>
      <c r="S52" s="70">
        <f t="shared" si="48"/>
        <v>0</v>
      </c>
      <c r="T52" s="285">
        <f t="shared" si="49"/>
        <v>0</v>
      </c>
      <c r="U52" s="70"/>
      <c r="V52" s="278">
        <f t="shared" si="50"/>
        <v>0</v>
      </c>
    </row>
    <row r="53" spans="1:22" x14ac:dyDescent="0.2">
      <c r="A53" s="14"/>
      <c r="B53" s="20" t="s">
        <v>99</v>
      </c>
      <c r="C53" s="70"/>
      <c r="D53" s="152"/>
      <c r="E53" s="70"/>
      <c r="F53" s="70"/>
      <c r="G53" s="70"/>
      <c r="H53" s="70"/>
      <c r="I53" s="70"/>
      <c r="J53" s="70"/>
      <c r="K53" s="70"/>
      <c r="L53" s="219">
        <f t="shared" si="42"/>
        <v>0</v>
      </c>
      <c r="M53" s="220">
        <f t="shared" si="43"/>
        <v>0</v>
      </c>
      <c r="N53" s="219">
        <f t="shared" si="44"/>
        <v>0</v>
      </c>
      <c r="O53" s="70"/>
      <c r="P53" s="70">
        <f t="shared" si="45"/>
        <v>0</v>
      </c>
      <c r="Q53" s="70">
        <f t="shared" si="46"/>
        <v>0</v>
      </c>
      <c r="R53" s="70">
        <f t="shared" si="47"/>
        <v>0</v>
      </c>
      <c r="S53" s="70">
        <f t="shared" si="48"/>
        <v>0</v>
      </c>
      <c r="T53" s="285">
        <f t="shared" si="49"/>
        <v>0</v>
      </c>
      <c r="U53" s="70"/>
      <c r="V53" s="278">
        <f t="shared" si="50"/>
        <v>0</v>
      </c>
    </row>
    <row r="54" spans="1:22" x14ac:dyDescent="0.2">
      <c r="A54" s="14" t="s">
        <v>51</v>
      </c>
      <c r="B54" s="20" t="s">
        <v>52</v>
      </c>
      <c r="C54" s="70"/>
      <c r="D54" s="152"/>
      <c r="E54" s="70"/>
      <c r="F54" s="70"/>
      <c r="G54" s="70"/>
      <c r="H54" s="70"/>
      <c r="I54" s="70"/>
      <c r="J54" s="70"/>
      <c r="K54" s="70"/>
      <c r="L54" s="219">
        <f t="shared" si="42"/>
        <v>0</v>
      </c>
      <c r="M54" s="220">
        <f t="shared" si="43"/>
        <v>0</v>
      </c>
      <c r="N54" s="219">
        <f t="shared" si="44"/>
        <v>0</v>
      </c>
      <c r="O54" s="70"/>
      <c r="P54" s="70">
        <f t="shared" si="45"/>
        <v>0</v>
      </c>
      <c r="Q54" s="70">
        <f t="shared" si="46"/>
        <v>0</v>
      </c>
      <c r="R54" s="70">
        <f t="shared" si="47"/>
        <v>0</v>
      </c>
      <c r="S54" s="70">
        <f t="shared" si="48"/>
        <v>0</v>
      </c>
      <c r="T54" s="285">
        <f t="shared" si="49"/>
        <v>0</v>
      </c>
      <c r="U54" s="70"/>
      <c r="V54" s="278">
        <f t="shared" si="50"/>
        <v>0</v>
      </c>
    </row>
    <row r="55" spans="1:22" x14ac:dyDescent="0.2">
      <c r="A55" s="14"/>
      <c r="B55" s="20" t="s">
        <v>90</v>
      </c>
      <c r="C55" s="70"/>
      <c r="D55" s="152"/>
      <c r="E55" s="70"/>
      <c r="F55" s="70"/>
      <c r="G55" s="70"/>
      <c r="H55" s="70"/>
      <c r="I55" s="70"/>
      <c r="J55" s="70"/>
      <c r="K55" s="70"/>
      <c r="L55" s="219">
        <f t="shared" si="42"/>
        <v>0</v>
      </c>
      <c r="M55" s="220">
        <f t="shared" si="43"/>
        <v>0</v>
      </c>
      <c r="N55" s="219">
        <f t="shared" si="44"/>
        <v>0</v>
      </c>
      <c r="O55" s="70"/>
      <c r="P55" s="70">
        <f t="shared" si="45"/>
        <v>0</v>
      </c>
      <c r="Q55" s="70">
        <f t="shared" si="46"/>
        <v>0</v>
      </c>
      <c r="R55" s="70">
        <f t="shared" si="47"/>
        <v>0</v>
      </c>
      <c r="S55" s="70">
        <f t="shared" si="48"/>
        <v>0</v>
      </c>
      <c r="T55" s="285">
        <f t="shared" si="49"/>
        <v>0</v>
      </c>
      <c r="U55" s="70"/>
      <c r="V55" s="278">
        <f t="shared" si="50"/>
        <v>0</v>
      </c>
    </row>
    <row r="56" spans="1:22" x14ac:dyDescent="0.2">
      <c r="A56" s="14"/>
      <c r="B56" s="20" t="s">
        <v>53</v>
      </c>
      <c r="C56" s="70"/>
      <c r="D56" s="152"/>
      <c r="E56" s="70"/>
      <c r="F56" s="70"/>
      <c r="G56" s="70"/>
      <c r="H56" s="70"/>
      <c r="I56" s="70"/>
      <c r="J56" s="70"/>
      <c r="K56" s="70"/>
      <c r="L56" s="219">
        <f t="shared" si="42"/>
        <v>0</v>
      </c>
      <c r="M56" s="220">
        <f t="shared" si="43"/>
        <v>0</v>
      </c>
      <c r="N56" s="219">
        <f t="shared" si="44"/>
        <v>0</v>
      </c>
      <c r="O56" s="70"/>
      <c r="P56" s="70">
        <f t="shared" si="45"/>
        <v>0</v>
      </c>
      <c r="Q56" s="70">
        <f t="shared" si="46"/>
        <v>0</v>
      </c>
      <c r="R56" s="70">
        <f t="shared" si="47"/>
        <v>0</v>
      </c>
      <c r="S56" s="70">
        <f t="shared" si="48"/>
        <v>0</v>
      </c>
      <c r="T56" s="285">
        <f t="shared" si="49"/>
        <v>0</v>
      </c>
      <c r="U56" s="70"/>
      <c r="V56" s="278">
        <f t="shared" si="50"/>
        <v>0</v>
      </c>
    </row>
    <row r="57" spans="1:22" x14ac:dyDescent="0.2">
      <c r="A57" s="14" t="s">
        <v>54</v>
      </c>
      <c r="B57" s="20" t="s">
        <v>55</v>
      </c>
      <c r="C57" s="70"/>
      <c r="D57" s="152"/>
      <c r="E57" s="70"/>
      <c r="F57" s="70"/>
      <c r="G57" s="70"/>
      <c r="H57" s="70"/>
      <c r="I57" s="70"/>
      <c r="J57" s="70"/>
      <c r="K57" s="70"/>
      <c r="L57" s="219">
        <f t="shared" si="42"/>
        <v>0</v>
      </c>
      <c r="M57" s="220">
        <f t="shared" si="43"/>
        <v>0</v>
      </c>
      <c r="N57" s="219">
        <f t="shared" si="44"/>
        <v>0</v>
      </c>
      <c r="O57" s="70"/>
      <c r="P57" s="70">
        <f t="shared" si="45"/>
        <v>0</v>
      </c>
      <c r="Q57" s="70">
        <f t="shared" si="46"/>
        <v>0</v>
      </c>
      <c r="R57" s="70">
        <f t="shared" si="47"/>
        <v>0</v>
      </c>
      <c r="S57" s="70">
        <f t="shared" si="48"/>
        <v>0</v>
      </c>
      <c r="T57" s="285">
        <f t="shared" si="49"/>
        <v>0</v>
      </c>
      <c r="U57" s="70"/>
      <c r="V57" s="278">
        <f t="shared" si="50"/>
        <v>0</v>
      </c>
    </row>
    <row r="58" spans="1:22" x14ac:dyDescent="0.2">
      <c r="A58" s="14"/>
      <c r="B58" s="20" t="s">
        <v>56</v>
      </c>
      <c r="C58" s="70"/>
      <c r="D58" s="152"/>
      <c r="E58" s="70"/>
      <c r="F58" s="70"/>
      <c r="G58" s="70"/>
      <c r="H58" s="70"/>
      <c r="I58" s="70"/>
      <c r="J58" s="70"/>
      <c r="K58" s="70"/>
      <c r="L58" s="219">
        <f t="shared" si="42"/>
        <v>0</v>
      </c>
      <c r="M58" s="220">
        <f t="shared" si="43"/>
        <v>0</v>
      </c>
      <c r="N58" s="219">
        <f t="shared" si="44"/>
        <v>0</v>
      </c>
      <c r="O58" s="70"/>
      <c r="P58" s="70">
        <f t="shared" si="45"/>
        <v>0</v>
      </c>
      <c r="Q58" s="70">
        <f t="shared" si="46"/>
        <v>0</v>
      </c>
      <c r="R58" s="70">
        <f t="shared" si="47"/>
        <v>0</v>
      </c>
      <c r="S58" s="70">
        <f t="shared" si="48"/>
        <v>0</v>
      </c>
      <c r="T58" s="285">
        <f t="shared" si="49"/>
        <v>0</v>
      </c>
      <c r="U58" s="70"/>
      <c r="V58" s="278">
        <f t="shared" si="50"/>
        <v>0</v>
      </c>
    </row>
    <row r="59" spans="1:22" x14ac:dyDescent="0.2">
      <c r="A59" s="14" t="s">
        <v>57</v>
      </c>
      <c r="B59" s="20" t="s">
        <v>91</v>
      </c>
      <c r="C59" s="70">
        <v>315000</v>
      </c>
      <c r="D59" s="152">
        <v>191000</v>
      </c>
      <c r="E59" s="70">
        <v>131000</v>
      </c>
      <c r="F59" s="70">
        <v>55000</v>
      </c>
      <c r="G59" s="70"/>
      <c r="H59" s="70">
        <v>24000</v>
      </c>
      <c r="I59" s="70">
        <v>24000</v>
      </c>
      <c r="J59" s="70">
        <v>55000</v>
      </c>
      <c r="K59" s="70"/>
      <c r="L59" s="219">
        <f t="shared" si="42"/>
        <v>7.6190476190476197E-2</v>
      </c>
      <c r="M59" s="226">
        <f t="shared" si="43"/>
        <v>0.1256544502617801</v>
      </c>
      <c r="N59" s="219">
        <f t="shared" si="44"/>
        <v>0.41984732824427479</v>
      </c>
      <c r="O59" s="70"/>
      <c r="P59" s="70">
        <f t="shared" si="45"/>
        <v>-124000</v>
      </c>
      <c r="Q59" s="70">
        <f t="shared" si="46"/>
        <v>-60000</v>
      </c>
      <c r="R59" s="70">
        <f t="shared" si="47"/>
        <v>-76000</v>
      </c>
      <c r="S59" s="70">
        <f t="shared" si="48"/>
        <v>-260000</v>
      </c>
      <c r="T59" s="285">
        <f t="shared" si="49"/>
        <v>-0.82539682539682535</v>
      </c>
      <c r="U59" s="70"/>
      <c r="V59" s="278">
        <f t="shared" si="50"/>
        <v>-76000</v>
      </c>
    </row>
    <row r="60" spans="1:22" x14ac:dyDescent="0.2">
      <c r="A60" s="14"/>
      <c r="B60" s="20" t="s">
        <v>58</v>
      </c>
      <c r="C60" s="70"/>
      <c r="D60" s="152"/>
      <c r="E60" s="70"/>
      <c r="F60" s="70"/>
      <c r="G60" s="70"/>
      <c r="H60" s="70"/>
      <c r="I60" s="70"/>
      <c r="J60" s="70"/>
      <c r="K60" s="70"/>
      <c r="L60" s="219">
        <f t="shared" si="42"/>
        <v>0</v>
      </c>
      <c r="M60" s="220">
        <f t="shared" si="43"/>
        <v>0</v>
      </c>
      <c r="N60" s="219">
        <f t="shared" si="44"/>
        <v>0</v>
      </c>
      <c r="O60" s="70"/>
      <c r="P60" s="70">
        <f t="shared" si="45"/>
        <v>0</v>
      </c>
      <c r="Q60" s="70">
        <f t="shared" si="46"/>
        <v>0</v>
      </c>
      <c r="R60" s="70">
        <f t="shared" si="47"/>
        <v>0</v>
      </c>
      <c r="S60" s="70">
        <f t="shared" si="48"/>
        <v>0</v>
      </c>
      <c r="T60" s="285">
        <f t="shared" si="49"/>
        <v>0</v>
      </c>
      <c r="U60" s="70"/>
      <c r="V60" s="278">
        <f t="shared" si="50"/>
        <v>0</v>
      </c>
    </row>
    <row r="61" spans="1:22" x14ac:dyDescent="0.2">
      <c r="A61" s="14" t="s">
        <v>59</v>
      </c>
      <c r="B61" s="20" t="s">
        <v>60</v>
      </c>
      <c r="C61" s="70"/>
      <c r="D61" s="152"/>
      <c r="E61" s="70"/>
      <c r="F61" s="70"/>
      <c r="G61" s="70"/>
      <c r="H61" s="70"/>
      <c r="I61" s="70"/>
      <c r="J61" s="70"/>
      <c r="K61" s="70"/>
      <c r="L61" s="219">
        <f t="shared" si="42"/>
        <v>0</v>
      </c>
      <c r="M61" s="220">
        <f t="shared" si="43"/>
        <v>0</v>
      </c>
      <c r="N61" s="219">
        <f t="shared" si="44"/>
        <v>0</v>
      </c>
      <c r="O61" s="70"/>
      <c r="P61" s="70">
        <f t="shared" si="45"/>
        <v>0</v>
      </c>
      <c r="Q61" s="70">
        <f t="shared" si="46"/>
        <v>0</v>
      </c>
      <c r="R61" s="70">
        <f t="shared" si="47"/>
        <v>0</v>
      </c>
      <c r="S61" s="70">
        <f t="shared" si="48"/>
        <v>0</v>
      </c>
      <c r="T61" s="285">
        <f t="shared" si="49"/>
        <v>0</v>
      </c>
      <c r="U61" s="70"/>
      <c r="V61" s="278">
        <f t="shared" si="50"/>
        <v>0</v>
      </c>
    </row>
    <row r="62" spans="1:22" ht="25.5" x14ac:dyDescent="0.2">
      <c r="A62" s="20"/>
      <c r="B62" s="20" t="s">
        <v>61</v>
      </c>
      <c r="C62" s="70"/>
      <c r="D62" s="152"/>
      <c r="E62" s="70"/>
      <c r="F62" s="70"/>
      <c r="G62" s="70"/>
      <c r="H62" s="70"/>
      <c r="I62" s="70"/>
      <c r="J62" s="70"/>
      <c r="K62" s="70"/>
      <c r="L62" s="219">
        <f t="shared" si="42"/>
        <v>0</v>
      </c>
      <c r="M62" s="220">
        <f t="shared" si="43"/>
        <v>0</v>
      </c>
      <c r="N62" s="219">
        <f t="shared" si="44"/>
        <v>0</v>
      </c>
      <c r="O62" s="70"/>
      <c r="P62" s="70">
        <f t="shared" si="45"/>
        <v>0</v>
      </c>
      <c r="Q62" s="70">
        <f t="shared" si="46"/>
        <v>0</v>
      </c>
      <c r="R62" s="70">
        <f t="shared" si="47"/>
        <v>0</v>
      </c>
      <c r="S62" s="70">
        <f t="shared" si="48"/>
        <v>0</v>
      </c>
      <c r="T62" s="285">
        <f t="shared" si="49"/>
        <v>0</v>
      </c>
      <c r="U62" s="70"/>
      <c r="V62" s="278">
        <f t="shared" si="50"/>
        <v>0</v>
      </c>
    </row>
    <row r="63" spans="1:22" x14ac:dyDescent="0.2">
      <c r="A63" s="14" t="s">
        <v>62</v>
      </c>
      <c r="B63" s="20" t="s">
        <v>63</v>
      </c>
      <c r="C63" s="70">
        <v>394000</v>
      </c>
      <c r="D63" s="152">
        <v>542000</v>
      </c>
      <c r="E63" s="70">
        <v>817000</v>
      </c>
      <c r="F63" s="70">
        <v>1046000</v>
      </c>
      <c r="G63" s="70"/>
      <c r="H63" s="70">
        <v>493300</v>
      </c>
      <c r="I63" s="70">
        <v>582790</v>
      </c>
      <c r="J63" s="70">
        <v>1000390</v>
      </c>
      <c r="K63" s="70"/>
      <c r="L63" s="219">
        <f t="shared" si="42"/>
        <v>1.2520304568527918</v>
      </c>
      <c r="M63" s="226">
        <f t="shared" si="43"/>
        <v>1.0752583025830258</v>
      </c>
      <c r="N63" s="219">
        <f t="shared" si="44"/>
        <v>1.224467564259486</v>
      </c>
      <c r="O63" s="70"/>
      <c r="P63" s="70">
        <f t="shared" si="45"/>
        <v>148000</v>
      </c>
      <c r="Q63" s="70">
        <f t="shared" si="46"/>
        <v>275000</v>
      </c>
      <c r="R63" s="70">
        <f t="shared" si="47"/>
        <v>229000</v>
      </c>
      <c r="S63" s="70">
        <f t="shared" si="48"/>
        <v>652000</v>
      </c>
      <c r="T63" s="285">
        <f t="shared" si="49"/>
        <v>1.6548223350253808</v>
      </c>
      <c r="U63" s="70"/>
      <c r="V63" s="278">
        <f t="shared" si="50"/>
        <v>229000</v>
      </c>
    </row>
    <row r="64" spans="1:22" ht="76.5" x14ac:dyDescent="0.2">
      <c r="A64" s="14"/>
      <c r="B64" s="20" t="s">
        <v>102</v>
      </c>
      <c r="C64" s="70"/>
      <c r="D64" s="152"/>
      <c r="E64" s="70"/>
      <c r="F64" s="70"/>
      <c r="G64" s="70"/>
      <c r="H64" s="70">
        <v>0</v>
      </c>
      <c r="I64" s="70"/>
      <c r="J64" s="70"/>
      <c r="K64" s="70"/>
      <c r="L64" s="219">
        <f t="shared" si="42"/>
        <v>0</v>
      </c>
      <c r="M64" s="220">
        <f t="shared" si="43"/>
        <v>0</v>
      </c>
      <c r="N64" s="219">
        <f t="shared" si="44"/>
        <v>0</v>
      </c>
      <c r="O64" s="70"/>
      <c r="P64" s="70">
        <f t="shared" si="45"/>
        <v>0</v>
      </c>
      <c r="Q64" s="70">
        <f t="shared" si="46"/>
        <v>0</v>
      </c>
      <c r="R64" s="70">
        <f t="shared" si="47"/>
        <v>0</v>
      </c>
      <c r="S64" s="70">
        <f t="shared" si="48"/>
        <v>0</v>
      </c>
      <c r="T64" s="285">
        <f t="shared" si="49"/>
        <v>0</v>
      </c>
      <c r="U64" s="70"/>
      <c r="V64" s="278">
        <f t="shared" si="50"/>
        <v>0</v>
      </c>
    </row>
    <row r="65" spans="1:24" x14ac:dyDescent="0.2">
      <c r="A65" s="14" t="s">
        <v>64</v>
      </c>
      <c r="B65" s="20" t="s">
        <v>65</v>
      </c>
      <c r="C65" s="70">
        <v>276000</v>
      </c>
      <c r="D65" s="152">
        <v>301000</v>
      </c>
      <c r="E65" s="70">
        <v>466000</v>
      </c>
      <c r="F65" s="70">
        <v>948740</v>
      </c>
      <c r="G65" s="70"/>
      <c r="H65" s="70">
        <v>266020</v>
      </c>
      <c r="I65" s="70">
        <v>425371</v>
      </c>
      <c r="J65" s="70">
        <v>948530</v>
      </c>
      <c r="K65" s="70"/>
      <c r="L65" s="219">
        <f t="shared" si="42"/>
        <v>0.96384057971014492</v>
      </c>
      <c r="M65" s="226">
        <f t="shared" si="43"/>
        <v>1.4131926910299004</v>
      </c>
      <c r="N65" s="219">
        <f t="shared" si="44"/>
        <v>2.0354721030042917</v>
      </c>
      <c r="O65" s="70"/>
      <c r="P65" s="70">
        <f t="shared" si="45"/>
        <v>25000</v>
      </c>
      <c r="Q65" s="70">
        <f t="shared" si="46"/>
        <v>165000</v>
      </c>
      <c r="R65" s="70">
        <f t="shared" si="47"/>
        <v>482740</v>
      </c>
      <c r="S65" s="70">
        <f t="shared" si="48"/>
        <v>672740</v>
      </c>
      <c r="T65" s="285">
        <f t="shared" si="49"/>
        <v>2.4374637681159421</v>
      </c>
      <c r="U65" s="70"/>
      <c r="V65" s="278">
        <f t="shared" si="50"/>
        <v>482740</v>
      </c>
    </row>
    <row r="66" spans="1:24" ht="38.25" x14ac:dyDescent="0.2">
      <c r="A66" s="14"/>
      <c r="B66" s="20" t="s">
        <v>66</v>
      </c>
      <c r="C66" s="70"/>
      <c r="D66" s="70"/>
      <c r="E66" s="70"/>
      <c r="F66" s="70"/>
      <c r="G66" s="70"/>
      <c r="H66" s="70"/>
      <c r="I66" s="70"/>
      <c r="J66" s="70"/>
      <c r="K66" s="70"/>
      <c r="L66" s="219">
        <f t="shared" ref="L66:N102" si="51">IF(H66&gt;0,H66/C66,0)</f>
        <v>0</v>
      </c>
      <c r="M66" s="220">
        <f t="shared" ref="M66:M102" si="52">IF(I66&gt;0,I66/D66,0)</f>
        <v>0</v>
      </c>
      <c r="N66" s="219">
        <f t="shared" ref="N66:N102" si="53">IF(J66&gt;0,J66/E66,0)</f>
        <v>0</v>
      </c>
      <c r="O66" s="70"/>
      <c r="P66" s="70">
        <f t="shared" si="45"/>
        <v>0</v>
      </c>
      <c r="Q66" s="70">
        <f t="shared" si="46"/>
        <v>0</v>
      </c>
      <c r="R66" s="70">
        <f t="shared" si="47"/>
        <v>0</v>
      </c>
      <c r="S66" s="70">
        <f t="shared" si="48"/>
        <v>0</v>
      </c>
      <c r="T66" s="285">
        <f t="shared" si="49"/>
        <v>0</v>
      </c>
      <c r="U66" s="70"/>
      <c r="V66" s="278">
        <f t="shared" si="50"/>
        <v>0</v>
      </c>
    </row>
    <row r="67" spans="1:24" s="43" customFormat="1" x14ac:dyDescent="0.2">
      <c r="A67" s="39" t="s">
        <v>67</v>
      </c>
      <c r="B67" s="40" t="s">
        <v>68</v>
      </c>
      <c r="C67" s="101">
        <f>+C68+C70</f>
        <v>150000</v>
      </c>
      <c r="D67" s="101">
        <f t="shared" ref="D67:F67" si="54">+D68+D70</f>
        <v>133000</v>
      </c>
      <c r="E67" s="101">
        <f t="shared" si="54"/>
        <v>133000</v>
      </c>
      <c r="F67" s="101">
        <f t="shared" si="54"/>
        <v>133000</v>
      </c>
      <c r="G67" s="101"/>
      <c r="H67" s="101">
        <f>+H68+H70</f>
        <v>50270</v>
      </c>
      <c r="I67" s="101">
        <f>+I68+I70</f>
        <v>70165</v>
      </c>
      <c r="J67" s="101">
        <f>+J68+J70</f>
        <v>128732</v>
      </c>
      <c r="K67" s="101"/>
      <c r="L67" s="224">
        <f t="shared" si="51"/>
        <v>0.33513333333333334</v>
      </c>
      <c r="M67" s="225">
        <f t="shared" si="52"/>
        <v>0.52755639097744356</v>
      </c>
      <c r="N67" s="224">
        <f t="shared" si="53"/>
        <v>0.96790977443609028</v>
      </c>
      <c r="O67" s="101"/>
      <c r="P67" s="101">
        <f t="shared" si="45"/>
        <v>-17000</v>
      </c>
      <c r="Q67" s="101">
        <f t="shared" si="46"/>
        <v>0</v>
      </c>
      <c r="R67" s="101">
        <f t="shared" si="47"/>
        <v>0</v>
      </c>
      <c r="S67" s="101">
        <f t="shared" si="48"/>
        <v>-17000</v>
      </c>
      <c r="T67" s="286">
        <f t="shared" si="49"/>
        <v>-0.11333333333333333</v>
      </c>
      <c r="U67" s="101"/>
      <c r="V67" s="280">
        <f t="shared" si="50"/>
        <v>0</v>
      </c>
      <c r="X67" s="60"/>
    </row>
    <row r="68" spans="1:24" x14ac:dyDescent="0.2">
      <c r="A68" s="14" t="s">
        <v>69</v>
      </c>
      <c r="B68" s="20" t="s">
        <v>70</v>
      </c>
      <c r="C68" s="70">
        <v>150000</v>
      </c>
      <c r="D68" s="70">
        <v>133000</v>
      </c>
      <c r="E68" s="70">
        <v>133000</v>
      </c>
      <c r="F68" s="70">
        <v>133000</v>
      </c>
      <c r="G68" s="70"/>
      <c r="H68" s="70">
        <v>50270</v>
      </c>
      <c r="I68" s="70">
        <v>70165</v>
      </c>
      <c r="J68" s="70">
        <v>128732</v>
      </c>
      <c r="K68" s="70"/>
      <c r="L68" s="219">
        <f t="shared" si="51"/>
        <v>0.33513333333333334</v>
      </c>
      <c r="M68" s="220">
        <f t="shared" si="52"/>
        <v>0.52755639097744356</v>
      </c>
      <c r="N68" s="219">
        <f t="shared" si="53"/>
        <v>0.96790977443609028</v>
      </c>
      <c r="O68" s="70"/>
      <c r="P68" s="70">
        <f t="shared" si="45"/>
        <v>-17000</v>
      </c>
      <c r="Q68" s="70">
        <f t="shared" si="46"/>
        <v>0</v>
      </c>
      <c r="R68" s="70">
        <f t="shared" si="47"/>
        <v>0</v>
      </c>
      <c r="S68" s="70">
        <f t="shared" si="48"/>
        <v>-17000</v>
      </c>
      <c r="T68" s="285">
        <f t="shared" si="49"/>
        <v>-0.11333333333333333</v>
      </c>
      <c r="U68" s="70"/>
      <c r="V68" s="278">
        <f t="shared" si="50"/>
        <v>0</v>
      </c>
    </row>
    <row r="69" spans="1:24" ht="38.25" x14ac:dyDescent="0.2">
      <c r="A69" s="14"/>
      <c r="B69" s="20" t="s">
        <v>71</v>
      </c>
      <c r="C69" s="70"/>
      <c r="D69" s="70">
        <v>0</v>
      </c>
      <c r="E69" s="70"/>
      <c r="F69" s="70"/>
      <c r="G69" s="70"/>
      <c r="H69" s="70"/>
      <c r="I69" s="70"/>
      <c r="J69" s="70"/>
      <c r="K69" s="70"/>
      <c r="L69" s="219">
        <f t="shared" si="51"/>
        <v>0</v>
      </c>
      <c r="M69" s="220">
        <f t="shared" si="52"/>
        <v>0</v>
      </c>
      <c r="N69" s="219">
        <f t="shared" si="53"/>
        <v>0</v>
      </c>
      <c r="O69" s="70"/>
      <c r="P69" s="70">
        <f t="shared" si="45"/>
        <v>0</v>
      </c>
      <c r="Q69" s="70">
        <f t="shared" si="46"/>
        <v>0</v>
      </c>
      <c r="R69" s="70">
        <f t="shared" si="47"/>
        <v>0</v>
      </c>
      <c r="S69" s="70">
        <f t="shared" si="48"/>
        <v>0</v>
      </c>
      <c r="T69" s="285">
        <f t="shared" si="49"/>
        <v>0</v>
      </c>
      <c r="U69" s="70"/>
      <c r="V69" s="278">
        <f t="shared" si="50"/>
        <v>0</v>
      </c>
      <c r="X69" s="38"/>
    </row>
    <row r="70" spans="1:24" x14ac:dyDescent="0.2">
      <c r="A70" s="14" t="s">
        <v>72</v>
      </c>
      <c r="B70" s="20" t="s">
        <v>100</v>
      </c>
      <c r="C70" s="70"/>
      <c r="D70" s="70"/>
      <c r="E70" s="70"/>
      <c r="F70" s="70"/>
      <c r="G70" s="70"/>
      <c r="H70" s="70"/>
      <c r="I70" s="70"/>
      <c r="J70" s="70"/>
      <c r="K70" s="70"/>
      <c r="L70" s="219">
        <f t="shared" si="51"/>
        <v>0</v>
      </c>
      <c r="M70" s="220">
        <f t="shared" si="52"/>
        <v>0</v>
      </c>
      <c r="N70" s="219">
        <f t="shared" si="53"/>
        <v>0</v>
      </c>
      <c r="O70" s="70"/>
      <c r="P70" s="70">
        <f t="shared" si="45"/>
        <v>0</v>
      </c>
      <c r="Q70" s="70">
        <f t="shared" si="46"/>
        <v>0</v>
      </c>
      <c r="R70" s="70">
        <f t="shared" si="47"/>
        <v>0</v>
      </c>
      <c r="S70" s="70">
        <f t="shared" si="48"/>
        <v>0</v>
      </c>
      <c r="T70" s="285">
        <f t="shared" si="49"/>
        <v>0</v>
      </c>
      <c r="U70" s="70"/>
      <c r="V70" s="278">
        <f t="shared" si="50"/>
        <v>0</v>
      </c>
      <c r="X70" s="38"/>
    </row>
    <row r="71" spans="1:24" ht="38.25" x14ac:dyDescent="0.2">
      <c r="A71" s="14"/>
      <c r="B71" s="20" t="s">
        <v>73</v>
      </c>
      <c r="C71" s="70"/>
      <c r="D71" s="70"/>
      <c r="E71" s="70"/>
      <c r="F71" s="70"/>
      <c r="G71" s="70"/>
      <c r="H71" s="70"/>
      <c r="I71" s="70"/>
      <c r="J71" s="70"/>
      <c r="K71" s="70"/>
      <c r="L71" s="219">
        <f t="shared" si="51"/>
        <v>0</v>
      </c>
      <c r="M71" s="220">
        <f t="shared" si="52"/>
        <v>0</v>
      </c>
      <c r="N71" s="219">
        <f t="shared" si="53"/>
        <v>0</v>
      </c>
      <c r="O71" s="70"/>
      <c r="P71" s="70">
        <f t="shared" si="45"/>
        <v>0</v>
      </c>
      <c r="Q71" s="70">
        <f t="shared" si="46"/>
        <v>0</v>
      </c>
      <c r="R71" s="70">
        <f t="shared" si="47"/>
        <v>0</v>
      </c>
      <c r="S71" s="70">
        <f t="shared" si="48"/>
        <v>0</v>
      </c>
      <c r="T71" s="285">
        <f t="shared" si="49"/>
        <v>0</v>
      </c>
      <c r="U71" s="70"/>
      <c r="V71" s="278">
        <f t="shared" si="50"/>
        <v>0</v>
      </c>
      <c r="X71" s="38"/>
    </row>
    <row r="72" spans="1:24" x14ac:dyDescent="0.2">
      <c r="A72" s="39" t="s">
        <v>74</v>
      </c>
      <c r="B72" s="40" t="s">
        <v>75</v>
      </c>
      <c r="C72" s="101">
        <f>+C73+C75+C77+C79+C81</f>
        <v>1830000</v>
      </c>
      <c r="D72" s="101">
        <f>+D73+D75+D77+D79+D81</f>
        <v>1967000</v>
      </c>
      <c r="E72" s="101">
        <f>+E73+E75+E77+E79+E81</f>
        <v>2057000</v>
      </c>
      <c r="F72" s="101">
        <f>+F73+F75+F77+F79+F81</f>
        <v>2493275</v>
      </c>
      <c r="G72" s="101"/>
      <c r="H72" s="101">
        <f>+H73+H75+H77+H79+H81</f>
        <v>1502604</v>
      </c>
      <c r="I72" s="101">
        <f>+I73+I75+I77+I79+I81</f>
        <v>1806300</v>
      </c>
      <c r="J72" s="101">
        <f>+J73+J75+J77+J79+J81</f>
        <v>2247679</v>
      </c>
      <c r="K72" s="101"/>
      <c r="L72" s="224">
        <f t="shared" si="51"/>
        <v>0.82109508196721315</v>
      </c>
      <c r="M72" s="225">
        <f t="shared" si="52"/>
        <v>0.91830198271479413</v>
      </c>
      <c r="N72" s="224">
        <f t="shared" si="53"/>
        <v>1.0926976178901313</v>
      </c>
      <c r="O72" s="101"/>
      <c r="P72" s="101">
        <f t="shared" si="45"/>
        <v>137000</v>
      </c>
      <c r="Q72" s="101">
        <f t="shared" si="46"/>
        <v>90000</v>
      </c>
      <c r="R72" s="101">
        <f t="shared" si="47"/>
        <v>436275</v>
      </c>
      <c r="S72" s="101">
        <f t="shared" si="48"/>
        <v>663275</v>
      </c>
      <c r="T72" s="286">
        <f t="shared" si="49"/>
        <v>0.36244535519125681</v>
      </c>
      <c r="U72" s="101"/>
      <c r="V72" s="280">
        <f t="shared" si="50"/>
        <v>436275</v>
      </c>
      <c r="X72" s="38"/>
    </row>
    <row r="73" spans="1:24" x14ac:dyDescent="0.2">
      <c r="A73" s="14" t="s">
        <v>76</v>
      </c>
      <c r="B73" s="20" t="s">
        <v>77</v>
      </c>
      <c r="C73" s="70">
        <v>1830000</v>
      </c>
      <c r="D73" s="70">
        <v>1960000</v>
      </c>
      <c r="E73" s="70">
        <v>2050000</v>
      </c>
      <c r="F73" s="70">
        <v>2263260</v>
      </c>
      <c r="G73" s="70"/>
      <c r="H73" s="70">
        <v>1501028</v>
      </c>
      <c r="I73" s="70">
        <v>1803439</v>
      </c>
      <c r="J73" s="70">
        <v>2242835</v>
      </c>
      <c r="K73" s="70"/>
      <c r="L73" s="219">
        <f t="shared" si="51"/>
        <v>0.82023387978142082</v>
      </c>
      <c r="M73" s="226">
        <f t="shared" si="52"/>
        <v>0.92012193877551018</v>
      </c>
      <c r="N73" s="219">
        <f t="shared" si="53"/>
        <v>1.0940658536585366</v>
      </c>
      <c r="O73" s="70"/>
      <c r="P73" s="70">
        <f t="shared" si="45"/>
        <v>130000</v>
      </c>
      <c r="Q73" s="70">
        <f t="shared" si="46"/>
        <v>90000</v>
      </c>
      <c r="R73" s="70">
        <f t="shared" si="47"/>
        <v>213260</v>
      </c>
      <c r="S73" s="70">
        <f t="shared" si="48"/>
        <v>433260</v>
      </c>
      <c r="T73" s="285">
        <f t="shared" si="49"/>
        <v>0.23675409836065575</v>
      </c>
      <c r="U73" s="70"/>
      <c r="V73" s="278">
        <f t="shared" si="50"/>
        <v>213260</v>
      </c>
      <c r="X73" s="38"/>
    </row>
    <row r="74" spans="1:24" x14ac:dyDescent="0.2">
      <c r="A74" s="14"/>
      <c r="B74" s="20" t="s">
        <v>78</v>
      </c>
      <c r="C74" s="70"/>
      <c r="D74" s="70">
        <v>0</v>
      </c>
      <c r="E74" s="70">
        <v>0</v>
      </c>
      <c r="F74" s="70"/>
      <c r="G74" s="70"/>
      <c r="H74" s="70">
        <v>0</v>
      </c>
      <c r="I74" s="70"/>
      <c r="J74" s="70"/>
      <c r="K74" s="70"/>
      <c r="L74" s="219">
        <f t="shared" si="51"/>
        <v>0</v>
      </c>
      <c r="M74" s="220">
        <f t="shared" si="52"/>
        <v>0</v>
      </c>
      <c r="N74" s="219">
        <f t="shared" si="53"/>
        <v>0</v>
      </c>
      <c r="O74" s="70"/>
      <c r="P74" s="70">
        <f t="shared" si="45"/>
        <v>0</v>
      </c>
      <c r="Q74" s="70">
        <f t="shared" si="46"/>
        <v>0</v>
      </c>
      <c r="R74" s="70">
        <f t="shared" si="47"/>
        <v>0</v>
      </c>
      <c r="S74" s="70">
        <f t="shared" si="48"/>
        <v>0</v>
      </c>
      <c r="T74" s="285">
        <f t="shared" si="49"/>
        <v>0</v>
      </c>
      <c r="U74" s="70"/>
      <c r="V74" s="278">
        <f t="shared" si="50"/>
        <v>0</v>
      </c>
      <c r="X74" s="38"/>
    </row>
    <row r="75" spans="1:24" x14ac:dyDescent="0.2">
      <c r="A75" s="14" t="s">
        <v>79</v>
      </c>
      <c r="B75" s="20" t="s">
        <v>80</v>
      </c>
      <c r="C75" s="70"/>
      <c r="D75" s="70"/>
      <c r="E75" s="70"/>
      <c r="F75" s="70"/>
      <c r="G75" s="70"/>
      <c r="H75" s="70"/>
      <c r="I75" s="70"/>
      <c r="J75" s="70"/>
      <c r="K75" s="70"/>
      <c r="L75" s="219">
        <f t="shared" si="51"/>
        <v>0</v>
      </c>
      <c r="M75" s="220">
        <f t="shared" si="52"/>
        <v>0</v>
      </c>
      <c r="N75" s="219">
        <f t="shared" si="53"/>
        <v>0</v>
      </c>
      <c r="O75" s="70"/>
      <c r="P75" s="70">
        <f t="shared" si="45"/>
        <v>0</v>
      </c>
      <c r="Q75" s="70">
        <f t="shared" si="46"/>
        <v>0</v>
      </c>
      <c r="R75" s="70">
        <f t="shared" si="47"/>
        <v>0</v>
      </c>
      <c r="S75" s="70">
        <f t="shared" si="48"/>
        <v>0</v>
      </c>
      <c r="T75" s="285">
        <f t="shared" si="49"/>
        <v>0</v>
      </c>
      <c r="U75" s="70"/>
      <c r="V75" s="278">
        <f t="shared" si="50"/>
        <v>0</v>
      </c>
      <c r="X75" s="38"/>
    </row>
    <row r="76" spans="1:24" ht="25.5" x14ac:dyDescent="0.2">
      <c r="A76" s="14"/>
      <c r="B76" s="20" t="s">
        <v>101</v>
      </c>
      <c r="C76" s="70"/>
      <c r="D76" s="70"/>
      <c r="E76" s="70"/>
      <c r="F76" s="70"/>
      <c r="G76" s="70"/>
      <c r="H76" s="70"/>
      <c r="I76" s="70"/>
      <c r="J76" s="70"/>
      <c r="K76" s="70"/>
      <c r="L76" s="219">
        <f t="shared" si="51"/>
        <v>0</v>
      </c>
      <c r="M76" s="220">
        <f t="shared" si="52"/>
        <v>0</v>
      </c>
      <c r="N76" s="219">
        <f t="shared" si="53"/>
        <v>0</v>
      </c>
      <c r="O76" s="70"/>
      <c r="P76" s="70">
        <f t="shared" si="45"/>
        <v>0</v>
      </c>
      <c r="Q76" s="70">
        <f t="shared" si="46"/>
        <v>0</v>
      </c>
      <c r="R76" s="70">
        <f t="shared" si="47"/>
        <v>0</v>
      </c>
      <c r="S76" s="70">
        <f t="shared" si="48"/>
        <v>0</v>
      </c>
      <c r="T76" s="285">
        <f t="shared" si="49"/>
        <v>0</v>
      </c>
      <c r="U76" s="70"/>
      <c r="V76" s="278">
        <f t="shared" si="50"/>
        <v>0</v>
      </c>
      <c r="X76" s="38"/>
    </row>
    <row r="77" spans="1:24" x14ac:dyDescent="0.2">
      <c r="A77" s="14" t="s">
        <v>81</v>
      </c>
      <c r="B77" s="20" t="s">
        <v>82</v>
      </c>
      <c r="C77" s="70"/>
      <c r="D77" s="70"/>
      <c r="E77" s="70"/>
      <c r="F77" s="70"/>
      <c r="G77" s="70"/>
      <c r="H77" s="70"/>
      <c r="I77" s="70"/>
      <c r="J77" s="70"/>
      <c r="K77" s="70"/>
      <c r="L77" s="219">
        <f t="shared" si="51"/>
        <v>0</v>
      </c>
      <c r="M77" s="220">
        <f t="shared" si="52"/>
        <v>0</v>
      </c>
      <c r="N77" s="219">
        <f t="shared" si="53"/>
        <v>0</v>
      </c>
      <c r="O77" s="70"/>
      <c r="P77" s="70">
        <f t="shared" si="45"/>
        <v>0</v>
      </c>
      <c r="Q77" s="70">
        <f t="shared" si="46"/>
        <v>0</v>
      </c>
      <c r="R77" s="70">
        <f t="shared" si="47"/>
        <v>0</v>
      </c>
      <c r="S77" s="70">
        <f t="shared" si="48"/>
        <v>0</v>
      </c>
      <c r="T77" s="285">
        <f t="shared" si="49"/>
        <v>0</v>
      </c>
      <c r="U77" s="70"/>
      <c r="V77" s="278">
        <f t="shared" si="50"/>
        <v>0</v>
      </c>
      <c r="X77" s="38"/>
    </row>
    <row r="78" spans="1:24" ht="25.5" x14ac:dyDescent="0.2">
      <c r="A78" s="14"/>
      <c r="B78" s="20" t="s">
        <v>83</v>
      </c>
      <c r="C78" s="70"/>
      <c r="D78" s="70"/>
      <c r="E78" s="70"/>
      <c r="F78" s="70"/>
      <c r="G78" s="70"/>
      <c r="H78" s="70"/>
      <c r="I78" s="70"/>
      <c r="J78" s="70"/>
      <c r="K78" s="70"/>
      <c r="L78" s="219">
        <f t="shared" si="51"/>
        <v>0</v>
      </c>
      <c r="M78" s="220">
        <f t="shared" si="52"/>
        <v>0</v>
      </c>
      <c r="N78" s="219">
        <f t="shared" si="53"/>
        <v>0</v>
      </c>
      <c r="O78" s="70"/>
      <c r="P78" s="70">
        <f t="shared" si="45"/>
        <v>0</v>
      </c>
      <c r="Q78" s="70">
        <f t="shared" si="46"/>
        <v>0</v>
      </c>
      <c r="R78" s="70">
        <f t="shared" si="47"/>
        <v>0</v>
      </c>
      <c r="S78" s="70">
        <f t="shared" si="48"/>
        <v>0</v>
      </c>
      <c r="T78" s="285">
        <f t="shared" si="49"/>
        <v>0</v>
      </c>
      <c r="U78" s="70"/>
      <c r="V78" s="278">
        <f t="shared" si="50"/>
        <v>0</v>
      </c>
      <c r="X78" s="38"/>
    </row>
    <row r="79" spans="1:24" x14ac:dyDescent="0.2">
      <c r="A79" s="14" t="s">
        <v>84</v>
      </c>
      <c r="B79" s="20" t="s">
        <v>85</v>
      </c>
      <c r="C79" s="70"/>
      <c r="D79" s="70"/>
      <c r="E79" s="70"/>
      <c r="F79" s="70"/>
      <c r="G79" s="70"/>
      <c r="H79" s="70"/>
      <c r="I79" s="70"/>
      <c r="J79" s="70"/>
      <c r="K79" s="70"/>
      <c r="L79" s="219">
        <f t="shared" si="51"/>
        <v>0</v>
      </c>
      <c r="M79" s="220">
        <f t="shared" si="52"/>
        <v>0</v>
      </c>
      <c r="N79" s="219">
        <f t="shared" si="53"/>
        <v>0</v>
      </c>
      <c r="O79" s="70"/>
      <c r="P79" s="70">
        <f t="shared" si="45"/>
        <v>0</v>
      </c>
      <c r="Q79" s="70">
        <f t="shared" si="46"/>
        <v>0</v>
      </c>
      <c r="R79" s="70">
        <f t="shared" si="47"/>
        <v>0</v>
      </c>
      <c r="S79" s="70">
        <f t="shared" si="48"/>
        <v>0</v>
      </c>
      <c r="T79" s="285">
        <f t="shared" si="49"/>
        <v>0</v>
      </c>
      <c r="U79" s="70"/>
      <c r="V79" s="278">
        <f t="shared" si="50"/>
        <v>0</v>
      </c>
      <c r="X79" s="38"/>
    </row>
    <row r="80" spans="1:24" x14ac:dyDescent="0.2">
      <c r="A80" s="14"/>
      <c r="B80" s="20" t="s">
        <v>86</v>
      </c>
      <c r="C80" s="70"/>
      <c r="D80" s="70"/>
      <c r="E80" s="70"/>
      <c r="F80" s="70"/>
      <c r="G80" s="70"/>
      <c r="H80" s="70"/>
      <c r="I80" s="70"/>
      <c r="J80" s="70"/>
      <c r="K80" s="70"/>
      <c r="L80" s="219">
        <f t="shared" si="51"/>
        <v>0</v>
      </c>
      <c r="M80" s="220">
        <f t="shared" si="52"/>
        <v>0</v>
      </c>
      <c r="N80" s="219">
        <f t="shared" si="53"/>
        <v>0</v>
      </c>
      <c r="O80" s="70"/>
      <c r="P80" s="70">
        <f t="shared" si="45"/>
        <v>0</v>
      </c>
      <c r="Q80" s="70">
        <f t="shared" si="46"/>
        <v>0</v>
      </c>
      <c r="R80" s="70">
        <f t="shared" si="47"/>
        <v>0</v>
      </c>
      <c r="S80" s="70">
        <f t="shared" si="48"/>
        <v>0</v>
      </c>
      <c r="T80" s="285">
        <f t="shared" si="49"/>
        <v>0</v>
      </c>
      <c r="U80" s="70"/>
      <c r="V80" s="278">
        <f t="shared" si="50"/>
        <v>0</v>
      </c>
      <c r="X80" s="38"/>
    </row>
    <row r="81" spans="1:24" x14ac:dyDescent="0.2">
      <c r="A81" s="14" t="s">
        <v>87</v>
      </c>
      <c r="B81" s="20" t="s">
        <v>88</v>
      </c>
      <c r="C81" s="70"/>
      <c r="D81" s="70">
        <v>7000</v>
      </c>
      <c r="E81" s="70">
        <v>7000</v>
      </c>
      <c r="F81" s="70">
        <v>230015</v>
      </c>
      <c r="G81" s="70"/>
      <c r="H81" s="70">
        <v>1576</v>
      </c>
      <c r="I81" s="70">
        <v>2861</v>
      </c>
      <c r="J81" s="70">
        <v>4844</v>
      </c>
      <c r="K81" s="70"/>
      <c r="L81" s="219" t="e">
        <f t="shared" si="51"/>
        <v>#DIV/0!</v>
      </c>
      <c r="M81" s="221">
        <f t="shared" si="52"/>
        <v>0.4087142857142857</v>
      </c>
      <c r="N81" s="219">
        <f t="shared" si="53"/>
        <v>0.69199999999999995</v>
      </c>
      <c r="O81" s="70"/>
      <c r="P81" s="70">
        <f t="shared" si="45"/>
        <v>7000</v>
      </c>
      <c r="Q81" s="70">
        <f t="shared" si="46"/>
        <v>0</v>
      </c>
      <c r="R81" s="70">
        <f t="shared" si="47"/>
        <v>223015</v>
      </c>
      <c r="S81" s="70">
        <f t="shared" si="48"/>
        <v>230015</v>
      </c>
      <c r="T81" s="285">
        <f t="shared" si="49"/>
        <v>0</v>
      </c>
      <c r="U81" s="70"/>
      <c r="V81" s="278">
        <f t="shared" si="50"/>
        <v>223015</v>
      </c>
      <c r="X81" s="38"/>
    </row>
    <row r="82" spans="1:24" ht="51" x14ac:dyDescent="0.2">
      <c r="A82" s="14"/>
      <c r="B82" s="20" t="s">
        <v>92</v>
      </c>
      <c r="C82" s="70">
        <v>0</v>
      </c>
      <c r="D82" s="70">
        <v>0</v>
      </c>
      <c r="E82" s="70">
        <v>0</v>
      </c>
      <c r="F82" s="70"/>
      <c r="G82" s="70"/>
      <c r="H82" s="70">
        <v>0</v>
      </c>
      <c r="I82" s="70"/>
      <c r="J82" s="70"/>
      <c r="K82" s="70"/>
      <c r="L82" s="219">
        <f t="shared" si="51"/>
        <v>0</v>
      </c>
      <c r="M82" s="221">
        <f t="shared" si="52"/>
        <v>0</v>
      </c>
      <c r="N82" s="219">
        <f t="shared" si="53"/>
        <v>0</v>
      </c>
      <c r="O82" s="70"/>
      <c r="P82" s="70">
        <f t="shared" si="45"/>
        <v>0</v>
      </c>
      <c r="Q82" s="70">
        <f t="shared" si="46"/>
        <v>0</v>
      </c>
      <c r="R82" s="70">
        <f t="shared" si="47"/>
        <v>0</v>
      </c>
      <c r="S82" s="70">
        <f t="shared" si="48"/>
        <v>0</v>
      </c>
      <c r="T82" s="285">
        <f t="shared" si="49"/>
        <v>0</v>
      </c>
      <c r="U82" s="70"/>
      <c r="V82" s="278">
        <f t="shared" si="50"/>
        <v>0</v>
      </c>
      <c r="X82" s="38"/>
    </row>
    <row r="83" spans="1:24" x14ac:dyDescent="0.2">
      <c r="A83" s="14"/>
      <c r="B83" s="14"/>
      <c r="C83" s="70"/>
      <c r="D83" s="70"/>
      <c r="E83" s="70"/>
      <c r="F83" s="70"/>
      <c r="G83" s="70"/>
      <c r="H83" s="70"/>
      <c r="I83" s="70"/>
      <c r="J83" s="70"/>
      <c r="K83" s="70"/>
      <c r="L83" s="219"/>
      <c r="M83" s="220"/>
      <c r="N83" s="219"/>
      <c r="O83" s="70"/>
      <c r="P83" s="70"/>
      <c r="Q83" s="70"/>
      <c r="R83" s="70"/>
      <c r="S83" s="70"/>
      <c r="T83" s="285"/>
      <c r="U83" s="70"/>
      <c r="V83" s="278"/>
    </row>
    <row r="84" spans="1:24" x14ac:dyDescent="0.2">
      <c r="A84" s="57" t="s">
        <v>158</v>
      </c>
      <c r="B84" s="53" t="s">
        <v>159</v>
      </c>
      <c r="C84" s="69">
        <f>+C85</f>
        <v>1070000</v>
      </c>
      <c r="D84" s="69">
        <f>SUM(D85)</f>
        <v>619000</v>
      </c>
      <c r="E84" s="69">
        <f>SUM(E85)</f>
        <v>589000</v>
      </c>
      <c r="F84" s="69">
        <f>SUM(F85)</f>
        <v>368000</v>
      </c>
      <c r="G84" s="69"/>
      <c r="H84" s="69">
        <f>SUM(H85)</f>
        <v>31989</v>
      </c>
      <c r="I84" s="69">
        <f>SUM(I85)</f>
        <v>31989</v>
      </c>
      <c r="J84" s="69">
        <f>SUM(J85)</f>
        <v>269302</v>
      </c>
      <c r="K84" s="236"/>
      <c r="L84" s="227">
        <f t="shared" si="51"/>
        <v>2.9896261682242992E-2</v>
      </c>
      <c r="M84" s="228">
        <f t="shared" si="52"/>
        <v>5.1678513731825526E-2</v>
      </c>
      <c r="N84" s="227">
        <f t="shared" si="53"/>
        <v>0.45721901528013581</v>
      </c>
      <c r="O84" s="236"/>
      <c r="P84" s="236">
        <f t="shared" si="45"/>
        <v>-451000</v>
      </c>
      <c r="Q84" s="236">
        <f t="shared" si="46"/>
        <v>-30000</v>
      </c>
      <c r="R84" s="236">
        <f t="shared" si="47"/>
        <v>-221000</v>
      </c>
      <c r="S84" s="236">
        <f t="shared" si="48"/>
        <v>-702000</v>
      </c>
      <c r="T84" s="287">
        <f t="shared" si="49"/>
        <v>-0.65607476635514017</v>
      </c>
      <c r="U84" s="236"/>
      <c r="V84" s="281">
        <f t="shared" si="50"/>
        <v>-221000</v>
      </c>
      <c r="X84" s="38"/>
    </row>
    <row r="85" spans="1:24" x14ac:dyDescent="0.2">
      <c r="A85" s="14" t="s">
        <v>167</v>
      </c>
      <c r="B85" s="20" t="s">
        <v>387</v>
      </c>
      <c r="C85" s="70">
        <v>1070000</v>
      </c>
      <c r="D85" s="70">
        <v>619000</v>
      </c>
      <c r="E85" s="70">
        <f>579000+10000</f>
        <v>589000</v>
      </c>
      <c r="F85" s="70">
        <v>368000</v>
      </c>
      <c r="G85" s="70"/>
      <c r="H85" s="152">
        <v>31989</v>
      </c>
      <c r="I85" s="70">
        <f>25188+6801</f>
        <v>31989</v>
      </c>
      <c r="J85" s="70">
        <v>269302</v>
      </c>
      <c r="K85" s="70"/>
      <c r="L85" s="221">
        <f t="shared" ref="L85" si="55">IF(H85&gt;0,H85/C85,0)</f>
        <v>2.9896261682242992E-2</v>
      </c>
      <c r="M85" s="221">
        <f t="shared" ref="M85" si="56">IF(I85&gt;0,I85/D85,0)</f>
        <v>5.1678513731825526E-2</v>
      </c>
      <c r="N85" s="221">
        <f t="shared" ref="N85" si="57">IF(J85&gt;0,J85/E85,0)</f>
        <v>0.45721901528013581</v>
      </c>
      <c r="O85" s="70"/>
      <c r="P85" s="83">
        <f t="shared" ref="P85" si="58">+(D85-C85)*P$10</f>
        <v>-451000</v>
      </c>
      <c r="Q85" s="83">
        <f t="shared" ref="Q85" si="59">+(E85-D85)*Q$10</f>
        <v>-30000</v>
      </c>
      <c r="R85" s="83">
        <f t="shared" ref="R85" si="60">+(F85-E85)*R$10</f>
        <v>-221000</v>
      </c>
      <c r="S85" s="83">
        <f t="shared" ref="S85" si="61">SUM(P85:R85)</f>
        <v>-702000</v>
      </c>
      <c r="T85" s="304">
        <f t="shared" ref="T85" si="62">IF(C85=0,0,+S85/C85)</f>
        <v>-0.65607476635514017</v>
      </c>
      <c r="U85" s="126"/>
      <c r="V85" s="208">
        <f t="shared" ref="V85" si="63">+S85-E85+C85</f>
        <v>-221000</v>
      </c>
    </row>
    <row r="86" spans="1:24" x14ac:dyDescent="0.2">
      <c r="A86" s="14"/>
      <c r="B86" s="14"/>
      <c r="C86" s="70"/>
      <c r="D86" s="70"/>
      <c r="E86" s="70"/>
      <c r="F86" s="70"/>
      <c r="G86" s="70"/>
      <c r="H86" s="70"/>
      <c r="I86" s="70"/>
      <c r="J86" s="70"/>
      <c r="K86" s="70"/>
      <c r="L86" s="219"/>
      <c r="M86" s="220"/>
      <c r="N86" s="219"/>
      <c r="O86" s="70"/>
      <c r="P86" s="70"/>
      <c r="Q86" s="70"/>
      <c r="R86" s="70"/>
      <c r="S86" s="70"/>
      <c r="T86" s="285"/>
      <c r="U86" s="70"/>
      <c r="V86" s="278"/>
    </row>
    <row r="87" spans="1:24" x14ac:dyDescent="0.2">
      <c r="A87" s="7" t="s">
        <v>173</v>
      </c>
      <c r="B87" s="5" t="s">
        <v>174</v>
      </c>
      <c r="C87" s="69">
        <f>+C88</f>
        <v>0</v>
      </c>
      <c r="D87" s="69">
        <f>SUM(D88)</f>
        <v>0</v>
      </c>
      <c r="E87" s="69">
        <f>SUM(E88)</f>
        <v>0</v>
      </c>
      <c r="F87" s="69">
        <f>SUM(F88)</f>
        <v>0</v>
      </c>
      <c r="G87" s="69"/>
      <c r="H87" s="69">
        <f>SUM(H88)</f>
        <v>0</v>
      </c>
      <c r="I87" s="69">
        <f>SUM(I88)</f>
        <v>0</v>
      </c>
      <c r="J87" s="69">
        <f>SUM(J88)</f>
        <v>0</v>
      </c>
      <c r="K87" s="69"/>
      <c r="L87" s="227">
        <f t="shared" si="51"/>
        <v>0</v>
      </c>
      <c r="M87" s="223" t="e">
        <f>+I87/E87</f>
        <v>#DIV/0!</v>
      </c>
      <c r="N87" s="222"/>
      <c r="O87" s="69"/>
      <c r="P87" s="69">
        <f t="shared" ref="P87:P88" si="64">+(D87-C87)*P$10</f>
        <v>0</v>
      </c>
      <c r="Q87" s="69">
        <f t="shared" ref="Q87:Q88" si="65">+(E87-D87)*Q$10</f>
        <v>0</v>
      </c>
      <c r="R87" s="69">
        <f t="shared" ref="R87:R88" si="66">+(F87-E87)*R$10</f>
        <v>0</v>
      </c>
      <c r="S87" s="69">
        <f t="shared" ref="S87:S88" si="67">SUM(P87:R87)</f>
        <v>0</v>
      </c>
      <c r="T87" s="284">
        <f t="shared" ref="T87:T88" si="68">IF(C87=0,0,+S87/C87)</f>
        <v>0</v>
      </c>
      <c r="U87" s="69"/>
      <c r="V87" s="279">
        <f t="shared" ref="V87:V88" si="69">+S87-E87+C87</f>
        <v>0</v>
      </c>
    </row>
    <row r="88" spans="1:24" x14ac:dyDescent="0.2">
      <c r="A88" s="14"/>
      <c r="B88" s="20"/>
      <c r="C88" s="70"/>
      <c r="D88" s="70"/>
      <c r="E88" s="70"/>
      <c r="F88" s="70"/>
      <c r="G88" s="70"/>
      <c r="H88" s="70"/>
      <c r="I88" s="70"/>
      <c r="J88" s="70"/>
      <c r="K88" s="70"/>
      <c r="L88" s="221">
        <f>IF(H88&gt;0,H88/C88,0)</f>
        <v>0</v>
      </c>
      <c r="M88" s="221">
        <f>IF(I88&gt;0,I88/D88,0)</f>
        <v>0</v>
      </c>
      <c r="N88" s="221">
        <f>IF(J88&gt;0,J88/E88,0)</f>
        <v>0</v>
      </c>
      <c r="O88" s="70"/>
      <c r="P88" s="83">
        <f t="shared" si="64"/>
        <v>0</v>
      </c>
      <c r="Q88" s="83">
        <f t="shared" si="65"/>
        <v>0</v>
      </c>
      <c r="R88" s="83">
        <f t="shared" si="66"/>
        <v>0</v>
      </c>
      <c r="S88" s="83">
        <f t="shared" si="67"/>
        <v>0</v>
      </c>
      <c r="T88" s="304">
        <f t="shared" si="68"/>
        <v>0</v>
      </c>
      <c r="U88" s="126"/>
      <c r="V88" s="208">
        <f t="shared" si="69"/>
        <v>0</v>
      </c>
    </row>
    <row r="89" spans="1:24" hidden="1" x14ac:dyDescent="0.2">
      <c r="A89" s="14"/>
      <c r="B89" s="14"/>
      <c r="C89" s="70"/>
      <c r="D89" s="70"/>
      <c r="E89" s="70"/>
      <c r="F89" s="70"/>
      <c r="G89" s="70"/>
      <c r="H89" s="70"/>
      <c r="I89" s="70"/>
      <c r="J89" s="70"/>
      <c r="K89" s="70"/>
      <c r="L89" s="219"/>
      <c r="M89" s="220"/>
      <c r="N89" s="219"/>
      <c r="O89" s="70"/>
      <c r="P89" s="70"/>
      <c r="Q89" s="70"/>
      <c r="R89" s="70"/>
      <c r="S89" s="70"/>
      <c r="T89" s="285"/>
      <c r="U89" s="70"/>
      <c r="V89" s="278"/>
    </row>
    <row r="90" spans="1:24" x14ac:dyDescent="0.2">
      <c r="A90" s="7"/>
      <c r="B90" s="5" t="s">
        <v>378</v>
      </c>
      <c r="C90" s="237">
        <f>C13+C30+C33+C84+C87</f>
        <v>171876100</v>
      </c>
      <c r="D90" s="237">
        <f t="shared" ref="D90:J90" si="70">D13+D30+D33+D84+D87</f>
        <v>173326100</v>
      </c>
      <c r="E90" s="237">
        <f t="shared" si="70"/>
        <v>174986100</v>
      </c>
      <c r="F90" s="237">
        <f t="shared" si="70"/>
        <v>185010115</v>
      </c>
      <c r="G90" s="237"/>
      <c r="H90" s="237">
        <f t="shared" si="70"/>
        <v>87833991</v>
      </c>
      <c r="I90" s="237">
        <f t="shared" si="70"/>
        <v>136992599</v>
      </c>
      <c r="J90" s="237">
        <f t="shared" si="70"/>
        <v>184507577</v>
      </c>
      <c r="K90" s="237"/>
      <c r="L90" s="229">
        <f t="shared" si="51"/>
        <v>0.5110308588570488</v>
      </c>
      <c r="M90" s="223">
        <f t="shared" si="52"/>
        <v>0.79037490026026092</v>
      </c>
      <c r="N90" s="229">
        <f t="shared" si="53"/>
        <v>1.0544127619279475</v>
      </c>
      <c r="O90" s="237"/>
      <c r="P90" s="237">
        <f>P13+P30+P33+P84</f>
        <v>1450000</v>
      </c>
      <c r="Q90" s="237">
        <f>Q13+Q30+Q33+Q84</f>
        <v>1660000</v>
      </c>
      <c r="R90" s="237">
        <f>R13+R30+R33+R84</f>
        <v>10024015</v>
      </c>
      <c r="S90" s="237">
        <f>S13+S30+S33+S84</f>
        <v>13134015</v>
      </c>
      <c r="T90" s="288">
        <f>T13+T30+T33+T84</f>
        <v>-5.1737840268275215E-2</v>
      </c>
      <c r="U90" s="237"/>
      <c r="V90" s="282"/>
      <c r="X90" s="38"/>
    </row>
    <row r="91" spans="1:24" ht="10.35" customHeight="1" x14ac:dyDescent="0.2">
      <c r="A91" s="25"/>
      <c r="B91" s="25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22"/>
      <c r="V91" s="208">
        <f t="shared" ref="V91" si="71">+S91-E91+C91</f>
        <v>0</v>
      </c>
      <c r="W91" s="128"/>
      <c r="X91" s="128"/>
    </row>
    <row r="92" spans="1:24" ht="10.35" customHeight="1" x14ac:dyDescent="0.2">
      <c r="A92" s="496"/>
      <c r="B92" s="496"/>
      <c r="C92" s="497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9"/>
      <c r="V92" s="500"/>
      <c r="W92" s="128"/>
      <c r="X92" s="128"/>
    </row>
    <row r="93" spans="1:24" s="43" customFormat="1" x14ac:dyDescent="0.2">
      <c r="A93" s="4" t="s">
        <v>241</v>
      </c>
      <c r="B93" s="3" t="s">
        <v>242</v>
      </c>
      <c r="C93" s="240">
        <f>SUM(C94:C94)</f>
        <v>0</v>
      </c>
      <c r="D93" s="240">
        <f>SUM(D94:D94)</f>
        <v>0</v>
      </c>
      <c r="E93" s="240">
        <f>SUM(E94:E94)</f>
        <v>0</v>
      </c>
      <c r="F93" s="240">
        <v>990000</v>
      </c>
      <c r="G93" s="240"/>
      <c r="H93" s="240">
        <f>SUM(H94:H94)</f>
        <v>0</v>
      </c>
      <c r="I93" s="240">
        <f>SUM(I94:I94)</f>
        <v>0</v>
      </c>
      <c r="J93" s="240">
        <v>990000</v>
      </c>
      <c r="K93" s="240"/>
      <c r="L93" s="233">
        <f t="shared" ref="L93:L94" si="72">IF(H93&gt;0,H93/C93,0)</f>
        <v>0</v>
      </c>
      <c r="M93" s="223">
        <f t="shared" ref="M93:M94" si="73">IF(I93&gt;0,I93/D93,0)</f>
        <v>0</v>
      </c>
      <c r="N93" s="233" t="e">
        <f t="shared" ref="N93:N94" si="74">IF(J93&gt;0,J93/E93,0)</f>
        <v>#DIV/0!</v>
      </c>
      <c r="O93" s="240"/>
      <c r="P93" s="240">
        <f t="shared" ref="P93:P94" si="75">+(D93-C93)*P$10</f>
        <v>0</v>
      </c>
      <c r="Q93" s="240">
        <f t="shared" ref="Q93:Q94" si="76">+(E93-D93)*Q$10</f>
        <v>0</v>
      </c>
      <c r="R93" s="240">
        <f t="shared" ref="R93:R94" si="77">+(F93-E93)*R$10</f>
        <v>990000</v>
      </c>
      <c r="S93" s="240">
        <f t="shared" ref="S93:S94" si="78">SUM(P93:R93)</f>
        <v>990000</v>
      </c>
      <c r="T93" s="289">
        <f t="shared" ref="T93:T94" si="79">IF(C93=0,0,+S93/C93)</f>
        <v>0</v>
      </c>
      <c r="U93" s="240"/>
      <c r="V93" s="283">
        <f t="shared" ref="V93:V94" si="80">+S93-E93+C93</f>
        <v>990000</v>
      </c>
    </row>
    <row r="94" spans="1:24" s="43" customFormat="1" x14ac:dyDescent="0.2">
      <c r="A94" s="4" t="s">
        <v>262</v>
      </c>
      <c r="B94" s="3" t="s">
        <v>263</v>
      </c>
      <c r="C94" s="240"/>
      <c r="D94" s="240"/>
      <c r="E94" s="240"/>
      <c r="F94" s="240">
        <v>260000</v>
      </c>
      <c r="G94" s="240"/>
      <c r="H94" s="240"/>
      <c r="I94" s="240"/>
      <c r="J94" s="240">
        <v>260000</v>
      </c>
      <c r="K94" s="240"/>
      <c r="L94" s="233">
        <f t="shared" si="72"/>
        <v>0</v>
      </c>
      <c r="M94" s="223">
        <f t="shared" si="73"/>
        <v>0</v>
      </c>
      <c r="N94" s="233" t="e">
        <f t="shared" si="74"/>
        <v>#DIV/0!</v>
      </c>
      <c r="O94" s="240"/>
      <c r="P94" s="240">
        <f t="shared" si="75"/>
        <v>0</v>
      </c>
      <c r="Q94" s="240">
        <f t="shared" si="76"/>
        <v>0</v>
      </c>
      <c r="R94" s="240">
        <f t="shared" si="77"/>
        <v>260000</v>
      </c>
      <c r="S94" s="240">
        <f t="shared" si="78"/>
        <v>260000</v>
      </c>
      <c r="T94" s="289">
        <f t="shared" si="79"/>
        <v>0</v>
      </c>
      <c r="U94" s="240"/>
      <c r="V94" s="283">
        <f t="shared" si="80"/>
        <v>260000</v>
      </c>
    </row>
    <row r="95" spans="1:24" s="43" customFormat="1" x14ac:dyDescent="0.2">
      <c r="A95" s="4" t="s">
        <v>284</v>
      </c>
      <c r="B95" s="3" t="s">
        <v>285</v>
      </c>
      <c r="C95" s="240">
        <f>SUM(C96:C97)</f>
        <v>0</v>
      </c>
      <c r="D95" s="240">
        <f>SUM(D96:D98)</f>
        <v>6000</v>
      </c>
      <c r="E95" s="240">
        <f t="shared" ref="E95:F95" si="81">SUM(E96:E98)</f>
        <v>6000</v>
      </c>
      <c r="F95" s="240">
        <f t="shared" si="81"/>
        <v>262428</v>
      </c>
      <c r="G95" s="240"/>
      <c r="H95" s="240">
        <f>SUM(H96:H98)</f>
        <v>2952</v>
      </c>
      <c r="I95" s="240">
        <f>SUM(I96:I98)</f>
        <v>3719</v>
      </c>
      <c r="J95" s="240">
        <f>SUM(J96:J98)</f>
        <v>261564</v>
      </c>
      <c r="K95" s="240"/>
      <c r="L95" s="233" t="e">
        <f t="shared" si="51"/>
        <v>#DIV/0!</v>
      </c>
      <c r="M95" s="223">
        <f t="shared" si="52"/>
        <v>0.61983333333333335</v>
      </c>
      <c r="N95" s="233">
        <f t="shared" si="53"/>
        <v>43.594000000000001</v>
      </c>
      <c r="O95" s="240"/>
      <c r="P95" s="240">
        <f t="shared" ref="P95" si="82">+(D95-C95)*P$10</f>
        <v>6000</v>
      </c>
      <c r="Q95" s="240">
        <f t="shared" ref="Q95" si="83">+(E95-D95)*Q$10</f>
        <v>0</v>
      </c>
      <c r="R95" s="240">
        <f t="shared" ref="R95" si="84">+(F95-E95)*R$10</f>
        <v>256428</v>
      </c>
      <c r="S95" s="240">
        <f t="shared" ref="S95" si="85">SUM(P95:R95)</f>
        <v>262428</v>
      </c>
      <c r="T95" s="289">
        <f t="shared" ref="T95" si="86">IF(C95=0,0,+S95/C95)</f>
        <v>0</v>
      </c>
      <c r="U95" s="240"/>
      <c r="V95" s="283">
        <f t="shared" ref="V95" si="87">+S95-E95+C95</f>
        <v>256428</v>
      </c>
      <c r="W95" s="61" t="s">
        <v>399</v>
      </c>
    </row>
    <row r="96" spans="1:24" x14ac:dyDescent="0.2">
      <c r="A96" s="14" t="s">
        <v>296</v>
      </c>
      <c r="B96" s="20" t="s">
        <v>297</v>
      </c>
      <c r="C96" s="241"/>
      <c r="D96" s="241"/>
      <c r="E96" s="241"/>
      <c r="F96" s="241"/>
      <c r="G96" s="241"/>
      <c r="H96" s="241"/>
      <c r="I96" s="241"/>
      <c r="J96" s="241"/>
      <c r="K96" s="241"/>
      <c r="L96" s="230">
        <f t="shared" si="51"/>
        <v>0</v>
      </c>
      <c r="M96" s="231">
        <f t="shared" si="52"/>
        <v>0</v>
      </c>
      <c r="N96" s="230">
        <f t="shared" si="53"/>
        <v>0</v>
      </c>
      <c r="O96" s="241"/>
      <c r="P96" s="83">
        <f t="shared" ref="P96:R99" si="88">+(D96-C96)*P$10</f>
        <v>0</v>
      </c>
      <c r="Q96" s="83">
        <f t="shared" ref="Q96:Q99" si="89">+(E96-D96)*Q$10</f>
        <v>0</v>
      </c>
      <c r="R96" s="83">
        <f t="shared" ref="R96:R99" si="90">+(F96-E96)*R$10</f>
        <v>0</v>
      </c>
      <c r="S96" s="83">
        <f t="shared" ref="S96:S99" si="91">SUM(P96:R96)</f>
        <v>0</v>
      </c>
      <c r="T96" s="284">
        <f t="shared" ref="T96:T102" si="92">IF(C96=0,0,+S96/C96)</f>
        <v>0</v>
      </c>
      <c r="U96" s="126"/>
      <c r="V96" s="208">
        <f t="shared" ref="V96:V99" si="93">+S96-E96+C96</f>
        <v>0</v>
      </c>
    </row>
    <row r="97" spans="1:24" x14ac:dyDescent="0.2">
      <c r="A97" s="14" t="s">
        <v>299</v>
      </c>
      <c r="B97" s="20" t="s">
        <v>300</v>
      </c>
      <c r="C97" s="241"/>
      <c r="D97" s="241"/>
      <c r="E97" s="241"/>
      <c r="F97" s="241"/>
      <c r="G97" s="241"/>
      <c r="H97" s="241"/>
      <c r="I97" s="241"/>
      <c r="J97" s="241"/>
      <c r="K97" s="241"/>
      <c r="L97" s="230">
        <f t="shared" si="51"/>
        <v>0</v>
      </c>
      <c r="M97" s="232">
        <f t="shared" si="52"/>
        <v>0</v>
      </c>
      <c r="N97" s="230">
        <f t="shared" si="53"/>
        <v>0</v>
      </c>
      <c r="O97" s="241"/>
      <c r="P97" s="83">
        <f t="shared" si="88"/>
        <v>0</v>
      </c>
      <c r="Q97" s="83">
        <f t="shared" si="89"/>
        <v>0</v>
      </c>
      <c r="R97" s="83">
        <f t="shared" si="90"/>
        <v>0</v>
      </c>
      <c r="S97" s="83">
        <f t="shared" si="91"/>
        <v>0</v>
      </c>
      <c r="T97" s="284">
        <f t="shared" si="92"/>
        <v>0</v>
      </c>
      <c r="U97" s="126"/>
      <c r="V97" s="208">
        <f t="shared" si="93"/>
        <v>0</v>
      </c>
    </row>
    <row r="98" spans="1:24" x14ac:dyDescent="0.2">
      <c r="A98" s="560" t="s">
        <v>471</v>
      </c>
      <c r="B98" s="513" t="s">
        <v>470</v>
      </c>
      <c r="C98" s="73">
        <v>0</v>
      </c>
      <c r="D98" s="73">
        <v>6000</v>
      </c>
      <c r="E98" s="149">
        <v>6000</v>
      </c>
      <c r="F98" s="73">
        <f>1000+261428</f>
        <v>262428</v>
      </c>
      <c r="G98" s="123"/>
      <c r="H98" s="102">
        <f>74+2878</f>
        <v>2952</v>
      </c>
      <c r="I98" s="102">
        <f>108+3611</f>
        <v>3719</v>
      </c>
      <c r="J98" s="102">
        <f>136+261428</f>
        <v>261564</v>
      </c>
      <c r="K98" s="123"/>
      <c r="L98" s="143" t="e">
        <f t="shared" si="51"/>
        <v>#DIV/0!</v>
      </c>
      <c r="M98" s="143">
        <f t="shared" si="51"/>
        <v>0.61983333333333335</v>
      </c>
      <c r="N98" s="143">
        <f t="shared" si="51"/>
        <v>43.594000000000001</v>
      </c>
      <c r="O98" s="126"/>
      <c r="P98" s="83">
        <f t="shared" si="88"/>
        <v>6000</v>
      </c>
      <c r="Q98" s="83">
        <f t="shared" si="88"/>
        <v>0</v>
      </c>
      <c r="R98" s="83">
        <f t="shared" si="88"/>
        <v>256428</v>
      </c>
      <c r="S98" s="83">
        <f t="shared" ref="S98" si="94">SUM(P98:R98)</f>
        <v>262428</v>
      </c>
      <c r="T98" s="89">
        <f t="shared" si="92"/>
        <v>0</v>
      </c>
      <c r="U98" s="126"/>
      <c r="V98" s="208">
        <f t="shared" si="93"/>
        <v>256428</v>
      </c>
      <c r="W98" s="128"/>
      <c r="X98" s="128"/>
    </row>
    <row r="99" spans="1:24" s="43" customFormat="1" x14ac:dyDescent="0.2">
      <c r="A99" s="4" t="s">
        <v>333</v>
      </c>
      <c r="B99" s="3" t="s">
        <v>334</v>
      </c>
      <c r="C99" s="240">
        <f>SUM(C100:C101)</f>
        <v>171876100</v>
      </c>
      <c r="D99" s="240">
        <f t="shared" ref="D99:F99" si="95">SUM(D100:D101)</f>
        <v>173320100</v>
      </c>
      <c r="E99" s="240">
        <f t="shared" si="95"/>
        <v>174980100</v>
      </c>
      <c r="F99" s="240">
        <f t="shared" si="95"/>
        <v>183497687</v>
      </c>
      <c r="G99" s="240"/>
      <c r="H99" s="240">
        <f t="shared" ref="H99" si="96">SUM(H100:H101)</f>
        <v>91729280</v>
      </c>
      <c r="I99" s="240">
        <f t="shared" ref="I99" si="97">SUM(I100:I101)</f>
        <v>138214942</v>
      </c>
      <c r="J99" s="240">
        <f t="shared" ref="J99" si="98">SUM(J100:J101)</f>
        <v>183497687</v>
      </c>
      <c r="K99" s="240"/>
      <c r="L99" s="233">
        <f t="shared" si="51"/>
        <v>0.53369421344794299</v>
      </c>
      <c r="M99" s="223">
        <f t="shared" si="52"/>
        <v>0.79745477875907067</v>
      </c>
      <c r="N99" s="233">
        <f t="shared" si="53"/>
        <v>1.048677461036998</v>
      </c>
      <c r="O99" s="240"/>
      <c r="P99" s="240">
        <f t="shared" si="88"/>
        <v>1444000</v>
      </c>
      <c r="Q99" s="240">
        <f t="shared" si="89"/>
        <v>1660000</v>
      </c>
      <c r="R99" s="240">
        <f t="shared" si="90"/>
        <v>8517587</v>
      </c>
      <c r="S99" s="240">
        <f t="shared" si="91"/>
        <v>11621587</v>
      </c>
      <c r="T99" s="289">
        <f t="shared" si="92"/>
        <v>6.7616073438948168E-2</v>
      </c>
      <c r="U99" s="240"/>
      <c r="V99" s="283">
        <f t="shared" si="93"/>
        <v>8517587</v>
      </c>
    </row>
    <row r="100" spans="1:24" x14ac:dyDescent="0.2">
      <c r="A100" s="14" t="s">
        <v>359</v>
      </c>
      <c r="B100" s="20" t="s">
        <v>388</v>
      </c>
      <c r="C100" s="149">
        <v>171295092</v>
      </c>
      <c r="D100" s="242">
        <v>172739092</v>
      </c>
      <c r="E100" s="242">
        <v>174399092</v>
      </c>
      <c r="F100" s="242">
        <v>182916679</v>
      </c>
      <c r="G100" s="242"/>
      <c r="H100" s="242">
        <v>91148272</v>
      </c>
      <c r="I100" s="242">
        <v>137633934</v>
      </c>
      <c r="J100" s="242">
        <v>182916679</v>
      </c>
      <c r="K100" s="242"/>
      <c r="L100" s="234">
        <f t="shared" si="51"/>
        <v>0.53211257214538288</v>
      </c>
      <c r="M100" s="231">
        <f t="shared" si="52"/>
        <v>0.79677351783231554</v>
      </c>
      <c r="N100" s="234">
        <f t="shared" si="53"/>
        <v>1.0488396292797213</v>
      </c>
      <c r="O100" s="242"/>
      <c r="P100" s="83">
        <f t="shared" ref="P100:P102" si="99">+(D100-C100)*P$10</f>
        <v>1444000</v>
      </c>
      <c r="Q100" s="83">
        <f t="shared" ref="Q100:Q102" si="100">+(E100-D100)*Q$10</f>
        <v>1660000</v>
      </c>
      <c r="R100" s="83">
        <f t="shared" ref="R100:R102" si="101">+(F100-E100)*R$10</f>
        <v>8517587</v>
      </c>
      <c r="S100" s="83">
        <f t="shared" ref="S100:S102" si="102">SUM(P100:R100)</f>
        <v>11621587</v>
      </c>
      <c r="T100" s="284">
        <f t="shared" si="92"/>
        <v>6.7845417310613901E-2</v>
      </c>
      <c r="U100" s="126"/>
      <c r="V100" s="208">
        <f t="shared" ref="V100:V102" si="103">+S100-E100+C100</f>
        <v>8517587</v>
      </c>
    </row>
    <row r="101" spans="1:24" x14ac:dyDescent="0.2">
      <c r="A101" s="14" t="s">
        <v>347</v>
      </c>
      <c r="B101" s="20" t="s">
        <v>348</v>
      </c>
      <c r="C101" s="594">
        <v>581008</v>
      </c>
      <c r="D101" s="242">
        <v>581008</v>
      </c>
      <c r="E101" s="242">
        <v>581008</v>
      </c>
      <c r="F101" s="242">
        <v>581008</v>
      </c>
      <c r="G101" s="242"/>
      <c r="H101" s="241">
        <v>581008</v>
      </c>
      <c r="I101" s="241">
        <v>581008</v>
      </c>
      <c r="J101" s="241">
        <v>581008</v>
      </c>
      <c r="K101" s="242"/>
      <c r="L101" s="230">
        <f t="shared" si="51"/>
        <v>1</v>
      </c>
      <c r="M101" s="232">
        <f t="shared" si="52"/>
        <v>1</v>
      </c>
      <c r="N101" s="230">
        <f t="shared" si="53"/>
        <v>1</v>
      </c>
      <c r="O101" s="242"/>
      <c r="P101" s="83">
        <f t="shared" si="99"/>
        <v>0</v>
      </c>
      <c r="Q101" s="83">
        <f t="shared" si="100"/>
        <v>0</v>
      </c>
      <c r="R101" s="83">
        <f t="shared" si="101"/>
        <v>0</v>
      </c>
      <c r="S101" s="83">
        <f t="shared" si="102"/>
        <v>0</v>
      </c>
      <c r="T101" s="284">
        <f t="shared" si="92"/>
        <v>0</v>
      </c>
      <c r="U101" s="126"/>
      <c r="V101" s="208">
        <f t="shared" si="103"/>
        <v>0</v>
      </c>
    </row>
    <row r="102" spans="1:24" x14ac:dyDescent="0.2">
      <c r="A102" s="5"/>
      <c r="B102" s="5" t="s">
        <v>377</v>
      </c>
      <c r="C102" s="237">
        <f>+C95+C99+C93</f>
        <v>171876100</v>
      </c>
      <c r="D102" s="237">
        <f>+D95+D99+D93</f>
        <v>173326100</v>
      </c>
      <c r="E102" s="237">
        <f>+E95+E99+E93</f>
        <v>174986100</v>
      </c>
      <c r="F102" s="237">
        <f>+F95+F99+F93+F94</f>
        <v>185010115</v>
      </c>
      <c r="G102" s="237"/>
      <c r="H102" s="237">
        <f>+H95+H99+H93</f>
        <v>91732232</v>
      </c>
      <c r="I102" s="237">
        <f>+I95+I99+I93</f>
        <v>138218661</v>
      </c>
      <c r="J102" s="237">
        <f>+J95+J99+J93</f>
        <v>184749251</v>
      </c>
      <c r="K102" s="237"/>
      <c r="L102" s="229">
        <f t="shared" si="51"/>
        <v>0.53371138861074929</v>
      </c>
      <c r="M102" s="223">
        <f t="shared" si="52"/>
        <v>0.79744863006783173</v>
      </c>
      <c r="N102" s="229">
        <f t="shared" si="53"/>
        <v>1.0557938659127781</v>
      </c>
      <c r="O102" s="237"/>
      <c r="P102" s="237">
        <f t="shared" si="99"/>
        <v>1450000</v>
      </c>
      <c r="Q102" s="237">
        <f t="shared" si="100"/>
        <v>1660000</v>
      </c>
      <c r="R102" s="237">
        <f t="shared" si="101"/>
        <v>10024015</v>
      </c>
      <c r="S102" s="237">
        <f t="shared" si="102"/>
        <v>13134015</v>
      </c>
      <c r="T102" s="288">
        <f t="shared" si="92"/>
        <v>7.6415598212898714E-2</v>
      </c>
      <c r="U102" s="237"/>
      <c r="V102" s="282">
        <f t="shared" si="103"/>
        <v>10024015</v>
      </c>
    </row>
    <row r="103" spans="1:24" x14ac:dyDescent="0.2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O103" s="104"/>
      <c r="P103" s="104"/>
      <c r="Q103" s="104"/>
      <c r="R103" s="104"/>
      <c r="S103" s="104"/>
      <c r="T103" s="104"/>
      <c r="U103" s="104"/>
      <c r="V103" s="129"/>
    </row>
    <row r="104" spans="1:24" x14ac:dyDescent="0.2">
      <c r="B104" s="25"/>
      <c r="C104" s="103">
        <f>+C90-C101</f>
        <v>171295092</v>
      </c>
      <c r="D104" s="104"/>
      <c r="E104" s="104"/>
      <c r="F104" s="104"/>
      <c r="G104" s="104"/>
      <c r="H104" s="104"/>
      <c r="I104" s="104"/>
      <c r="J104" s="104"/>
      <c r="K104" s="104"/>
      <c r="O104" s="104"/>
      <c r="P104" s="104"/>
      <c r="Q104" s="104"/>
      <c r="R104" s="104"/>
      <c r="S104" s="104"/>
      <c r="T104" s="104"/>
      <c r="U104" s="104"/>
      <c r="V104" s="129"/>
    </row>
    <row r="105" spans="1:24" x14ac:dyDescent="0.2">
      <c r="B105" s="25"/>
      <c r="C105" s="17"/>
      <c r="V105" s="129"/>
    </row>
    <row r="106" spans="1:24" x14ac:dyDescent="0.2">
      <c r="B106" s="25"/>
      <c r="C106" s="17"/>
      <c r="D106" s="19"/>
      <c r="E106" s="19"/>
      <c r="F106" s="19"/>
      <c r="G106" s="19"/>
      <c r="K106" s="19"/>
      <c r="O106" s="19"/>
      <c r="V106" s="129"/>
    </row>
    <row r="107" spans="1:24" x14ac:dyDescent="0.2">
      <c r="A107" s="61" t="s">
        <v>359</v>
      </c>
      <c r="B107" s="61" t="s">
        <v>503</v>
      </c>
      <c r="C107" s="149">
        <v>167733010</v>
      </c>
      <c r="V107" s="129"/>
    </row>
    <row r="108" spans="1:24" x14ac:dyDescent="0.2">
      <c r="B108" s="25"/>
      <c r="C108" s="17"/>
      <c r="V108" s="129"/>
    </row>
    <row r="109" spans="1:24" x14ac:dyDescent="0.2">
      <c r="B109" s="25"/>
      <c r="C109" s="17"/>
    </row>
    <row r="110" spans="1:24" x14ac:dyDescent="0.2">
      <c r="B110" s="25"/>
      <c r="C110" s="17">
        <f>+C104-C107</f>
        <v>3562082</v>
      </c>
    </row>
    <row r="111" spans="1:24" x14ac:dyDescent="0.2">
      <c r="B111" s="25"/>
      <c r="C111" s="17"/>
    </row>
    <row r="112" spans="1:24" x14ac:dyDescent="0.2">
      <c r="B112" s="25"/>
      <c r="C112" s="17"/>
    </row>
    <row r="113" spans="1:3" x14ac:dyDescent="0.2">
      <c r="B113" s="25"/>
      <c r="C113" s="17"/>
    </row>
    <row r="114" spans="1:3" x14ac:dyDescent="0.2">
      <c r="B114" s="25"/>
      <c r="C114" s="17"/>
    </row>
    <row r="115" spans="1:3" x14ac:dyDescent="0.2">
      <c r="B115" s="25"/>
      <c r="C115" s="17"/>
    </row>
    <row r="116" spans="1:3" x14ac:dyDescent="0.2">
      <c r="B116" s="25"/>
      <c r="C116" s="17"/>
    </row>
    <row r="117" spans="1:3" x14ac:dyDescent="0.2">
      <c r="C117" s="17"/>
    </row>
    <row r="118" spans="1:3" x14ac:dyDescent="0.2">
      <c r="A118" s="30"/>
      <c r="B118" s="26"/>
      <c r="C118" s="17"/>
    </row>
    <row r="119" spans="1:3" x14ac:dyDescent="0.2">
      <c r="B119" s="25"/>
      <c r="C119" s="17"/>
    </row>
    <row r="120" spans="1:3" x14ac:dyDescent="0.2">
      <c r="B120" s="25"/>
      <c r="C120" s="17"/>
    </row>
    <row r="121" spans="1:3" x14ac:dyDescent="0.2">
      <c r="B121" s="25"/>
      <c r="C121" s="17"/>
    </row>
    <row r="122" spans="1:3" x14ac:dyDescent="0.2">
      <c r="B122" s="25"/>
      <c r="C122" s="17"/>
    </row>
    <row r="123" spans="1:3" x14ac:dyDescent="0.2">
      <c r="B123" s="25"/>
      <c r="C123" s="17"/>
    </row>
    <row r="124" spans="1:3" x14ac:dyDescent="0.2">
      <c r="B124" s="25"/>
      <c r="C124" s="17"/>
    </row>
    <row r="125" spans="1:3" x14ac:dyDescent="0.2">
      <c r="B125" s="25"/>
      <c r="C125" s="17"/>
    </row>
    <row r="126" spans="1:3" x14ac:dyDescent="0.2">
      <c r="B126" s="25"/>
      <c r="C126" s="17"/>
    </row>
    <row r="127" spans="1:3" x14ac:dyDescent="0.2">
      <c r="B127" s="25"/>
      <c r="C127" s="17"/>
    </row>
    <row r="128" spans="1:3" x14ac:dyDescent="0.2">
      <c r="C128" s="17"/>
    </row>
    <row r="129" spans="1:3" x14ac:dyDescent="0.2">
      <c r="A129" s="30"/>
      <c r="B129" s="26"/>
      <c r="C129" s="17"/>
    </row>
    <row r="130" spans="1:3" x14ac:dyDescent="0.2">
      <c r="B130" s="25"/>
      <c r="C130" s="17"/>
    </row>
    <row r="131" spans="1:3" x14ac:dyDescent="0.2">
      <c r="B131" s="25"/>
      <c r="C131" s="17"/>
    </row>
    <row r="132" spans="1:3" x14ac:dyDescent="0.2">
      <c r="B132" s="25"/>
      <c r="C132" s="17"/>
    </row>
    <row r="133" spans="1:3" x14ac:dyDescent="0.2">
      <c r="B133" s="25"/>
      <c r="C133" s="17"/>
    </row>
    <row r="134" spans="1:3" x14ac:dyDescent="0.2">
      <c r="B134" s="25"/>
      <c r="C134" s="17"/>
    </row>
    <row r="135" spans="1:3" x14ac:dyDescent="0.2">
      <c r="B135" s="25"/>
      <c r="C135" s="17"/>
    </row>
    <row r="136" spans="1:3" x14ac:dyDescent="0.2">
      <c r="B136" s="25"/>
      <c r="C136" s="17"/>
    </row>
    <row r="137" spans="1:3" x14ac:dyDescent="0.2">
      <c r="C137" s="17"/>
    </row>
    <row r="138" spans="1:3" x14ac:dyDescent="0.2">
      <c r="A138" s="30"/>
      <c r="B138" s="26"/>
      <c r="C138" s="17"/>
    </row>
    <row r="139" spans="1:3" x14ac:dyDescent="0.2">
      <c r="B139" s="25"/>
      <c r="C139" s="17"/>
    </row>
    <row r="140" spans="1:3" x14ac:dyDescent="0.2">
      <c r="B140" s="25"/>
      <c r="C140" s="17"/>
    </row>
    <row r="141" spans="1:3" x14ac:dyDescent="0.2">
      <c r="B141" s="25"/>
      <c r="C141" s="17"/>
    </row>
    <row r="142" spans="1:3" x14ac:dyDescent="0.2">
      <c r="B142" s="25"/>
      <c r="C142" s="17"/>
    </row>
    <row r="143" spans="1:3" x14ac:dyDescent="0.2">
      <c r="C143" s="17"/>
    </row>
    <row r="144" spans="1:3" x14ac:dyDescent="0.2">
      <c r="A144" s="30"/>
      <c r="B144" s="26"/>
      <c r="C144" s="17"/>
    </row>
    <row r="145" spans="1:3" x14ac:dyDescent="0.2">
      <c r="B145" s="25"/>
      <c r="C145" s="17"/>
    </row>
    <row r="146" spans="1:3" x14ac:dyDescent="0.2">
      <c r="B146" s="25"/>
      <c r="C146" s="17"/>
    </row>
    <row r="147" spans="1:3" x14ac:dyDescent="0.2">
      <c r="B147" s="25"/>
      <c r="C147" s="17"/>
    </row>
    <row r="148" spans="1:3" x14ac:dyDescent="0.2">
      <c r="B148" s="25"/>
      <c r="C148" s="17"/>
    </row>
    <row r="149" spans="1:3" x14ac:dyDescent="0.2">
      <c r="B149" s="25"/>
      <c r="C149" s="17"/>
    </row>
    <row r="150" spans="1:3" x14ac:dyDescent="0.2">
      <c r="B150" s="25"/>
      <c r="C150" s="17"/>
    </row>
    <row r="151" spans="1:3" x14ac:dyDescent="0.2">
      <c r="B151" s="25"/>
      <c r="C151" s="17"/>
    </row>
    <row r="152" spans="1:3" x14ac:dyDescent="0.2">
      <c r="B152" s="25"/>
      <c r="C152" s="17"/>
    </row>
    <row r="153" spans="1:3" x14ac:dyDescent="0.2">
      <c r="C153" s="17"/>
    </row>
    <row r="154" spans="1:3" x14ac:dyDescent="0.2">
      <c r="A154" s="30"/>
      <c r="B154" s="26"/>
      <c r="C154" s="17"/>
    </row>
    <row r="155" spans="1:3" x14ac:dyDescent="0.2">
      <c r="B155" s="25"/>
      <c r="C155" s="17"/>
    </row>
    <row r="156" spans="1:3" x14ac:dyDescent="0.2">
      <c r="B156" s="25"/>
      <c r="C156" s="17"/>
    </row>
    <row r="157" spans="1:3" x14ac:dyDescent="0.2">
      <c r="B157" s="25"/>
      <c r="C157" s="17"/>
    </row>
    <row r="158" spans="1:3" x14ac:dyDescent="0.2">
      <c r="B158" s="25"/>
      <c r="C158" s="17"/>
    </row>
    <row r="159" spans="1:3" x14ac:dyDescent="0.2">
      <c r="B159" s="25"/>
      <c r="C159" s="17"/>
    </row>
    <row r="160" spans="1:3" x14ac:dyDescent="0.2">
      <c r="B160" s="25"/>
      <c r="C160" s="17"/>
    </row>
    <row r="161" spans="2:3" x14ac:dyDescent="0.2">
      <c r="B161" s="25"/>
      <c r="C161" s="17"/>
    </row>
    <row r="162" spans="2:3" x14ac:dyDescent="0.2">
      <c r="B162" s="25"/>
      <c r="C162" s="17"/>
    </row>
    <row r="163" spans="2:3" x14ac:dyDescent="0.2">
      <c r="B163" s="25"/>
      <c r="C163" s="17"/>
    </row>
    <row r="164" spans="2:3" x14ac:dyDescent="0.2">
      <c r="B164" s="25"/>
      <c r="C164" s="17"/>
    </row>
    <row r="165" spans="2:3" x14ac:dyDescent="0.2">
      <c r="B165" s="25"/>
      <c r="C165" s="17"/>
    </row>
    <row r="166" spans="2:3" x14ac:dyDescent="0.2">
      <c r="B166" s="25"/>
      <c r="C166" s="17"/>
    </row>
    <row r="167" spans="2:3" x14ac:dyDescent="0.2">
      <c r="B167" s="25"/>
      <c r="C167" s="17"/>
    </row>
    <row r="168" spans="2:3" x14ac:dyDescent="0.2">
      <c r="B168" s="25"/>
      <c r="C168" s="17"/>
    </row>
    <row r="169" spans="2:3" x14ac:dyDescent="0.2">
      <c r="B169" s="25"/>
      <c r="C169" s="17"/>
    </row>
    <row r="170" spans="2:3" x14ac:dyDescent="0.2">
      <c r="B170" s="25"/>
      <c r="C170" s="17"/>
    </row>
    <row r="171" spans="2:3" x14ac:dyDescent="0.2">
      <c r="B171" s="25"/>
      <c r="C171" s="17"/>
    </row>
    <row r="172" spans="2:3" x14ac:dyDescent="0.2">
      <c r="B172" s="25"/>
      <c r="C172" s="17"/>
    </row>
    <row r="173" spans="2:3" x14ac:dyDescent="0.2">
      <c r="B173" s="25"/>
      <c r="C173" s="17"/>
    </row>
    <row r="174" spans="2:3" x14ac:dyDescent="0.2">
      <c r="B174" s="25"/>
      <c r="C174" s="17"/>
    </row>
    <row r="175" spans="2:3" x14ac:dyDescent="0.2">
      <c r="B175" s="25"/>
      <c r="C175" s="17"/>
    </row>
    <row r="176" spans="2:3" x14ac:dyDescent="0.2">
      <c r="C176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8" scale="71" fitToHeight="0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view="pageBreakPreview" zoomScaleNormal="65" zoomScaleSheetLayoutView="100" workbookViewId="0">
      <selection activeCell="F99" sqref="F99"/>
    </sheetView>
  </sheetViews>
  <sheetFormatPr defaultRowHeight="12.75" customHeight="1" x14ac:dyDescent="0.2"/>
  <cols>
    <col min="1" max="1" width="11.5703125" style="13" customWidth="1"/>
    <col min="2" max="2" width="55.42578125" style="13" customWidth="1"/>
    <col min="3" max="6" width="15.5703125" style="13" customWidth="1"/>
    <col min="7" max="7" width="0.85546875" style="13" customWidth="1"/>
    <col min="8" max="10" width="15.5703125" style="13" customWidth="1"/>
    <col min="11" max="11" width="0.85546875" style="13" customWidth="1"/>
    <col min="12" max="14" width="10.5703125" style="13" customWidth="1"/>
    <col min="15" max="15" width="0.85546875" style="13" customWidth="1"/>
    <col min="16" max="18" width="14.5703125" style="13" customWidth="1"/>
    <col min="19" max="19" width="15.5703125" style="13" customWidth="1"/>
    <col min="21" max="21" width="1.5703125" customWidth="1"/>
    <col min="22" max="22" width="4.5703125" customWidth="1"/>
  </cols>
  <sheetData>
    <row r="1" spans="1:26" ht="26.25" x14ac:dyDescent="0.4">
      <c r="A1" s="250" t="s">
        <v>428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2017. ÉVES BESZÁMOLÓ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290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25">
      <c r="A5" s="272"/>
      <c r="B5" s="272" t="s">
        <v>378</v>
      </c>
      <c r="C5" s="273">
        <f>+C89</f>
        <v>54963000</v>
      </c>
      <c r="D5" s="273">
        <f t="shared" ref="D5:E5" si="0">+D89</f>
        <v>54963000</v>
      </c>
      <c r="E5" s="273">
        <f t="shared" si="0"/>
        <v>54963000</v>
      </c>
      <c r="F5" s="273">
        <f>+F89</f>
        <v>56832500</v>
      </c>
      <c r="G5" s="273"/>
      <c r="H5" s="273">
        <f>+H89</f>
        <v>25355939</v>
      </c>
      <c r="I5" s="273">
        <f t="shared" ref="I5:J5" si="1">+I89</f>
        <v>37588851</v>
      </c>
      <c r="J5" s="273">
        <f t="shared" si="1"/>
        <v>52377285</v>
      </c>
      <c r="K5" s="95"/>
      <c r="L5" s="32">
        <f t="shared" ref="L5:N6" si="2">IF(H5&gt;0,H5/C5,0)</f>
        <v>0.4613274202645416</v>
      </c>
      <c r="M5" s="32">
        <f t="shared" si="2"/>
        <v>0.68389372850826924</v>
      </c>
      <c r="N5" s="32">
        <f t="shared" si="2"/>
        <v>0.952955351782108</v>
      </c>
      <c r="O5" s="32"/>
      <c r="P5" s="273">
        <f>+P89</f>
        <v>0</v>
      </c>
      <c r="Q5" s="273">
        <f>+Q89</f>
        <v>0</v>
      </c>
      <c r="R5" s="273">
        <f>+R89</f>
        <v>1869500</v>
      </c>
      <c r="S5" s="273">
        <f>+S89</f>
        <v>1869500</v>
      </c>
      <c r="T5" s="139">
        <f>IF(C5=0,0,+S5/C5)</f>
        <v>3.4013791095828104E-2</v>
      </c>
      <c r="U5" s="124"/>
      <c r="V5" s="211">
        <f t="shared" ref="V5:V7" si="3">+S5-E5+C5</f>
        <v>1869500</v>
      </c>
      <c r="W5" s="128"/>
      <c r="X5" s="128"/>
    </row>
    <row r="6" spans="1:26" ht="20.100000000000001" customHeight="1" x14ac:dyDescent="0.25">
      <c r="A6" s="274"/>
      <c r="B6" s="274" t="s">
        <v>377</v>
      </c>
      <c r="C6" s="275">
        <f>+C102</f>
        <v>54963000</v>
      </c>
      <c r="D6" s="275">
        <f t="shared" ref="D6:F6" si="4">+D102</f>
        <v>54963000</v>
      </c>
      <c r="E6" s="275">
        <f t="shared" si="4"/>
        <v>54963000</v>
      </c>
      <c r="F6" s="275">
        <f t="shared" si="4"/>
        <v>56832500</v>
      </c>
      <c r="G6" s="275"/>
      <c r="H6" s="275">
        <f t="shared" ref="H6:J6" si="5">+H102</f>
        <v>29847957</v>
      </c>
      <c r="I6" s="275">
        <f t="shared" si="5"/>
        <v>41293522</v>
      </c>
      <c r="J6" s="275">
        <f t="shared" si="5"/>
        <v>54772927</v>
      </c>
      <c r="K6" s="69"/>
      <c r="L6" s="32">
        <f t="shared" si="2"/>
        <v>0.54305545548823753</v>
      </c>
      <c r="M6" s="32">
        <f t="shared" si="2"/>
        <v>0.75129672688899807</v>
      </c>
      <c r="N6" s="32">
        <f t="shared" si="2"/>
        <v>0.99654180084784305</v>
      </c>
      <c r="O6" s="32"/>
      <c r="P6" s="275">
        <f t="shared" ref="P6:S6" si="6">+P102</f>
        <v>0</v>
      </c>
      <c r="Q6" s="275">
        <f t="shared" si="6"/>
        <v>0</v>
      </c>
      <c r="R6" s="275">
        <f t="shared" si="6"/>
        <v>1869500</v>
      </c>
      <c r="S6" s="275">
        <f t="shared" si="6"/>
        <v>1869500</v>
      </c>
      <c r="T6" s="32">
        <f>IF(C6=0,0,+S6/C6)</f>
        <v>3.4013791095828104E-2</v>
      </c>
      <c r="U6" s="124"/>
      <c r="V6" s="211">
        <f t="shared" si="3"/>
        <v>1869500</v>
      </c>
      <c r="W6" s="128"/>
      <c r="X6" s="128"/>
    </row>
    <row r="7" spans="1:26" ht="20.100000000000001" customHeight="1" x14ac:dyDescent="0.25">
      <c r="A7" s="274"/>
      <c r="B7" s="274" t="s">
        <v>409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4492018</v>
      </c>
      <c r="I7" s="275">
        <f>+I6-I5</f>
        <v>3704671</v>
      </c>
      <c r="J7" s="275">
        <f t="shared" ref="J7" si="8">+J6-J5</f>
        <v>2395642</v>
      </c>
      <c r="K7" s="69"/>
      <c r="L7" s="32"/>
      <c r="M7" s="32"/>
      <c r="N7" s="32"/>
      <c r="O7" s="32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75" x14ac:dyDescent="0.25">
      <c r="A9" s="64"/>
      <c r="B9" s="259"/>
      <c r="C9" s="657" t="s">
        <v>408</v>
      </c>
      <c r="D9" s="662"/>
      <c r="E9" s="662"/>
      <c r="F9" s="663"/>
      <c r="G9" s="165"/>
      <c r="H9" s="657" t="s">
        <v>407</v>
      </c>
      <c r="I9" s="662"/>
      <c r="J9" s="662"/>
      <c r="K9" s="662"/>
      <c r="L9" s="662"/>
      <c r="M9" s="662"/>
      <c r="N9" s="663"/>
      <c r="O9" s="165"/>
      <c r="P9" s="657" t="s">
        <v>404</v>
      </c>
      <c r="Q9" s="662"/>
      <c r="R9" s="662"/>
      <c r="S9" s="662"/>
      <c r="T9" s="663"/>
      <c r="U9" s="212"/>
      <c r="V9" s="208"/>
      <c r="W9" s="128"/>
      <c r="X9" s="128"/>
    </row>
    <row r="10" spans="1:26" x14ac:dyDescent="0.2">
      <c r="A10" s="291"/>
      <c r="B10" s="290"/>
      <c r="C10" s="255"/>
      <c r="D10" s="94"/>
      <c r="E10" s="94"/>
      <c r="F10" s="256"/>
      <c r="G10" s="140"/>
      <c r="H10" s="654" t="s">
        <v>421</v>
      </c>
      <c r="I10" s="664"/>
      <c r="J10" s="665"/>
      <c r="K10" s="140"/>
      <c r="L10" s="654" t="s">
        <v>420</v>
      </c>
      <c r="M10" s="664"/>
      <c r="N10" s="665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1</v>
      </c>
      <c r="S10" s="133"/>
      <c r="T10" s="133"/>
      <c r="U10" s="162"/>
      <c r="V10" s="277"/>
      <c r="W10" s="137"/>
      <c r="X10" s="137"/>
      <c r="Y10" s="137"/>
      <c r="Z10" s="137"/>
    </row>
    <row r="11" spans="1:26" ht="67.5" x14ac:dyDescent="0.2">
      <c r="A11" s="27" t="s">
        <v>373</v>
      </c>
      <c r="B11" s="27" t="s">
        <v>371</v>
      </c>
      <c r="C11" s="551" t="s">
        <v>479</v>
      </c>
      <c r="D11" s="388" t="s">
        <v>480</v>
      </c>
      <c r="E11" s="388" t="s">
        <v>481</v>
      </c>
      <c r="F11" s="552" t="s">
        <v>482</v>
      </c>
      <c r="G11" s="388"/>
      <c r="H11" s="525" t="s">
        <v>483</v>
      </c>
      <c r="I11" s="389" t="s">
        <v>484</v>
      </c>
      <c r="J11" s="389" t="s">
        <v>485</v>
      </c>
      <c r="K11" s="388"/>
      <c r="L11" s="390" t="s">
        <v>486</v>
      </c>
      <c r="M11" s="390" t="s">
        <v>490</v>
      </c>
      <c r="N11" s="526" t="s">
        <v>491</v>
      </c>
      <c r="O11" s="388"/>
      <c r="P11" s="525" t="s">
        <v>487</v>
      </c>
      <c r="Q11" s="389" t="s">
        <v>489</v>
      </c>
      <c r="R11" s="389" t="s">
        <v>488</v>
      </c>
      <c r="S11" s="389" t="s">
        <v>405</v>
      </c>
      <c r="T11" s="526" t="s">
        <v>406</v>
      </c>
      <c r="U11" s="202"/>
      <c r="V11" s="138" t="s">
        <v>410</v>
      </c>
      <c r="W11" s="128"/>
      <c r="X11" s="128"/>
    </row>
    <row r="12" spans="1:26" x14ac:dyDescent="0.2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ht="12.75" customHeight="1" x14ac:dyDescent="0.2">
      <c r="A13" s="7" t="s">
        <v>0</v>
      </c>
      <c r="B13" s="5" t="s">
        <v>3</v>
      </c>
      <c r="C13" s="294">
        <f>SUM(C14:C28)</f>
        <v>36545000</v>
      </c>
      <c r="D13" s="294">
        <f t="shared" ref="D13:K13" si="10">SUM(D14:D28)</f>
        <v>36593000</v>
      </c>
      <c r="E13" s="294">
        <f t="shared" si="10"/>
        <v>36593000</v>
      </c>
      <c r="F13" s="294">
        <f t="shared" si="10"/>
        <v>36593000</v>
      </c>
      <c r="G13" s="294"/>
      <c r="H13" s="294">
        <f t="shared" si="10"/>
        <v>17008819</v>
      </c>
      <c r="I13" s="294">
        <f t="shared" si="10"/>
        <v>25128058</v>
      </c>
      <c r="J13" s="294">
        <f t="shared" si="10"/>
        <v>34445561</v>
      </c>
      <c r="K13" s="294">
        <f t="shared" si="10"/>
        <v>0</v>
      </c>
      <c r="L13" s="89">
        <f t="shared" ref="L13:N76" si="11">IF(H13&gt;0,H13/C13,0)</f>
        <v>0.46542123409495145</v>
      </c>
      <c r="M13" s="89">
        <f t="shared" si="11"/>
        <v>0.68669029595824338</v>
      </c>
      <c r="N13" s="89">
        <f t="shared" si="11"/>
        <v>0.94131557948241462</v>
      </c>
      <c r="O13" s="294"/>
      <c r="P13" s="294">
        <f t="shared" ref="P13:P27" si="12">+(D13-C13)*P$10</f>
        <v>48000</v>
      </c>
      <c r="Q13" s="294">
        <f t="shared" ref="Q13:Q27" si="13">+(E13-D13)*Q$10</f>
        <v>0</v>
      </c>
      <c r="R13" s="294">
        <f t="shared" ref="R13:R27" si="14">+(F13-E13)*R$10</f>
        <v>0</v>
      </c>
      <c r="S13" s="294">
        <f t="shared" ref="S13:S27" si="15">SUM(P13:R13)</f>
        <v>48000</v>
      </c>
      <c r="T13" s="305">
        <f t="shared" ref="T13:T14" si="16">IF(C13=0,0,+S13/C13)</f>
        <v>1.3134491722533862E-3</v>
      </c>
      <c r="U13" s="126"/>
      <c r="V13" s="208">
        <f t="shared" ref="V13:V14" si="17">+S13-E13+C13</f>
        <v>0</v>
      </c>
    </row>
    <row r="14" spans="1:26" ht="12.75" customHeight="1" x14ac:dyDescent="0.2">
      <c r="A14" s="14" t="s">
        <v>1</v>
      </c>
      <c r="B14" s="20"/>
      <c r="C14" s="295"/>
      <c r="D14" s="295"/>
      <c r="E14" s="295"/>
      <c r="F14" s="295"/>
      <c r="G14" s="295"/>
      <c r="H14" s="296"/>
      <c r="I14" s="296"/>
      <c r="J14" s="296"/>
      <c r="K14" s="295"/>
      <c r="L14" s="142">
        <f t="shared" si="11"/>
        <v>0</v>
      </c>
      <c r="M14" s="142">
        <f t="shared" si="11"/>
        <v>0</v>
      </c>
      <c r="N14" s="142">
        <f t="shared" si="11"/>
        <v>0</v>
      </c>
      <c r="O14" s="295"/>
      <c r="P14" s="83">
        <f t="shared" si="12"/>
        <v>0</v>
      </c>
      <c r="Q14" s="83">
        <f t="shared" si="13"/>
        <v>0</v>
      </c>
      <c r="R14" s="83">
        <f t="shared" si="14"/>
        <v>0</v>
      </c>
      <c r="S14" s="83">
        <f t="shared" si="15"/>
        <v>0</v>
      </c>
      <c r="T14" s="304">
        <f t="shared" si="16"/>
        <v>0</v>
      </c>
      <c r="U14" s="126"/>
      <c r="V14" s="208">
        <f t="shared" si="17"/>
        <v>0</v>
      </c>
    </row>
    <row r="15" spans="1:26" ht="12.75" customHeight="1" x14ac:dyDescent="0.2">
      <c r="A15" s="14" t="s">
        <v>2</v>
      </c>
      <c r="B15" s="513" t="s">
        <v>362</v>
      </c>
      <c r="C15" s="295">
        <v>34599000</v>
      </c>
      <c r="D15" s="295">
        <v>34373000</v>
      </c>
      <c r="E15" s="295">
        <v>34173000</v>
      </c>
      <c r="F15" s="295">
        <v>32953000</v>
      </c>
      <c r="G15" s="295"/>
      <c r="H15" s="296">
        <v>15987570</v>
      </c>
      <c r="I15" s="296">
        <v>23412051</v>
      </c>
      <c r="J15" s="296">
        <v>30973795</v>
      </c>
      <c r="K15" s="295"/>
      <c r="L15" s="143">
        <f t="shared" si="11"/>
        <v>0.46208185207664959</v>
      </c>
      <c r="M15" s="143">
        <f t="shared" si="11"/>
        <v>0.68111747592587202</v>
      </c>
      <c r="N15" s="143">
        <f t="shared" si="11"/>
        <v>0.90638208527199837</v>
      </c>
      <c r="O15" s="295"/>
      <c r="P15" s="83">
        <f t="shared" si="12"/>
        <v>-226000</v>
      </c>
      <c r="Q15" s="83">
        <f t="shared" si="13"/>
        <v>-200000</v>
      </c>
      <c r="R15" s="83">
        <f t="shared" si="14"/>
        <v>-1220000</v>
      </c>
      <c r="S15" s="83">
        <f t="shared" si="15"/>
        <v>-1646000</v>
      </c>
      <c r="T15" s="304">
        <f t="shared" ref="T15:T27" si="18">IF(C15=0,0,+S15/C15)</f>
        <v>-4.7573629295644383E-2</v>
      </c>
      <c r="U15" s="126"/>
      <c r="V15" s="208">
        <f t="shared" ref="V15:V27" si="19">+S15-E15+C15</f>
        <v>-1220000</v>
      </c>
    </row>
    <row r="16" spans="1:26" ht="12.75" customHeight="1" x14ac:dyDescent="0.2">
      <c r="A16" s="14" t="s">
        <v>12</v>
      </c>
      <c r="B16" s="20" t="s">
        <v>381</v>
      </c>
      <c r="C16" s="295">
        <v>0</v>
      </c>
      <c r="D16" s="295">
        <v>0</v>
      </c>
      <c r="E16" s="295">
        <v>0</v>
      </c>
      <c r="F16" s="295"/>
      <c r="G16" s="295"/>
      <c r="H16" s="296"/>
      <c r="I16" s="296"/>
      <c r="J16" s="296"/>
      <c r="K16" s="295"/>
      <c r="L16" s="142">
        <f t="shared" si="11"/>
        <v>0</v>
      </c>
      <c r="M16" s="142">
        <f t="shared" si="11"/>
        <v>0</v>
      </c>
      <c r="N16" s="142">
        <f t="shared" si="11"/>
        <v>0</v>
      </c>
      <c r="O16" s="295"/>
      <c r="P16" s="83">
        <f t="shared" si="12"/>
        <v>0</v>
      </c>
      <c r="Q16" s="83">
        <f t="shared" si="13"/>
        <v>0</v>
      </c>
      <c r="R16" s="83">
        <f t="shared" si="14"/>
        <v>0</v>
      </c>
      <c r="S16" s="83">
        <f t="shared" si="15"/>
        <v>0</v>
      </c>
      <c r="T16" s="304">
        <f t="shared" si="18"/>
        <v>0</v>
      </c>
      <c r="U16" s="126"/>
      <c r="V16" s="208">
        <f t="shared" si="19"/>
        <v>0</v>
      </c>
    </row>
    <row r="17" spans="1:22" ht="12.75" customHeight="1" x14ac:dyDescent="0.2">
      <c r="A17" s="14" t="s">
        <v>13</v>
      </c>
      <c r="B17" s="20" t="s">
        <v>380</v>
      </c>
      <c r="C17" s="295">
        <v>0</v>
      </c>
      <c r="D17" s="295">
        <v>0</v>
      </c>
      <c r="E17" s="295">
        <v>0</v>
      </c>
      <c r="F17" s="295"/>
      <c r="G17" s="295"/>
      <c r="H17" s="296"/>
      <c r="I17" s="296"/>
      <c r="J17" s="296"/>
      <c r="K17" s="295"/>
      <c r="L17" s="142">
        <f t="shared" si="11"/>
        <v>0</v>
      </c>
      <c r="M17" s="142">
        <f t="shared" si="11"/>
        <v>0</v>
      </c>
      <c r="N17" s="142">
        <f t="shared" si="11"/>
        <v>0</v>
      </c>
      <c r="O17" s="295"/>
      <c r="P17" s="83">
        <f t="shared" si="12"/>
        <v>0</v>
      </c>
      <c r="Q17" s="83">
        <f t="shared" si="13"/>
        <v>0</v>
      </c>
      <c r="R17" s="83">
        <f t="shared" si="14"/>
        <v>0</v>
      </c>
      <c r="S17" s="83">
        <f t="shared" si="15"/>
        <v>0</v>
      </c>
      <c r="T17" s="304">
        <f t="shared" si="18"/>
        <v>0</v>
      </c>
      <c r="U17" s="126"/>
      <c r="V17" s="208">
        <f t="shared" si="19"/>
        <v>0</v>
      </c>
    </row>
    <row r="18" spans="1:22" ht="12.75" customHeight="1" x14ac:dyDescent="0.2">
      <c r="A18" s="560" t="s">
        <v>386</v>
      </c>
      <c r="B18" s="20" t="s">
        <v>6</v>
      </c>
      <c r="C18" s="295"/>
      <c r="D18" s="295"/>
      <c r="E18" s="295"/>
      <c r="F18" s="295"/>
      <c r="G18" s="295"/>
      <c r="H18" s="296"/>
      <c r="I18" s="296"/>
      <c r="J18" s="296"/>
      <c r="K18" s="295"/>
      <c r="L18" s="142">
        <f t="shared" si="11"/>
        <v>0</v>
      </c>
      <c r="M18" s="142">
        <f t="shared" si="11"/>
        <v>0</v>
      </c>
      <c r="N18" s="142">
        <f t="shared" si="11"/>
        <v>0</v>
      </c>
      <c r="O18" s="295"/>
      <c r="P18" s="83">
        <f t="shared" si="12"/>
        <v>0</v>
      </c>
      <c r="Q18" s="83">
        <f t="shared" si="13"/>
        <v>0</v>
      </c>
      <c r="R18" s="83">
        <f t="shared" si="14"/>
        <v>0</v>
      </c>
      <c r="S18" s="83">
        <f t="shared" si="15"/>
        <v>0</v>
      </c>
      <c r="T18" s="304">
        <f t="shared" si="18"/>
        <v>0</v>
      </c>
      <c r="U18" s="126"/>
      <c r="V18" s="208">
        <f t="shared" si="19"/>
        <v>0</v>
      </c>
    </row>
    <row r="19" spans="1:22" ht="12.75" customHeight="1" x14ac:dyDescent="0.2">
      <c r="A19" s="14" t="s">
        <v>14</v>
      </c>
      <c r="B19" s="20" t="s">
        <v>7</v>
      </c>
      <c r="C19" s="295">
        <f>16*5000*12</f>
        <v>960000</v>
      </c>
      <c r="D19" s="295">
        <v>960000</v>
      </c>
      <c r="E19" s="295">
        <v>960000</v>
      </c>
      <c r="F19" s="295">
        <v>1570000</v>
      </c>
      <c r="G19" s="295"/>
      <c r="H19" s="295">
        <v>460000</v>
      </c>
      <c r="I19" s="295">
        <v>910000</v>
      </c>
      <c r="J19" s="295">
        <v>1570000</v>
      </c>
      <c r="K19" s="295"/>
      <c r="L19" s="143">
        <f t="shared" si="11"/>
        <v>0.47916666666666669</v>
      </c>
      <c r="M19" s="143">
        <f t="shared" si="11"/>
        <v>0.94791666666666663</v>
      </c>
      <c r="N19" s="143">
        <f t="shared" si="11"/>
        <v>1.6354166666666667</v>
      </c>
      <c r="O19" s="295"/>
      <c r="P19" s="83">
        <f t="shared" si="12"/>
        <v>0</v>
      </c>
      <c r="Q19" s="83">
        <f t="shared" si="13"/>
        <v>0</v>
      </c>
      <c r="R19" s="83">
        <f t="shared" si="14"/>
        <v>610000</v>
      </c>
      <c r="S19" s="83">
        <f t="shared" si="15"/>
        <v>610000</v>
      </c>
      <c r="T19" s="304">
        <f t="shared" si="18"/>
        <v>0.63541666666666663</v>
      </c>
      <c r="U19" s="126"/>
      <c r="V19" s="208">
        <f t="shared" si="19"/>
        <v>610000</v>
      </c>
    </row>
    <row r="20" spans="1:22" ht="12.75" customHeight="1" x14ac:dyDescent="0.2">
      <c r="A20" s="14" t="s">
        <v>15</v>
      </c>
      <c r="B20" s="20" t="s">
        <v>8</v>
      </c>
      <c r="C20" s="295"/>
      <c r="D20" s="295"/>
      <c r="E20" s="295"/>
      <c r="F20" s="295"/>
      <c r="G20" s="295"/>
      <c r="H20" s="296"/>
      <c r="I20" s="296"/>
      <c r="J20" s="296"/>
      <c r="K20" s="295"/>
      <c r="L20" s="142">
        <f t="shared" si="11"/>
        <v>0</v>
      </c>
      <c r="M20" s="142">
        <f t="shared" si="11"/>
        <v>0</v>
      </c>
      <c r="N20" s="142">
        <f t="shared" si="11"/>
        <v>0</v>
      </c>
      <c r="O20" s="295"/>
      <c r="P20" s="83">
        <f t="shared" si="12"/>
        <v>0</v>
      </c>
      <c r="Q20" s="83">
        <f t="shared" si="13"/>
        <v>0</v>
      </c>
      <c r="R20" s="83">
        <f t="shared" si="14"/>
        <v>0</v>
      </c>
      <c r="S20" s="83">
        <f t="shared" si="15"/>
        <v>0</v>
      </c>
      <c r="T20" s="304">
        <f t="shared" si="18"/>
        <v>0</v>
      </c>
      <c r="U20" s="126"/>
      <c r="V20" s="208">
        <f t="shared" si="19"/>
        <v>0</v>
      </c>
    </row>
    <row r="21" spans="1:22" ht="12.75" customHeight="1" x14ac:dyDescent="0.2">
      <c r="A21" s="14" t="s">
        <v>16</v>
      </c>
      <c r="B21" s="20" t="s">
        <v>9</v>
      </c>
      <c r="C21" s="295">
        <v>356000</v>
      </c>
      <c r="D21" s="295">
        <v>386000</v>
      </c>
      <c r="E21" s="295">
        <v>386000</v>
      </c>
      <c r="F21" s="295">
        <v>386000</v>
      </c>
      <c r="G21" s="295"/>
      <c r="H21" s="296">
        <v>117812</v>
      </c>
      <c r="I21" s="296">
        <v>177949</v>
      </c>
      <c r="J21" s="296">
        <v>338969</v>
      </c>
      <c r="K21" s="295"/>
      <c r="L21" s="143">
        <f t="shared" si="11"/>
        <v>0.33093258426966293</v>
      </c>
      <c r="M21" s="143">
        <f t="shared" si="11"/>
        <v>0.4610077720207254</v>
      </c>
      <c r="N21" s="143">
        <f t="shared" si="11"/>
        <v>0.87815803108808288</v>
      </c>
      <c r="O21" s="295"/>
      <c r="P21" s="83">
        <f t="shared" si="12"/>
        <v>30000</v>
      </c>
      <c r="Q21" s="83">
        <f t="shared" si="13"/>
        <v>0</v>
      </c>
      <c r="R21" s="83">
        <f t="shared" si="14"/>
        <v>0</v>
      </c>
      <c r="S21" s="83">
        <f t="shared" si="15"/>
        <v>30000</v>
      </c>
      <c r="T21" s="304">
        <f t="shared" si="18"/>
        <v>8.4269662921348312E-2</v>
      </c>
      <c r="U21" s="126"/>
      <c r="V21" s="208">
        <f t="shared" si="19"/>
        <v>0</v>
      </c>
    </row>
    <row r="22" spans="1:22" ht="12.75" customHeight="1" x14ac:dyDescent="0.2">
      <c r="A22" s="14" t="s">
        <v>17</v>
      </c>
      <c r="B22" s="20" t="s">
        <v>10</v>
      </c>
      <c r="C22" s="295"/>
      <c r="D22" s="295"/>
      <c r="E22" s="295"/>
      <c r="F22" s="295"/>
      <c r="G22" s="295"/>
      <c r="H22" s="296"/>
      <c r="I22" s="296"/>
      <c r="J22" s="296"/>
      <c r="K22" s="295"/>
      <c r="L22" s="142">
        <f t="shared" si="11"/>
        <v>0</v>
      </c>
      <c r="M22" s="142">
        <f t="shared" si="11"/>
        <v>0</v>
      </c>
      <c r="N22" s="142">
        <f t="shared" si="11"/>
        <v>0</v>
      </c>
      <c r="O22" s="295"/>
      <c r="P22" s="83">
        <f t="shared" si="12"/>
        <v>0</v>
      </c>
      <c r="Q22" s="83">
        <f t="shared" si="13"/>
        <v>0</v>
      </c>
      <c r="R22" s="83">
        <f t="shared" si="14"/>
        <v>0</v>
      </c>
      <c r="S22" s="83">
        <f t="shared" si="15"/>
        <v>0</v>
      </c>
      <c r="T22" s="304">
        <f t="shared" si="18"/>
        <v>0</v>
      </c>
      <c r="U22" s="126"/>
      <c r="V22" s="208">
        <f t="shared" si="19"/>
        <v>0</v>
      </c>
    </row>
    <row r="23" spans="1:22" ht="12.75" customHeight="1" x14ac:dyDescent="0.2">
      <c r="A23" s="14" t="s">
        <v>18</v>
      </c>
      <c r="B23" s="20" t="s">
        <v>11</v>
      </c>
      <c r="C23" s="295">
        <v>150000</v>
      </c>
      <c r="D23" s="295">
        <v>376000</v>
      </c>
      <c r="E23" s="295">
        <v>576000</v>
      </c>
      <c r="F23" s="295">
        <v>976000</v>
      </c>
      <c r="G23" s="295"/>
      <c r="H23" s="296">
        <v>323437</v>
      </c>
      <c r="I23" s="296">
        <v>448058</v>
      </c>
      <c r="J23" s="296">
        <v>872797</v>
      </c>
      <c r="K23" s="295"/>
      <c r="L23" s="143">
        <f t="shared" si="11"/>
        <v>2.1562466666666666</v>
      </c>
      <c r="M23" s="143">
        <f t="shared" si="11"/>
        <v>1.1916436170212765</v>
      </c>
      <c r="N23" s="143">
        <f t="shared" si="11"/>
        <v>1.5152725694444444</v>
      </c>
      <c r="O23" s="295"/>
      <c r="P23" s="83">
        <f t="shared" si="12"/>
        <v>226000</v>
      </c>
      <c r="Q23" s="83">
        <f t="shared" si="13"/>
        <v>200000</v>
      </c>
      <c r="R23" s="83">
        <f t="shared" si="14"/>
        <v>400000</v>
      </c>
      <c r="S23" s="83">
        <f t="shared" si="15"/>
        <v>826000</v>
      </c>
      <c r="T23" s="304">
        <f t="shared" si="18"/>
        <v>5.5066666666666668</v>
      </c>
      <c r="U23" s="126"/>
      <c r="V23" s="208">
        <f t="shared" si="19"/>
        <v>400000</v>
      </c>
    </row>
    <row r="24" spans="1:22" ht="12.75" customHeight="1" x14ac:dyDescent="0.2">
      <c r="A24" s="14" t="s">
        <v>19</v>
      </c>
      <c r="B24" s="20"/>
      <c r="C24" s="295"/>
      <c r="D24" s="295"/>
      <c r="E24" s="295"/>
      <c r="F24" s="295"/>
      <c r="G24" s="295"/>
      <c r="H24" s="296"/>
      <c r="I24" s="296"/>
      <c r="J24" s="296"/>
      <c r="K24" s="295"/>
      <c r="L24" s="142">
        <f t="shared" si="11"/>
        <v>0</v>
      </c>
      <c r="M24" s="142">
        <f t="shared" si="11"/>
        <v>0</v>
      </c>
      <c r="N24" s="142">
        <f t="shared" si="11"/>
        <v>0</v>
      </c>
      <c r="O24" s="295"/>
      <c r="P24" s="83">
        <f t="shared" si="12"/>
        <v>0</v>
      </c>
      <c r="Q24" s="83">
        <f t="shared" si="13"/>
        <v>0</v>
      </c>
      <c r="R24" s="83">
        <f t="shared" si="14"/>
        <v>0</v>
      </c>
      <c r="S24" s="83">
        <f t="shared" si="15"/>
        <v>0</v>
      </c>
      <c r="T24" s="304">
        <f t="shared" si="18"/>
        <v>0</v>
      </c>
      <c r="U24" s="126"/>
      <c r="V24" s="208">
        <f t="shared" si="19"/>
        <v>0</v>
      </c>
    </row>
    <row r="25" spans="1:22" ht="12.75" customHeight="1" x14ac:dyDescent="0.2">
      <c r="A25" s="14" t="s">
        <v>20</v>
      </c>
      <c r="B25" s="20" t="s">
        <v>21</v>
      </c>
      <c r="C25" s="295"/>
      <c r="D25" s="295"/>
      <c r="E25" s="295"/>
      <c r="F25" s="295"/>
      <c r="G25" s="295"/>
      <c r="H25" s="296"/>
      <c r="I25" s="296"/>
      <c r="J25" s="296"/>
      <c r="K25" s="295"/>
      <c r="L25" s="142">
        <f t="shared" si="11"/>
        <v>0</v>
      </c>
      <c r="M25" s="142">
        <f t="shared" si="11"/>
        <v>0</v>
      </c>
      <c r="N25" s="142">
        <f t="shared" si="11"/>
        <v>0</v>
      </c>
      <c r="O25" s="295"/>
      <c r="P25" s="83">
        <f t="shared" si="12"/>
        <v>0</v>
      </c>
      <c r="Q25" s="83">
        <f t="shared" si="13"/>
        <v>0</v>
      </c>
      <c r="R25" s="83">
        <f t="shared" si="14"/>
        <v>0</v>
      </c>
      <c r="S25" s="83">
        <f t="shared" si="15"/>
        <v>0</v>
      </c>
      <c r="T25" s="304">
        <f t="shared" si="18"/>
        <v>0</v>
      </c>
      <c r="U25" s="126"/>
      <c r="V25" s="208">
        <f t="shared" si="19"/>
        <v>0</v>
      </c>
    </row>
    <row r="26" spans="1:22" ht="12.75" customHeight="1" x14ac:dyDescent="0.2">
      <c r="A26" s="14" t="s">
        <v>22</v>
      </c>
      <c r="B26" s="20" t="s">
        <v>23</v>
      </c>
      <c r="C26" s="295">
        <v>480000</v>
      </c>
      <c r="D26" s="295">
        <v>498000</v>
      </c>
      <c r="E26" s="295">
        <v>498000</v>
      </c>
      <c r="F26" s="295">
        <v>708000</v>
      </c>
      <c r="G26" s="295"/>
      <c r="H26" s="296">
        <v>120000</v>
      </c>
      <c r="I26" s="296">
        <v>180000</v>
      </c>
      <c r="J26" s="296">
        <v>690000</v>
      </c>
      <c r="K26" s="295"/>
      <c r="L26" s="142">
        <f t="shared" si="11"/>
        <v>0.25</v>
      </c>
      <c r="M26" s="143">
        <f t="shared" si="11"/>
        <v>0.36144578313253012</v>
      </c>
      <c r="N26" s="142">
        <f t="shared" si="11"/>
        <v>1.3855421686746987</v>
      </c>
      <c r="O26" s="295"/>
      <c r="P26" s="83">
        <f t="shared" si="12"/>
        <v>18000</v>
      </c>
      <c r="Q26" s="83">
        <f t="shared" si="13"/>
        <v>0</v>
      </c>
      <c r="R26" s="83">
        <f t="shared" si="14"/>
        <v>210000</v>
      </c>
      <c r="S26" s="83">
        <f t="shared" si="15"/>
        <v>228000</v>
      </c>
      <c r="T26" s="304">
        <f t="shared" si="18"/>
        <v>0.47499999999999998</v>
      </c>
      <c r="U26" s="126"/>
      <c r="V26" s="208">
        <f t="shared" si="19"/>
        <v>210000</v>
      </c>
    </row>
    <row r="27" spans="1:22" ht="12.75" customHeight="1" x14ac:dyDescent="0.2">
      <c r="A27" s="14" t="s">
        <v>24</v>
      </c>
      <c r="B27" s="20" t="s">
        <v>25</v>
      </c>
      <c r="C27" s="295">
        <v>0</v>
      </c>
      <c r="D27" s="295">
        <v>0</v>
      </c>
      <c r="E27" s="295">
        <v>0</v>
      </c>
      <c r="F27" s="295"/>
      <c r="G27" s="295"/>
      <c r="H27" s="296">
        <v>0</v>
      </c>
      <c r="I27" s="296">
        <v>0</v>
      </c>
      <c r="J27" s="296"/>
      <c r="K27" s="295"/>
      <c r="L27" s="143">
        <f t="shared" si="11"/>
        <v>0</v>
      </c>
      <c r="M27" s="143">
        <f t="shared" si="11"/>
        <v>0</v>
      </c>
      <c r="N27" s="143">
        <f t="shared" si="11"/>
        <v>0</v>
      </c>
      <c r="O27" s="295"/>
      <c r="P27" s="83">
        <f t="shared" si="12"/>
        <v>0</v>
      </c>
      <c r="Q27" s="83">
        <f t="shared" si="13"/>
        <v>0</v>
      </c>
      <c r="R27" s="83">
        <f t="shared" si="14"/>
        <v>0</v>
      </c>
      <c r="S27" s="83">
        <f t="shared" si="15"/>
        <v>0</v>
      </c>
      <c r="T27" s="304">
        <f t="shared" si="18"/>
        <v>0</v>
      </c>
      <c r="U27" s="126"/>
      <c r="V27" s="208">
        <f t="shared" si="19"/>
        <v>0</v>
      </c>
    </row>
    <row r="28" spans="1:22" ht="12.75" customHeight="1" x14ac:dyDescent="0.2">
      <c r="A28" s="14"/>
      <c r="B28" s="14"/>
      <c r="C28" s="295"/>
      <c r="D28" s="295"/>
      <c r="E28" s="295"/>
      <c r="F28" s="295"/>
      <c r="G28" s="295"/>
      <c r="H28" s="296"/>
      <c r="I28" s="296"/>
      <c r="J28" s="296"/>
      <c r="K28" s="295"/>
      <c r="L28" s="161"/>
      <c r="M28" s="161"/>
      <c r="N28" s="161"/>
      <c r="O28" s="295"/>
      <c r="P28" s="83">
        <f t="shared" ref="P28:P101" si="20">+(D28-C28)*P$10</f>
        <v>0</v>
      </c>
      <c r="Q28" s="83">
        <f t="shared" ref="Q28:Q101" si="21">+(E28-D28)*Q$10</f>
        <v>0</v>
      </c>
      <c r="R28" s="83">
        <f t="shared" ref="R28:R101" si="22">+(F28-E28)*R$10</f>
        <v>0</v>
      </c>
      <c r="S28" s="83">
        <f t="shared" ref="S28:S101" si="23">SUM(P28:R28)</f>
        <v>0</v>
      </c>
      <c r="T28" s="304"/>
      <c r="U28" s="126"/>
      <c r="V28" s="208"/>
    </row>
    <row r="29" spans="1:22" ht="12.75" customHeight="1" x14ac:dyDescent="0.2">
      <c r="A29" s="7" t="s">
        <v>26</v>
      </c>
      <c r="B29" s="5" t="s">
        <v>27</v>
      </c>
      <c r="C29" s="294">
        <f>SUM(C30:C31)</f>
        <v>8079000</v>
      </c>
      <c r="D29" s="294">
        <f t="shared" ref="D29:F29" si="24">SUM(D30:D31)</f>
        <v>8079000</v>
      </c>
      <c r="E29" s="294">
        <f t="shared" si="24"/>
        <v>8079000</v>
      </c>
      <c r="F29" s="294">
        <f t="shared" si="24"/>
        <v>8079000</v>
      </c>
      <c r="G29" s="294"/>
      <c r="H29" s="294">
        <f t="shared" ref="H29" si="25">SUM(H30:H31)</f>
        <v>4326412</v>
      </c>
      <c r="I29" s="294">
        <f t="shared" ref="I29" si="26">SUM(I30:I31)</f>
        <v>6166973</v>
      </c>
      <c r="J29" s="294">
        <f t="shared" ref="J29" si="27">SUM(J30:J31)</f>
        <v>8035363</v>
      </c>
      <c r="K29" s="294"/>
      <c r="L29" s="89">
        <f t="shared" si="11"/>
        <v>0.53551330610224035</v>
      </c>
      <c r="M29" s="89">
        <f t="shared" si="11"/>
        <v>0.76333370466641914</v>
      </c>
      <c r="N29" s="89">
        <f t="shared" si="11"/>
        <v>0.99459871271196931</v>
      </c>
      <c r="O29" s="294"/>
      <c r="P29" s="294">
        <f t="shared" si="20"/>
        <v>0</v>
      </c>
      <c r="Q29" s="294">
        <f t="shared" si="21"/>
        <v>0</v>
      </c>
      <c r="R29" s="294">
        <f t="shared" si="22"/>
        <v>0</v>
      </c>
      <c r="S29" s="294">
        <f t="shared" si="23"/>
        <v>0</v>
      </c>
      <c r="T29" s="305">
        <f t="shared" ref="T29:T30" si="28">IF(C29=0,0,+S29/C29)</f>
        <v>0</v>
      </c>
      <c r="U29" s="126"/>
      <c r="V29" s="208">
        <f t="shared" ref="V29:V30" si="29">+S29-E29+C29</f>
        <v>0</v>
      </c>
    </row>
    <row r="30" spans="1:22" ht="12.75" customHeight="1" x14ac:dyDescent="0.2">
      <c r="A30" s="14"/>
      <c r="B30" s="20" t="s">
        <v>28</v>
      </c>
      <c r="C30" s="295">
        <v>8079000</v>
      </c>
      <c r="D30" s="295">
        <v>8079000</v>
      </c>
      <c r="E30" s="295">
        <v>8079000</v>
      </c>
      <c r="F30" s="295">
        <v>8079000</v>
      </c>
      <c r="G30" s="295"/>
      <c r="H30" s="296">
        <v>4326412</v>
      </c>
      <c r="I30" s="297">
        <v>6166973</v>
      </c>
      <c r="J30" s="297">
        <v>8035363</v>
      </c>
      <c r="K30" s="295"/>
      <c r="L30" s="143">
        <f t="shared" si="11"/>
        <v>0.53551330610224035</v>
      </c>
      <c r="M30" s="143">
        <f t="shared" si="11"/>
        <v>0.76333370466641914</v>
      </c>
      <c r="N30" s="143">
        <f t="shared" si="11"/>
        <v>0.99459871271196931</v>
      </c>
      <c r="O30" s="295"/>
      <c r="P30" s="83">
        <f t="shared" si="20"/>
        <v>0</v>
      </c>
      <c r="Q30" s="83">
        <f t="shared" si="21"/>
        <v>0</v>
      </c>
      <c r="R30" s="83">
        <f t="shared" si="22"/>
        <v>0</v>
      </c>
      <c r="S30" s="83">
        <f t="shared" si="23"/>
        <v>0</v>
      </c>
      <c r="T30" s="304">
        <f t="shared" si="28"/>
        <v>0</v>
      </c>
      <c r="U30" s="126"/>
      <c r="V30" s="208">
        <f t="shared" si="29"/>
        <v>0</v>
      </c>
    </row>
    <row r="31" spans="1:22" ht="12.75" customHeight="1" x14ac:dyDescent="0.2">
      <c r="A31" s="14"/>
      <c r="B31" s="14"/>
      <c r="C31" s="295"/>
      <c r="D31" s="295"/>
      <c r="E31" s="295"/>
      <c r="F31" s="295"/>
      <c r="G31" s="295"/>
      <c r="H31" s="296"/>
      <c r="I31" s="296"/>
      <c r="J31" s="296"/>
      <c r="K31" s="295"/>
      <c r="L31" s="161"/>
      <c r="M31" s="161"/>
      <c r="N31" s="161"/>
      <c r="O31" s="295"/>
      <c r="P31" s="83"/>
      <c r="Q31" s="83"/>
      <c r="R31" s="83"/>
      <c r="S31" s="83"/>
      <c r="T31" s="304"/>
      <c r="U31" s="126"/>
      <c r="V31" s="208"/>
    </row>
    <row r="32" spans="1:22" ht="12.75" customHeight="1" x14ac:dyDescent="0.2">
      <c r="A32" s="7" t="s">
        <v>29</v>
      </c>
      <c r="B32" s="5" t="s">
        <v>30</v>
      </c>
      <c r="C32" s="294">
        <f t="shared" ref="C32:E32" si="30">+C33+C41+C48+C66+C71</f>
        <v>10325000</v>
      </c>
      <c r="D32" s="294">
        <f t="shared" si="30"/>
        <v>10277000</v>
      </c>
      <c r="E32" s="294">
        <f t="shared" si="30"/>
        <v>10273000</v>
      </c>
      <c r="F32" s="294">
        <f t="shared" ref="F32" si="31">+F33+F41+F48+F66+F71</f>
        <v>12142500</v>
      </c>
      <c r="G32" s="294"/>
      <c r="H32" s="294">
        <f>+H33+H41+H48+H66+H71</f>
        <v>4020708</v>
      </c>
      <c r="I32" s="294">
        <f>+I33+I41+I48+I66+I71</f>
        <v>6293820</v>
      </c>
      <c r="J32" s="294">
        <f t="shared" ref="J32" si="32">+J33+J41+J48+J66+J71</f>
        <v>9880361</v>
      </c>
      <c r="K32" s="294"/>
      <c r="L32" s="89">
        <f t="shared" si="11"/>
        <v>0.38941481840193704</v>
      </c>
      <c r="M32" s="89">
        <f t="shared" si="11"/>
        <v>0.61241802082319741</v>
      </c>
      <c r="N32" s="89">
        <f t="shared" si="11"/>
        <v>0.96177951912781079</v>
      </c>
      <c r="O32" s="294"/>
      <c r="P32" s="294">
        <f t="shared" si="20"/>
        <v>-48000</v>
      </c>
      <c r="Q32" s="294">
        <f t="shared" si="21"/>
        <v>-4000</v>
      </c>
      <c r="R32" s="294">
        <f t="shared" si="22"/>
        <v>1869500</v>
      </c>
      <c r="S32" s="294">
        <f t="shared" si="23"/>
        <v>1817500</v>
      </c>
      <c r="T32" s="305">
        <f t="shared" ref="T32:T34" si="33">IF(C32=0,0,+S32/C32)</f>
        <v>0.17602905569007263</v>
      </c>
      <c r="U32" s="126"/>
      <c r="V32" s="208">
        <f t="shared" ref="V32:V34" si="34">+S32-E32+C32</f>
        <v>1869500</v>
      </c>
    </row>
    <row r="33" spans="1:22" s="43" customFormat="1" ht="12.75" customHeight="1" x14ac:dyDescent="0.2">
      <c r="A33" s="39" t="s">
        <v>31</v>
      </c>
      <c r="B33" s="40" t="s">
        <v>32</v>
      </c>
      <c r="C33" s="298">
        <f>SUM(C34:C40)</f>
        <v>6761000</v>
      </c>
      <c r="D33" s="298">
        <f t="shared" ref="D33:F33" si="35">SUM(D34:D40)</f>
        <v>5420000</v>
      </c>
      <c r="E33" s="298">
        <f t="shared" si="35"/>
        <v>5291000</v>
      </c>
      <c r="F33" s="298">
        <f t="shared" si="35"/>
        <v>6638000</v>
      </c>
      <c r="G33" s="298"/>
      <c r="H33" s="298">
        <f t="shared" ref="H33" si="36">SUM(H34:H40)</f>
        <v>2103377</v>
      </c>
      <c r="I33" s="298">
        <f t="shared" ref="I33" si="37">SUM(I34:I40)</f>
        <v>3275970</v>
      </c>
      <c r="J33" s="298">
        <f t="shared" ref="J33" si="38">SUM(J34:J40)</f>
        <v>5505274</v>
      </c>
      <c r="K33" s="298"/>
      <c r="L33" s="161">
        <f t="shared" si="11"/>
        <v>0.31110442242271852</v>
      </c>
      <c r="M33" s="161">
        <f t="shared" si="11"/>
        <v>0.60442250922509222</v>
      </c>
      <c r="N33" s="161">
        <f t="shared" si="11"/>
        <v>1.0404978264978264</v>
      </c>
      <c r="O33" s="298"/>
      <c r="P33" s="301">
        <f t="shared" si="20"/>
        <v>-1341000</v>
      </c>
      <c r="Q33" s="301">
        <f t="shared" si="21"/>
        <v>-129000</v>
      </c>
      <c r="R33" s="301">
        <f t="shared" si="22"/>
        <v>1347000</v>
      </c>
      <c r="S33" s="301">
        <f t="shared" si="23"/>
        <v>-123000</v>
      </c>
      <c r="T33" s="304">
        <f t="shared" si="33"/>
        <v>-1.8192575062860525E-2</v>
      </c>
      <c r="U33" s="126"/>
      <c r="V33" s="208">
        <f t="shared" si="34"/>
        <v>1347000</v>
      </c>
    </row>
    <row r="34" spans="1:22" ht="12.75" customHeight="1" x14ac:dyDescent="0.2">
      <c r="A34" s="14" t="s">
        <v>33</v>
      </c>
      <c r="B34" s="20" t="s">
        <v>35</v>
      </c>
      <c r="C34" s="295">
        <v>55000</v>
      </c>
      <c r="D34" s="295">
        <v>73000</v>
      </c>
      <c r="E34" s="295">
        <v>73000</v>
      </c>
      <c r="F34" s="295">
        <v>73000</v>
      </c>
      <c r="G34" s="295"/>
      <c r="H34" s="295">
        <v>27719</v>
      </c>
      <c r="I34" s="295">
        <v>47324</v>
      </c>
      <c r="J34" s="295">
        <v>51235</v>
      </c>
      <c r="K34" s="295"/>
      <c r="L34" s="143">
        <f t="shared" si="11"/>
        <v>0.5039818181818182</v>
      </c>
      <c r="M34" s="143">
        <f t="shared" si="11"/>
        <v>0.64827397260273978</v>
      </c>
      <c r="N34" s="143">
        <f t="shared" si="11"/>
        <v>0.70184931506849313</v>
      </c>
      <c r="O34" s="295"/>
      <c r="P34" s="83">
        <f t="shared" si="20"/>
        <v>18000</v>
      </c>
      <c r="Q34" s="83">
        <f t="shared" si="21"/>
        <v>0</v>
      </c>
      <c r="R34" s="83">
        <f t="shared" si="22"/>
        <v>0</v>
      </c>
      <c r="S34" s="83">
        <f t="shared" si="23"/>
        <v>18000</v>
      </c>
      <c r="T34" s="304">
        <f t="shared" si="33"/>
        <v>0.32727272727272727</v>
      </c>
      <c r="U34" s="126"/>
      <c r="V34" s="208">
        <f t="shared" si="34"/>
        <v>0</v>
      </c>
    </row>
    <row r="35" spans="1:22" ht="12.75" customHeight="1" x14ac:dyDescent="0.2">
      <c r="A35" s="14"/>
      <c r="B35" s="20" t="s">
        <v>89</v>
      </c>
      <c r="C35" s="295"/>
      <c r="D35" s="295"/>
      <c r="E35" s="295"/>
      <c r="F35" s="295"/>
      <c r="G35" s="295"/>
      <c r="H35" s="295"/>
      <c r="I35" s="295"/>
      <c r="J35" s="295"/>
      <c r="K35" s="295"/>
      <c r="L35" s="142">
        <f t="shared" si="11"/>
        <v>0</v>
      </c>
      <c r="M35" s="142">
        <f t="shared" si="11"/>
        <v>0</v>
      </c>
      <c r="N35" s="142">
        <f t="shared" si="11"/>
        <v>0</v>
      </c>
      <c r="O35" s="295"/>
      <c r="P35" s="83">
        <f t="shared" si="20"/>
        <v>0</v>
      </c>
      <c r="Q35" s="83">
        <f t="shared" si="21"/>
        <v>0</v>
      </c>
      <c r="R35" s="83">
        <f t="shared" si="22"/>
        <v>0</v>
      </c>
      <c r="S35" s="83">
        <f t="shared" si="23"/>
        <v>0</v>
      </c>
      <c r="T35" s="304">
        <f t="shared" ref="T35:T47" si="39">IF(C35=0,0,+S35/C35)</f>
        <v>0</v>
      </c>
      <c r="U35" s="126"/>
      <c r="V35" s="208">
        <f t="shared" ref="V35:V47" si="40">+S35-E35+C35</f>
        <v>0</v>
      </c>
    </row>
    <row r="36" spans="1:22" ht="12.75" customHeight="1" x14ac:dyDescent="0.2">
      <c r="A36" s="14" t="s">
        <v>34</v>
      </c>
      <c r="B36" s="20" t="s">
        <v>36</v>
      </c>
      <c r="C36" s="295">
        <v>6706000</v>
      </c>
      <c r="D36" s="295">
        <v>5347000</v>
      </c>
      <c r="E36" s="295">
        <v>5218000</v>
      </c>
      <c r="F36" s="295">
        <v>6565000</v>
      </c>
      <c r="G36" s="295"/>
      <c r="H36" s="295">
        <v>2075658</v>
      </c>
      <c r="I36" s="295">
        <v>3228646</v>
      </c>
      <c r="J36" s="295">
        <v>5454039</v>
      </c>
      <c r="K36" s="295"/>
      <c r="L36" s="143">
        <f t="shared" si="11"/>
        <v>0.30952251714882195</v>
      </c>
      <c r="M36" s="143">
        <f t="shared" si="11"/>
        <v>0.60382382644473531</v>
      </c>
      <c r="N36" s="143">
        <f t="shared" si="11"/>
        <v>1.0452355308547336</v>
      </c>
      <c r="O36" s="295"/>
      <c r="P36" s="83">
        <f t="shared" si="20"/>
        <v>-1359000</v>
      </c>
      <c r="Q36" s="83">
        <f t="shared" si="21"/>
        <v>-129000</v>
      </c>
      <c r="R36" s="83">
        <f t="shared" si="22"/>
        <v>1347000</v>
      </c>
      <c r="S36" s="83">
        <f t="shared" si="23"/>
        <v>-141000</v>
      </c>
      <c r="T36" s="304">
        <f t="shared" si="39"/>
        <v>-2.1025946913212048E-2</v>
      </c>
      <c r="U36" s="126"/>
      <c r="V36" s="208">
        <f t="shared" si="40"/>
        <v>1347000</v>
      </c>
    </row>
    <row r="37" spans="1:22" ht="12.75" customHeight="1" x14ac:dyDescent="0.2">
      <c r="A37" s="14"/>
      <c r="B37" s="20" t="s">
        <v>105</v>
      </c>
      <c r="C37" s="295"/>
      <c r="D37" s="295"/>
      <c r="E37" s="295"/>
      <c r="F37" s="295"/>
      <c r="G37" s="295"/>
      <c r="H37" s="295">
        <v>0</v>
      </c>
      <c r="I37" s="295"/>
      <c r="J37" s="295"/>
      <c r="K37" s="295"/>
      <c r="L37" s="142">
        <f t="shared" si="11"/>
        <v>0</v>
      </c>
      <c r="M37" s="142">
        <f t="shared" si="11"/>
        <v>0</v>
      </c>
      <c r="N37" s="142">
        <f t="shared" si="11"/>
        <v>0</v>
      </c>
      <c r="O37" s="295"/>
      <c r="P37" s="83">
        <f t="shared" si="20"/>
        <v>0</v>
      </c>
      <c r="Q37" s="83">
        <f t="shared" si="21"/>
        <v>0</v>
      </c>
      <c r="R37" s="83">
        <f t="shared" si="22"/>
        <v>0</v>
      </c>
      <c r="S37" s="83">
        <f t="shared" si="23"/>
        <v>0</v>
      </c>
      <c r="T37" s="304">
        <f t="shared" si="39"/>
        <v>0</v>
      </c>
      <c r="U37" s="126"/>
      <c r="V37" s="208">
        <f t="shared" si="40"/>
        <v>0</v>
      </c>
    </row>
    <row r="38" spans="1:22" ht="12.75" customHeight="1" x14ac:dyDescent="0.2">
      <c r="A38" s="14"/>
      <c r="B38" s="20" t="s">
        <v>95</v>
      </c>
      <c r="C38" s="295"/>
      <c r="D38" s="295"/>
      <c r="E38" s="295"/>
      <c r="F38" s="295"/>
      <c r="G38" s="295"/>
      <c r="H38" s="295"/>
      <c r="I38" s="295"/>
      <c r="J38" s="295"/>
      <c r="K38" s="295"/>
      <c r="L38" s="142">
        <f t="shared" si="11"/>
        <v>0</v>
      </c>
      <c r="M38" s="142">
        <f t="shared" si="11"/>
        <v>0</v>
      </c>
      <c r="N38" s="142">
        <f t="shared" si="11"/>
        <v>0</v>
      </c>
      <c r="O38" s="295"/>
      <c r="P38" s="83">
        <f t="shared" si="20"/>
        <v>0</v>
      </c>
      <c r="Q38" s="83">
        <f t="shared" si="21"/>
        <v>0</v>
      </c>
      <c r="R38" s="83">
        <f t="shared" si="22"/>
        <v>0</v>
      </c>
      <c r="S38" s="83">
        <f t="shared" si="23"/>
        <v>0</v>
      </c>
      <c r="T38" s="304">
        <f t="shared" si="39"/>
        <v>0</v>
      </c>
      <c r="U38" s="126"/>
      <c r="V38" s="208">
        <f t="shared" si="40"/>
        <v>0</v>
      </c>
    </row>
    <row r="39" spans="1:22" ht="12.75" customHeight="1" x14ac:dyDescent="0.2">
      <c r="A39" s="14"/>
      <c r="B39" s="20" t="s">
        <v>94</v>
      </c>
      <c r="C39" s="295"/>
      <c r="D39" s="295"/>
      <c r="E39" s="295"/>
      <c r="F39" s="295"/>
      <c r="G39" s="295"/>
      <c r="H39" s="295"/>
      <c r="I39" s="295"/>
      <c r="J39" s="295"/>
      <c r="K39" s="295"/>
      <c r="L39" s="142">
        <f t="shared" si="11"/>
        <v>0</v>
      </c>
      <c r="M39" s="142">
        <f t="shared" si="11"/>
        <v>0</v>
      </c>
      <c r="N39" s="142">
        <f t="shared" si="11"/>
        <v>0</v>
      </c>
      <c r="O39" s="295"/>
      <c r="P39" s="83">
        <f t="shared" si="20"/>
        <v>0</v>
      </c>
      <c r="Q39" s="83">
        <f t="shared" si="21"/>
        <v>0</v>
      </c>
      <c r="R39" s="83">
        <f t="shared" si="22"/>
        <v>0</v>
      </c>
      <c r="S39" s="83">
        <f t="shared" si="23"/>
        <v>0</v>
      </c>
      <c r="T39" s="304">
        <f t="shared" si="39"/>
        <v>0</v>
      </c>
      <c r="U39" s="126"/>
      <c r="V39" s="208">
        <f t="shared" si="40"/>
        <v>0</v>
      </c>
    </row>
    <row r="40" spans="1:22" ht="12.75" customHeight="1" x14ac:dyDescent="0.2">
      <c r="A40" s="14"/>
      <c r="B40" s="20" t="s">
        <v>93</v>
      </c>
      <c r="C40" s="295"/>
      <c r="D40" s="295"/>
      <c r="E40" s="295"/>
      <c r="F40" s="295"/>
      <c r="G40" s="295"/>
      <c r="H40" s="295"/>
      <c r="I40" s="295"/>
      <c r="J40" s="295"/>
      <c r="K40" s="295"/>
      <c r="L40" s="142">
        <f t="shared" si="11"/>
        <v>0</v>
      </c>
      <c r="M40" s="142">
        <f t="shared" si="11"/>
        <v>0</v>
      </c>
      <c r="N40" s="142">
        <f t="shared" si="11"/>
        <v>0</v>
      </c>
      <c r="O40" s="295"/>
      <c r="P40" s="83">
        <f t="shared" si="20"/>
        <v>0</v>
      </c>
      <c r="Q40" s="83">
        <f t="shared" si="21"/>
        <v>0</v>
      </c>
      <c r="R40" s="83">
        <f t="shared" si="22"/>
        <v>0</v>
      </c>
      <c r="S40" s="83">
        <f t="shared" si="23"/>
        <v>0</v>
      </c>
      <c r="T40" s="304">
        <f t="shared" si="39"/>
        <v>0</v>
      </c>
      <c r="U40" s="126"/>
      <c r="V40" s="208">
        <f t="shared" si="40"/>
        <v>0</v>
      </c>
    </row>
    <row r="41" spans="1:22" s="43" customFormat="1" ht="12.75" customHeight="1" x14ac:dyDescent="0.2">
      <c r="A41" s="39" t="s">
        <v>37</v>
      </c>
      <c r="B41" s="40" t="s">
        <v>38</v>
      </c>
      <c r="C41" s="298">
        <f>SUM(C42:C47)</f>
        <v>36000</v>
      </c>
      <c r="D41" s="298">
        <f t="shared" ref="D41:J41" si="41">SUM(D42:D47)</f>
        <v>91000</v>
      </c>
      <c r="E41" s="298">
        <f t="shared" si="41"/>
        <v>91000</v>
      </c>
      <c r="F41" s="298">
        <f t="shared" si="41"/>
        <v>91000</v>
      </c>
      <c r="G41" s="298"/>
      <c r="H41" s="298">
        <f t="shared" si="41"/>
        <v>19225</v>
      </c>
      <c r="I41" s="298">
        <f t="shared" si="41"/>
        <v>28897</v>
      </c>
      <c r="J41" s="298">
        <f t="shared" si="41"/>
        <v>38054</v>
      </c>
      <c r="K41" s="298"/>
      <c r="L41" s="143">
        <f t="shared" si="11"/>
        <v>0.53402777777777777</v>
      </c>
      <c r="M41" s="143">
        <f t="shared" si="11"/>
        <v>0.31754945054945055</v>
      </c>
      <c r="N41" s="143">
        <f t="shared" si="11"/>
        <v>0.41817582417582416</v>
      </c>
      <c r="O41" s="298"/>
      <c r="P41" s="298">
        <f t="shared" si="20"/>
        <v>55000</v>
      </c>
      <c r="Q41" s="298">
        <f t="shared" si="21"/>
        <v>0</v>
      </c>
      <c r="R41" s="298">
        <f t="shared" si="22"/>
        <v>0</v>
      </c>
      <c r="S41" s="298">
        <f t="shared" si="23"/>
        <v>55000</v>
      </c>
      <c r="T41" s="304">
        <f t="shared" si="39"/>
        <v>1.5277777777777777</v>
      </c>
      <c r="U41" s="126"/>
      <c r="V41" s="208">
        <f t="shared" si="40"/>
        <v>0</v>
      </c>
    </row>
    <row r="42" spans="1:22" ht="12.75" customHeight="1" x14ac:dyDescent="0.2">
      <c r="A42" s="14" t="s">
        <v>39</v>
      </c>
      <c r="B42" s="20" t="s">
        <v>40</v>
      </c>
      <c r="C42" s="295">
        <v>0</v>
      </c>
      <c r="D42" s="295">
        <v>0</v>
      </c>
      <c r="E42" s="295">
        <v>0</v>
      </c>
      <c r="F42" s="295"/>
      <c r="G42" s="295"/>
      <c r="H42" s="295">
        <v>0</v>
      </c>
      <c r="I42" s="295"/>
      <c r="J42" s="295">
        <v>0</v>
      </c>
      <c r="K42" s="295"/>
      <c r="L42" s="143">
        <f t="shared" si="11"/>
        <v>0</v>
      </c>
      <c r="M42" s="143">
        <f t="shared" si="11"/>
        <v>0</v>
      </c>
      <c r="N42" s="143">
        <f t="shared" si="11"/>
        <v>0</v>
      </c>
      <c r="O42" s="295"/>
      <c r="P42" s="83">
        <f t="shared" si="20"/>
        <v>0</v>
      </c>
      <c r="Q42" s="83">
        <f t="shared" si="21"/>
        <v>0</v>
      </c>
      <c r="R42" s="83">
        <f t="shared" si="22"/>
        <v>0</v>
      </c>
      <c r="S42" s="83">
        <f t="shared" si="23"/>
        <v>0</v>
      </c>
      <c r="T42" s="304">
        <f t="shared" si="39"/>
        <v>0</v>
      </c>
      <c r="U42" s="126"/>
      <c r="V42" s="208">
        <f t="shared" si="40"/>
        <v>0</v>
      </c>
    </row>
    <row r="43" spans="1:22" ht="12.75" customHeight="1" x14ac:dyDescent="0.2">
      <c r="A43" s="14"/>
      <c r="B43" s="20" t="s">
        <v>41</v>
      </c>
      <c r="C43" s="295"/>
      <c r="D43" s="295"/>
      <c r="E43" s="295"/>
      <c r="F43" s="295"/>
      <c r="G43" s="295"/>
      <c r="H43" s="295"/>
      <c r="I43" s="295"/>
      <c r="J43" s="295"/>
      <c r="K43" s="295"/>
      <c r="L43" s="142">
        <f t="shared" si="11"/>
        <v>0</v>
      </c>
      <c r="M43" s="142">
        <f t="shared" si="11"/>
        <v>0</v>
      </c>
      <c r="N43" s="142">
        <f t="shared" si="11"/>
        <v>0</v>
      </c>
      <c r="O43" s="295"/>
      <c r="P43" s="83">
        <f t="shared" si="20"/>
        <v>0</v>
      </c>
      <c r="Q43" s="83">
        <f t="shared" si="21"/>
        <v>0</v>
      </c>
      <c r="R43" s="83">
        <f t="shared" si="22"/>
        <v>0</v>
      </c>
      <c r="S43" s="83">
        <f t="shared" si="23"/>
        <v>0</v>
      </c>
      <c r="T43" s="304">
        <f t="shared" si="39"/>
        <v>0</v>
      </c>
      <c r="U43" s="126"/>
      <c r="V43" s="208">
        <f t="shared" si="40"/>
        <v>0</v>
      </c>
    </row>
    <row r="44" spans="1:22" ht="12.75" customHeight="1" x14ac:dyDescent="0.2">
      <c r="A44" s="14"/>
      <c r="B44" s="20" t="s">
        <v>42</v>
      </c>
      <c r="C44" s="295"/>
      <c r="D44" s="295"/>
      <c r="E44" s="295"/>
      <c r="F44" s="295"/>
      <c r="G44" s="295"/>
      <c r="H44" s="295"/>
      <c r="I44" s="295"/>
      <c r="J44" s="295"/>
      <c r="K44" s="295"/>
      <c r="L44" s="142">
        <f t="shared" si="11"/>
        <v>0</v>
      </c>
      <c r="M44" s="142">
        <f t="shared" si="11"/>
        <v>0</v>
      </c>
      <c r="N44" s="142">
        <f t="shared" si="11"/>
        <v>0</v>
      </c>
      <c r="O44" s="295"/>
      <c r="P44" s="83">
        <f t="shared" si="20"/>
        <v>0</v>
      </c>
      <c r="Q44" s="83">
        <f t="shared" si="21"/>
        <v>0</v>
      </c>
      <c r="R44" s="83">
        <f t="shared" si="22"/>
        <v>0</v>
      </c>
      <c r="S44" s="83">
        <f t="shared" si="23"/>
        <v>0</v>
      </c>
      <c r="T44" s="304">
        <f t="shared" si="39"/>
        <v>0</v>
      </c>
      <c r="U44" s="126"/>
      <c r="V44" s="208">
        <f t="shared" si="40"/>
        <v>0</v>
      </c>
    </row>
    <row r="45" spans="1:22" ht="12.75" customHeight="1" x14ac:dyDescent="0.2">
      <c r="A45" s="14"/>
      <c r="B45" s="20" t="s">
        <v>43</v>
      </c>
      <c r="C45" s="295"/>
      <c r="D45" s="295"/>
      <c r="E45" s="295"/>
      <c r="F45" s="295"/>
      <c r="G45" s="295"/>
      <c r="H45" s="295"/>
      <c r="I45" s="295"/>
      <c r="J45" s="295"/>
      <c r="K45" s="295"/>
      <c r="L45" s="142">
        <f t="shared" si="11"/>
        <v>0</v>
      </c>
      <c r="M45" s="142">
        <f t="shared" si="11"/>
        <v>0</v>
      </c>
      <c r="N45" s="142">
        <f t="shared" si="11"/>
        <v>0</v>
      </c>
      <c r="O45" s="295"/>
      <c r="P45" s="83">
        <f t="shared" si="20"/>
        <v>0</v>
      </c>
      <c r="Q45" s="83">
        <f t="shared" si="21"/>
        <v>0</v>
      </c>
      <c r="R45" s="83">
        <f t="shared" si="22"/>
        <v>0</v>
      </c>
      <c r="S45" s="83">
        <f t="shared" si="23"/>
        <v>0</v>
      </c>
      <c r="T45" s="304">
        <f t="shared" si="39"/>
        <v>0</v>
      </c>
      <c r="U45" s="126"/>
      <c r="V45" s="208">
        <f t="shared" si="40"/>
        <v>0</v>
      </c>
    </row>
    <row r="46" spans="1:22" ht="12.75" customHeight="1" x14ac:dyDescent="0.2">
      <c r="A46" s="14" t="s">
        <v>44</v>
      </c>
      <c r="B46" s="20" t="s">
        <v>45</v>
      </c>
      <c r="C46" s="295">
        <v>36000</v>
      </c>
      <c r="D46" s="295">
        <v>91000</v>
      </c>
      <c r="E46" s="295">
        <v>91000</v>
      </c>
      <c r="F46" s="295">
        <v>91000</v>
      </c>
      <c r="G46" s="295"/>
      <c r="H46" s="295">
        <v>19225</v>
      </c>
      <c r="I46" s="295">
        <v>28897</v>
      </c>
      <c r="J46" s="295">
        <v>38054</v>
      </c>
      <c r="K46" s="295"/>
      <c r="L46" s="143">
        <f t="shared" si="11"/>
        <v>0.53402777777777777</v>
      </c>
      <c r="M46" s="143">
        <f t="shared" si="11"/>
        <v>0.31754945054945055</v>
      </c>
      <c r="N46" s="143">
        <f t="shared" si="11"/>
        <v>0.41817582417582416</v>
      </c>
      <c r="O46" s="295"/>
      <c r="P46" s="83">
        <f t="shared" si="20"/>
        <v>55000</v>
      </c>
      <c r="Q46" s="83">
        <f t="shared" si="21"/>
        <v>0</v>
      </c>
      <c r="R46" s="83">
        <f t="shared" si="22"/>
        <v>0</v>
      </c>
      <c r="S46" s="83">
        <f t="shared" si="23"/>
        <v>55000</v>
      </c>
      <c r="T46" s="304">
        <f t="shared" si="39"/>
        <v>1.5277777777777777</v>
      </c>
      <c r="U46" s="126"/>
      <c r="V46" s="208">
        <f t="shared" si="40"/>
        <v>0</v>
      </c>
    </row>
    <row r="47" spans="1:22" ht="12.75" customHeight="1" x14ac:dyDescent="0.2">
      <c r="A47" s="14"/>
      <c r="B47" s="20" t="s">
        <v>46</v>
      </c>
      <c r="C47" s="295"/>
      <c r="D47" s="295">
        <v>0</v>
      </c>
      <c r="E47" s="295">
        <v>0</v>
      </c>
      <c r="F47" s="295"/>
      <c r="G47" s="295"/>
      <c r="H47" s="295"/>
      <c r="I47" s="295"/>
      <c r="J47" s="295"/>
      <c r="K47" s="295"/>
      <c r="L47" s="142">
        <f t="shared" si="11"/>
        <v>0</v>
      </c>
      <c r="M47" s="142">
        <f t="shared" si="11"/>
        <v>0</v>
      </c>
      <c r="N47" s="142">
        <f t="shared" si="11"/>
        <v>0</v>
      </c>
      <c r="O47" s="295"/>
      <c r="P47" s="83">
        <f t="shared" si="20"/>
        <v>0</v>
      </c>
      <c r="Q47" s="83">
        <f t="shared" si="21"/>
        <v>0</v>
      </c>
      <c r="R47" s="83">
        <f t="shared" si="22"/>
        <v>0</v>
      </c>
      <c r="S47" s="83">
        <f t="shared" si="23"/>
        <v>0</v>
      </c>
      <c r="T47" s="304">
        <f t="shared" si="39"/>
        <v>0</v>
      </c>
      <c r="U47" s="126"/>
      <c r="V47" s="208">
        <f t="shared" si="40"/>
        <v>0</v>
      </c>
    </row>
    <row r="48" spans="1:22" s="43" customFormat="1" ht="12.75" customHeight="1" x14ac:dyDescent="0.2">
      <c r="A48" s="39" t="s">
        <v>47</v>
      </c>
      <c r="B48" s="40" t="s">
        <v>48</v>
      </c>
      <c r="C48" s="298">
        <f>SUM(C49:C65)</f>
        <v>1230000</v>
      </c>
      <c r="D48" s="298">
        <f t="shared" ref="D48:F48" si="42">SUM(D49:D65)</f>
        <v>2468000</v>
      </c>
      <c r="E48" s="298">
        <f t="shared" si="42"/>
        <v>2593000</v>
      </c>
      <c r="F48" s="298">
        <f t="shared" si="42"/>
        <v>2814500</v>
      </c>
      <c r="G48" s="298"/>
      <c r="H48" s="298">
        <f>SUM(H49:H65)</f>
        <v>1120806</v>
      </c>
      <c r="I48" s="298">
        <f t="shared" ref="I48:J48" si="43">SUM(I49:I65)</f>
        <v>1704274</v>
      </c>
      <c r="J48" s="298">
        <f t="shared" si="43"/>
        <v>2282669</v>
      </c>
      <c r="K48" s="298"/>
      <c r="L48" s="144">
        <f t="shared" si="11"/>
        <v>0.91122439024390245</v>
      </c>
      <c r="M48" s="144">
        <f t="shared" si="11"/>
        <v>0.69054862236628844</v>
      </c>
      <c r="N48" s="144">
        <f t="shared" si="11"/>
        <v>0.88031970690320094</v>
      </c>
      <c r="O48" s="298"/>
      <c r="P48" s="298">
        <f t="shared" si="20"/>
        <v>1238000</v>
      </c>
      <c r="Q48" s="298">
        <f t="shared" si="21"/>
        <v>125000</v>
      </c>
      <c r="R48" s="298">
        <f t="shared" si="22"/>
        <v>221500</v>
      </c>
      <c r="S48" s="298">
        <f t="shared" si="23"/>
        <v>1584500</v>
      </c>
      <c r="T48" s="304">
        <f t="shared" ref="T48:T49" si="44">IF(C48=0,0,+S48/C48)</f>
        <v>1.2882113821138212</v>
      </c>
      <c r="U48" s="126"/>
      <c r="V48" s="208">
        <f t="shared" ref="V48:V49" si="45">+S48-E48+C48</f>
        <v>221500</v>
      </c>
    </row>
    <row r="49" spans="1:22" ht="12.75" customHeight="1" x14ac:dyDescent="0.2">
      <c r="A49" s="14" t="s">
        <v>49</v>
      </c>
      <c r="B49" s="20" t="s">
        <v>50</v>
      </c>
      <c r="C49" s="295">
        <v>558000</v>
      </c>
      <c r="D49" s="295">
        <v>1814000</v>
      </c>
      <c r="E49" s="295">
        <v>1814000</v>
      </c>
      <c r="F49" s="295">
        <v>1782500</v>
      </c>
      <c r="G49" s="295"/>
      <c r="H49" s="295">
        <v>780754</v>
      </c>
      <c r="I49" s="295">
        <v>1097581</v>
      </c>
      <c r="J49" s="295">
        <v>1281530</v>
      </c>
      <c r="K49" s="295"/>
      <c r="L49" s="143">
        <f t="shared" si="11"/>
        <v>1.3992007168458782</v>
      </c>
      <c r="M49" s="143">
        <f t="shared" si="11"/>
        <v>0.60506119073869902</v>
      </c>
      <c r="N49" s="143">
        <f t="shared" si="11"/>
        <v>0.70646637265711132</v>
      </c>
      <c r="O49" s="295"/>
      <c r="P49" s="83">
        <f t="shared" si="20"/>
        <v>1256000</v>
      </c>
      <c r="Q49" s="83">
        <f t="shared" si="21"/>
        <v>0</v>
      </c>
      <c r="R49" s="83">
        <f t="shared" si="22"/>
        <v>-31500</v>
      </c>
      <c r="S49" s="83">
        <f t="shared" si="23"/>
        <v>1224500</v>
      </c>
      <c r="T49" s="304">
        <f t="shared" si="44"/>
        <v>2.1944444444444446</v>
      </c>
      <c r="U49" s="126"/>
      <c r="V49" s="208">
        <f t="shared" si="45"/>
        <v>-31500</v>
      </c>
    </row>
    <row r="50" spans="1:22" ht="12.75" customHeight="1" x14ac:dyDescent="0.2">
      <c r="A50" s="14" t="s">
        <v>103</v>
      </c>
      <c r="B50" s="20" t="s">
        <v>97</v>
      </c>
      <c r="C50" s="295"/>
      <c r="D50" s="295"/>
      <c r="E50" s="295"/>
      <c r="F50" s="295"/>
      <c r="G50" s="295"/>
      <c r="H50" s="295"/>
      <c r="I50" s="295"/>
      <c r="J50" s="295"/>
      <c r="K50" s="295"/>
      <c r="L50" s="142">
        <f t="shared" si="11"/>
        <v>0</v>
      </c>
      <c r="M50" s="142">
        <f t="shared" si="11"/>
        <v>0</v>
      </c>
      <c r="N50" s="142">
        <f t="shared" si="11"/>
        <v>0</v>
      </c>
      <c r="O50" s="295"/>
      <c r="P50" s="83">
        <f t="shared" si="20"/>
        <v>0</v>
      </c>
      <c r="Q50" s="83">
        <f t="shared" si="21"/>
        <v>0</v>
      </c>
      <c r="R50" s="83">
        <f t="shared" si="22"/>
        <v>0</v>
      </c>
      <c r="S50" s="83">
        <f t="shared" si="23"/>
        <v>0</v>
      </c>
      <c r="T50" s="304">
        <f t="shared" ref="T50:T61" si="46">IF(C50=0,0,+S50/C50)</f>
        <v>0</v>
      </c>
      <c r="U50" s="126"/>
      <c r="V50" s="208">
        <f t="shared" ref="V50:V102" si="47">+S50-E50+C50</f>
        <v>0</v>
      </c>
    </row>
    <row r="51" spans="1:22" ht="12.75" customHeight="1" x14ac:dyDescent="0.2">
      <c r="A51" s="14"/>
      <c r="B51" s="20" t="s">
        <v>98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42">
        <f t="shared" si="11"/>
        <v>0</v>
      </c>
      <c r="M51" s="142">
        <f t="shared" si="11"/>
        <v>0</v>
      </c>
      <c r="N51" s="142">
        <f t="shared" si="11"/>
        <v>0</v>
      </c>
      <c r="O51" s="295"/>
      <c r="P51" s="83">
        <f t="shared" si="20"/>
        <v>0</v>
      </c>
      <c r="Q51" s="83">
        <f t="shared" si="21"/>
        <v>0</v>
      </c>
      <c r="R51" s="83">
        <f t="shared" si="22"/>
        <v>0</v>
      </c>
      <c r="S51" s="83">
        <f t="shared" si="23"/>
        <v>0</v>
      </c>
      <c r="T51" s="304">
        <f t="shared" si="46"/>
        <v>0</v>
      </c>
      <c r="U51" s="126"/>
      <c r="V51" s="208">
        <f t="shared" si="47"/>
        <v>0</v>
      </c>
    </row>
    <row r="52" spans="1:22" ht="12.75" customHeight="1" x14ac:dyDescent="0.2">
      <c r="A52" s="14"/>
      <c r="B52" s="20" t="s">
        <v>99</v>
      </c>
      <c r="C52" s="295"/>
      <c r="D52" s="295"/>
      <c r="E52" s="295"/>
      <c r="F52" s="295"/>
      <c r="G52" s="295"/>
      <c r="H52" s="295"/>
      <c r="I52" s="295"/>
      <c r="J52" s="295"/>
      <c r="K52" s="295"/>
      <c r="L52" s="142">
        <f t="shared" si="11"/>
        <v>0</v>
      </c>
      <c r="M52" s="142">
        <f t="shared" si="11"/>
        <v>0</v>
      </c>
      <c r="N52" s="142">
        <f t="shared" si="11"/>
        <v>0</v>
      </c>
      <c r="O52" s="295"/>
      <c r="P52" s="83">
        <f t="shared" si="20"/>
        <v>0</v>
      </c>
      <c r="Q52" s="83">
        <f t="shared" si="21"/>
        <v>0</v>
      </c>
      <c r="R52" s="83">
        <f t="shared" si="22"/>
        <v>0</v>
      </c>
      <c r="S52" s="83">
        <f t="shared" si="23"/>
        <v>0</v>
      </c>
      <c r="T52" s="304">
        <f t="shared" si="46"/>
        <v>0</v>
      </c>
      <c r="U52" s="126"/>
      <c r="V52" s="208">
        <f t="shared" si="47"/>
        <v>0</v>
      </c>
    </row>
    <row r="53" spans="1:22" ht="12.75" customHeight="1" x14ac:dyDescent="0.2">
      <c r="A53" s="14" t="s">
        <v>51</v>
      </c>
      <c r="B53" s="20" t="s">
        <v>52</v>
      </c>
      <c r="C53" s="295">
        <v>0</v>
      </c>
      <c r="D53" s="295">
        <v>0</v>
      </c>
      <c r="E53" s="295">
        <v>0</v>
      </c>
      <c r="F53" s="295">
        <v>0</v>
      </c>
      <c r="G53" s="295"/>
      <c r="H53" s="295">
        <v>0</v>
      </c>
      <c r="I53" s="295">
        <f>+H53</f>
        <v>0</v>
      </c>
      <c r="J53" s="295">
        <v>0</v>
      </c>
      <c r="K53" s="295"/>
      <c r="L53" s="142">
        <f t="shared" si="11"/>
        <v>0</v>
      </c>
      <c r="M53" s="142">
        <f t="shared" si="11"/>
        <v>0</v>
      </c>
      <c r="N53" s="142">
        <f t="shared" si="11"/>
        <v>0</v>
      </c>
      <c r="O53" s="295"/>
      <c r="P53" s="83">
        <f t="shared" si="20"/>
        <v>0</v>
      </c>
      <c r="Q53" s="83">
        <f t="shared" si="21"/>
        <v>0</v>
      </c>
      <c r="R53" s="83">
        <f t="shared" si="22"/>
        <v>0</v>
      </c>
      <c r="S53" s="83">
        <f t="shared" si="23"/>
        <v>0</v>
      </c>
      <c r="T53" s="304">
        <f t="shared" si="46"/>
        <v>0</v>
      </c>
      <c r="U53" s="126"/>
      <c r="V53" s="208">
        <f t="shared" si="47"/>
        <v>0</v>
      </c>
    </row>
    <row r="54" spans="1:22" ht="12.75" customHeight="1" x14ac:dyDescent="0.2">
      <c r="A54" s="14"/>
      <c r="B54" s="20" t="s">
        <v>90</v>
      </c>
      <c r="C54" s="295"/>
      <c r="D54" s="295"/>
      <c r="E54" s="295"/>
      <c r="F54" s="295"/>
      <c r="G54" s="295"/>
      <c r="H54" s="295"/>
      <c r="I54" s="295"/>
      <c r="J54" s="295"/>
      <c r="K54" s="295"/>
      <c r="L54" s="142">
        <f t="shared" si="11"/>
        <v>0</v>
      </c>
      <c r="M54" s="142">
        <f t="shared" si="11"/>
        <v>0</v>
      </c>
      <c r="N54" s="142">
        <f t="shared" si="11"/>
        <v>0</v>
      </c>
      <c r="O54" s="295"/>
      <c r="P54" s="83">
        <f t="shared" si="20"/>
        <v>0</v>
      </c>
      <c r="Q54" s="83">
        <f t="shared" si="21"/>
        <v>0</v>
      </c>
      <c r="R54" s="83">
        <f t="shared" si="22"/>
        <v>0</v>
      </c>
      <c r="S54" s="83">
        <f t="shared" si="23"/>
        <v>0</v>
      </c>
      <c r="T54" s="304">
        <f t="shared" si="46"/>
        <v>0</v>
      </c>
      <c r="U54" s="126"/>
      <c r="V54" s="208">
        <f t="shared" si="47"/>
        <v>0</v>
      </c>
    </row>
    <row r="55" spans="1:22" ht="12.75" customHeight="1" x14ac:dyDescent="0.2">
      <c r="A55" s="14"/>
      <c r="B55" s="20" t="s">
        <v>53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42">
        <f t="shared" si="11"/>
        <v>0</v>
      </c>
      <c r="M55" s="142">
        <f t="shared" si="11"/>
        <v>0</v>
      </c>
      <c r="N55" s="142">
        <f t="shared" si="11"/>
        <v>0</v>
      </c>
      <c r="O55" s="295"/>
      <c r="P55" s="83">
        <f t="shared" si="20"/>
        <v>0</v>
      </c>
      <c r="Q55" s="83">
        <f t="shared" si="21"/>
        <v>0</v>
      </c>
      <c r="R55" s="83">
        <f t="shared" si="22"/>
        <v>0</v>
      </c>
      <c r="S55" s="83">
        <f t="shared" si="23"/>
        <v>0</v>
      </c>
      <c r="T55" s="304">
        <f t="shared" si="46"/>
        <v>0</v>
      </c>
      <c r="U55" s="126"/>
      <c r="V55" s="208">
        <f t="shared" si="47"/>
        <v>0</v>
      </c>
    </row>
    <row r="56" spans="1:22" ht="12.75" customHeight="1" x14ac:dyDescent="0.2">
      <c r="A56" s="14" t="s">
        <v>54</v>
      </c>
      <c r="B56" s="20" t="s">
        <v>55</v>
      </c>
      <c r="C56" s="295"/>
      <c r="D56" s="295"/>
      <c r="E56" s="295"/>
      <c r="F56" s="295"/>
      <c r="G56" s="295"/>
      <c r="H56" s="295"/>
      <c r="I56" s="295"/>
      <c r="J56" s="295"/>
      <c r="K56" s="295"/>
      <c r="L56" s="142">
        <f t="shared" si="11"/>
        <v>0</v>
      </c>
      <c r="M56" s="142">
        <f t="shared" si="11"/>
        <v>0</v>
      </c>
      <c r="N56" s="142">
        <f t="shared" si="11"/>
        <v>0</v>
      </c>
      <c r="O56" s="295"/>
      <c r="P56" s="83">
        <f t="shared" si="20"/>
        <v>0</v>
      </c>
      <c r="Q56" s="83">
        <f t="shared" si="21"/>
        <v>0</v>
      </c>
      <c r="R56" s="83">
        <f t="shared" si="22"/>
        <v>0</v>
      </c>
      <c r="S56" s="83">
        <f t="shared" si="23"/>
        <v>0</v>
      </c>
      <c r="T56" s="304">
        <f t="shared" si="46"/>
        <v>0</v>
      </c>
      <c r="U56" s="126"/>
      <c r="V56" s="208">
        <f t="shared" si="47"/>
        <v>0</v>
      </c>
    </row>
    <row r="57" spans="1:22" ht="12.75" customHeight="1" x14ac:dyDescent="0.2">
      <c r="A57" s="14"/>
      <c r="B57" s="20" t="s">
        <v>56</v>
      </c>
      <c r="C57" s="295"/>
      <c r="D57" s="295"/>
      <c r="E57" s="295"/>
      <c r="F57" s="295"/>
      <c r="G57" s="295"/>
      <c r="H57" s="295"/>
      <c r="I57" s="295"/>
      <c r="J57" s="295"/>
      <c r="K57" s="295"/>
      <c r="L57" s="142">
        <f t="shared" si="11"/>
        <v>0</v>
      </c>
      <c r="M57" s="142">
        <f t="shared" si="11"/>
        <v>0</v>
      </c>
      <c r="N57" s="142">
        <f t="shared" si="11"/>
        <v>0</v>
      </c>
      <c r="O57" s="295"/>
      <c r="P57" s="83">
        <f t="shared" si="20"/>
        <v>0</v>
      </c>
      <c r="Q57" s="83">
        <f t="shared" si="21"/>
        <v>0</v>
      </c>
      <c r="R57" s="83">
        <f t="shared" si="22"/>
        <v>0</v>
      </c>
      <c r="S57" s="83">
        <f t="shared" si="23"/>
        <v>0</v>
      </c>
      <c r="T57" s="304">
        <f t="shared" si="46"/>
        <v>0</v>
      </c>
      <c r="U57" s="126"/>
      <c r="V57" s="208">
        <f t="shared" si="47"/>
        <v>0</v>
      </c>
    </row>
    <row r="58" spans="1:22" ht="12.75" customHeight="1" x14ac:dyDescent="0.2">
      <c r="A58" s="14" t="s">
        <v>57</v>
      </c>
      <c r="B58" s="20" t="s">
        <v>91</v>
      </c>
      <c r="C58" s="295">
        <v>132000</v>
      </c>
      <c r="D58" s="295">
        <v>94000</v>
      </c>
      <c r="E58" s="295">
        <v>64000</v>
      </c>
      <c r="F58" s="295">
        <v>0</v>
      </c>
      <c r="G58" s="295"/>
      <c r="H58" s="295">
        <v>0</v>
      </c>
      <c r="I58" s="295">
        <v>0</v>
      </c>
      <c r="J58" s="295">
        <v>0</v>
      </c>
      <c r="K58" s="295"/>
      <c r="L58" s="143">
        <f t="shared" si="11"/>
        <v>0</v>
      </c>
      <c r="M58" s="143">
        <f t="shared" si="11"/>
        <v>0</v>
      </c>
      <c r="N58" s="143">
        <f t="shared" si="11"/>
        <v>0</v>
      </c>
      <c r="O58" s="295"/>
      <c r="P58" s="83">
        <f t="shared" si="20"/>
        <v>-38000</v>
      </c>
      <c r="Q58" s="83">
        <f t="shared" si="21"/>
        <v>-30000</v>
      </c>
      <c r="R58" s="83">
        <f t="shared" si="22"/>
        <v>-64000</v>
      </c>
      <c r="S58" s="83">
        <f t="shared" si="23"/>
        <v>-132000</v>
      </c>
      <c r="T58" s="304">
        <f t="shared" si="46"/>
        <v>-1</v>
      </c>
      <c r="U58" s="126"/>
      <c r="V58" s="208">
        <f t="shared" si="47"/>
        <v>-64000</v>
      </c>
    </row>
    <row r="59" spans="1:22" ht="12.75" customHeight="1" x14ac:dyDescent="0.2">
      <c r="A59" s="14"/>
      <c r="B59" s="20" t="s">
        <v>58</v>
      </c>
      <c r="C59" s="295"/>
      <c r="D59" s="295"/>
      <c r="E59" s="295"/>
      <c r="F59" s="295"/>
      <c r="G59" s="295"/>
      <c r="H59" s="295"/>
      <c r="I59" s="295"/>
      <c r="J59" s="295"/>
      <c r="K59" s="295"/>
      <c r="L59" s="142">
        <f t="shared" si="11"/>
        <v>0</v>
      </c>
      <c r="M59" s="142">
        <f t="shared" si="11"/>
        <v>0</v>
      </c>
      <c r="N59" s="142">
        <f t="shared" si="11"/>
        <v>0</v>
      </c>
      <c r="O59" s="295"/>
      <c r="P59" s="83">
        <f t="shared" si="20"/>
        <v>0</v>
      </c>
      <c r="Q59" s="83">
        <f t="shared" si="21"/>
        <v>0</v>
      </c>
      <c r="R59" s="83">
        <f t="shared" si="22"/>
        <v>0</v>
      </c>
      <c r="S59" s="83">
        <f t="shared" si="23"/>
        <v>0</v>
      </c>
      <c r="T59" s="304">
        <f t="shared" si="46"/>
        <v>0</v>
      </c>
      <c r="U59" s="126"/>
      <c r="V59" s="208">
        <f t="shared" si="47"/>
        <v>0</v>
      </c>
    </row>
    <row r="60" spans="1:22" ht="12.75" customHeight="1" x14ac:dyDescent="0.2">
      <c r="A60" s="14" t="s">
        <v>59</v>
      </c>
      <c r="B60" s="20" t="s">
        <v>60</v>
      </c>
      <c r="C60" s="295"/>
      <c r="D60" s="295"/>
      <c r="E60" s="295"/>
      <c r="F60" s="295"/>
      <c r="G60" s="295"/>
      <c r="H60" s="295"/>
      <c r="I60" s="295"/>
      <c r="J60" s="295"/>
      <c r="K60" s="295"/>
      <c r="L60" s="142">
        <f t="shared" si="11"/>
        <v>0</v>
      </c>
      <c r="M60" s="142">
        <f t="shared" si="11"/>
        <v>0</v>
      </c>
      <c r="N60" s="142">
        <f t="shared" si="11"/>
        <v>0</v>
      </c>
      <c r="O60" s="295"/>
      <c r="P60" s="83">
        <f t="shared" si="20"/>
        <v>0</v>
      </c>
      <c r="Q60" s="83">
        <f t="shared" si="21"/>
        <v>0</v>
      </c>
      <c r="R60" s="83">
        <f t="shared" si="22"/>
        <v>0</v>
      </c>
      <c r="S60" s="83">
        <f t="shared" si="23"/>
        <v>0</v>
      </c>
      <c r="T60" s="304">
        <f t="shared" si="46"/>
        <v>0</v>
      </c>
      <c r="U60" s="126"/>
      <c r="V60" s="208">
        <f t="shared" si="47"/>
        <v>0</v>
      </c>
    </row>
    <row r="61" spans="1:22" ht="23.25" customHeight="1" x14ac:dyDescent="0.2">
      <c r="A61" s="20"/>
      <c r="B61" s="20" t="s">
        <v>61</v>
      </c>
      <c r="C61" s="295"/>
      <c r="D61" s="295"/>
      <c r="E61" s="295"/>
      <c r="F61" s="295"/>
      <c r="G61" s="295"/>
      <c r="H61" s="295"/>
      <c r="I61" s="295"/>
      <c r="J61" s="295"/>
      <c r="K61" s="295"/>
      <c r="L61" s="142">
        <f t="shared" si="11"/>
        <v>0</v>
      </c>
      <c r="M61" s="142">
        <f t="shared" si="11"/>
        <v>0</v>
      </c>
      <c r="N61" s="142">
        <f t="shared" si="11"/>
        <v>0</v>
      </c>
      <c r="O61" s="295"/>
      <c r="P61" s="83">
        <f t="shared" si="20"/>
        <v>0</v>
      </c>
      <c r="Q61" s="83">
        <f t="shared" si="21"/>
        <v>0</v>
      </c>
      <c r="R61" s="83">
        <f t="shared" si="22"/>
        <v>0</v>
      </c>
      <c r="S61" s="83">
        <f t="shared" si="23"/>
        <v>0</v>
      </c>
      <c r="T61" s="304">
        <f t="shared" si="46"/>
        <v>0</v>
      </c>
      <c r="U61" s="126"/>
      <c r="V61" s="208">
        <f t="shared" si="47"/>
        <v>0</v>
      </c>
    </row>
    <row r="62" spans="1:22" ht="12.75" customHeight="1" x14ac:dyDescent="0.2">
      <c r="A62" s="14" t="s">
        <v>62</v>
      </c>
      <c r="B62" s="20" t="s">
        <v>63</v>
      </c>
      <c r="C62" s="295">
        <v>185000</v>
      </c>
      <c r="D62" s="295">
        <v>185000</v>
      </c>
      <c r="E62" s="295">
        <v>185000</v>
      </c>
      <c r="F62" s="295">
        <v>185000</v>
      </c>
      <c r="G62" s="295"/>
      <c r="H62" s="295">
        <v>58500</v>
      </c>
      <c r="I62" s="295">
        <v>158500</v>
      </c>
      <c r="J62" s="295">
        <v>158500</v>
      </c>
      <c r="K62" s="295"/>
      <c r="L62" s="143">
        <f t="shared" si="11"/>
        <v>0.31621621621621621</v>
      </c>
      <c r="M62" s="143">
        <f t="shared" si="11"/>
        <v>0.85675675675675678</v>
      </c>
      <c r="N62" s="143">
        <f t="shared" si="11"/>
        <v>0.85675675675675678</v>
      </c>
      <c r="O62" s="295"/>
      <c r="P62" s="83">
        <f t="shared" si="20"/>
        <v>0</v>
      </c>
      <c r="Q62" s="83">
        <f t="shared" si="21"/>
        <v>0</v>
      </c>
      <c r="R62" s="83">
        <f t="shared" si="22"/>
        <v>0</v>
      </c>
      <c r="S62" s="83">
        <f t="shared" si="23"/>
        <v>0</v>
      </c>
      <c r="T62" s="304">
        <f t="shared" ref="T62:T70" si="48">IF(C62=0,0,+S62/C62)</f>
        <v>0</v>
      </c>
      <c r="U62" s="126"/>
      <c r="V62" s="208">
        <f t="shared" si="47"/>
        <v>0</v>
      </c>
    </row>
    <row r="63" spans="1:22" ht="61.5" customHeight="1" x14ac:dyDescent="0.2">
      <c r="A63" s="14"/>
      <c r="B63" s="20" t="s">
        <v>102</v>
      </c>
      <c r="C63" s="295"/>
      <c r="D63" s="295"/>
      <c r="E63" s="295"/>
      <c r="F63" s="295"/>
      <c r="G63" s="295"/>
      <c r="H63" s="295"/>
      <c r="I63" s="295"/>
      <c r="J63" s="295"/>
      <c r="K63" s="295"/>
      <c r="L63" s="142">
        <f t="shared" si="11"/>
        <v>0</v>
      </c>
      <c r="M63" s="142">
        <f t="shared" si="11"/>
        <v>0</v>
      </c>
      <c r="N63" s="142">
        <f t="shared" si="11"/>
        <v>0</v>
      </c>
      <c r="O63" s="295"/>
      <c r="P63" s="83">
        <f t="shared" si="20"/>
        <v>0</v>
      </c>
      <c r="Q63" s="83">
        <f t="shared" si="21"/>
        <v>0</v>
      </c>
      <c r="R63" s="83">
        <f t="shared" si="22"/>
        <v>0</v>
      </c>
      <c r="S63" s="83">
        <f t="shared" si="23"/>
        <v>0</v>
      </c>
      <c r="T63" s="304">
        <f t="shared" si="48"/>
        <v>0</v>
      </c>
      <c r="U63" s="126"/>
      <c r="V63" s="208">
        <f t="shared" si="47"/>
        <v>0</v>
      </c>
    </row>
    <row r="64" spans="1:22" ht="12.75" customHeight="1" x14ac:dyDescent="0.2">
      <c r="A64" s="14" t="s">
        <v>64</v>
      </c>
      <c r="B64" s="20" t="s">
        <v>65</v>
      </c>
      <c r="C64" s="295">
        <v>355000</v>
      </c>
      <c r="D64" s="295">
        <v>375000</v>
      </c>
      <c r="E64" s="295">
        <v>530000</v>
      </c>
      <c r="F64" s="295">
        <v>847000</v>
      </c>
      <c r="G64" s="295"/>
      <c r="H64" s="295">
        <v>281552</v>
      </c>
      <c r="I64" s="295">
        <v>448193</v>
      </c>
      <c r="J64" s="295">
        <v>842639</v>
      </c>
      <c r="K64" s="295"/>
      <c r="L64" s="143">
        <f t="shared" si="11"/>
        <v>0.79310422535211267</v>
      </c>
      <c r="M64" s="143">
        <f t="shared" si="11"/>
        <v>1.1951813333333334</v>
      </c>
      <c r="N64" s="143">
        <f t="shared" si="11"/>
        <v>1.5898849056603774</v>
      </c>
      <c r="O64" s="295"/>
      <c r="P64" s="83">
        <f t="shared" si="20"/>
        <v>20000</v>
      </c>
      <c r="Q64" s="83">
        <f t="shared" si="21"/>
        <v>155000</v>
      </c>
      <c r="R64" s="83">
        <f t="shared" si="22"/>
        <v>317000</v>
      </c>
      <c r="S64" s="83">
        <f t="shared" si="23"/>
        <v>492000</v>
      </c>
      <c r="T64" s="304">
        <f t="shared" si="48"/>
        <v>1.3859154929577464</v>
      </c>
      <c r="U64" s="126"/>
      <c r="V64" s="208">
        <f t="shared" si="47"/>
        <v>317000</v>
      </c>
    </row>
    <row r="65" spans="1:22" ht="54.75" customHeight="1" x14ac:dyDescent="0.2">
      <c r="A65" s="14"/>
      <c r="B65" s="20" t="s">
        <v>66</v>
      </c>
      <c r="C65" s="295">
        <v>0</v>
      </c>
      <c r="D65" s="295"/>
      <c r="E65" s="295"/>
      <c r="F65" s="295"/>
      <c r="G65" s="295"/>
      <c r="H65" s="295"/>
      <c r="I65" s="295"/>
      <c r="J65" s="295"/>
      <c r="K65" s="295"/>
      <c r="L65" s="142">
        <f t="shared" si="11"/>
        <v>0</v>
      </c>
      <c r="M65" s="142">
        <f t="shared" si="11"/>
        <v>0</v>
      </c>
      <c r="N65" s="142">
        <f t="shared" si="11"/>
        <v>0</v>
      </c>
      <c r="O65" s="295"/>
      <c r="P65" s="83">
        <f t="shared" si="20"/>
        <v>0</v>
      </c>
      <c r="Q65" s="83">
        <f t="shared" si="21"/>
        <v>0</v>
      </c>
      <c r="R65" s="83">
        <f t="shared" si="22"/>
        <v>0</v>
      </c>
      <c r="S65" s="83">
        <f t="shared" si="23"/>
        <v>0</v>
      </c>
      <c r="T65" s="304">
        <f t="shared" si="48"/>
        <v>0</v>
      </c>
      <c r="U65" s="126"/>
      <c r="V65" s="208">
        <f t="shared" si="47"/>
        <v>0</v>
      </c>
    </row>
    <row r="66" spans="1:22" s="43" customFormat="1" ht="12.75" customHeight="1" x14ac:dyDescent="0.2">
      <c r="A66" s="39" t="s">
        <v>67</v>
      </c>
      <c r="B66" s="40" t="s">
        <v>68</v>
      </c>
      <c r="C66" s="298">
        <f>+C67+C69</f>
        <v>10000</v>
      </c>
      <c r="D66" s="298">
        <f>+D67+D69</f>
        <v>10000</v>
      </c>
      <c r="E66" s="298">
        <f>+E67+E69</f>
        <v>10000</v>
      </c>
      <c r="F66" s="298">
        <f>+F67+F69</f>
        <v>10000</v>
      </c>
      <c r="G66" s="298"/>
      <c r="H66" s="298">
        <f>+H67+H69</f>
        <v>0</v>
      </c>
      <c r="I66" s="298">
        <f t="shared" ref="I66:J66" si="49">+I67+I69</f>
        <v>0</v>
      </c>
      <c r="J66" s="298">
        <f t="shared" si="49"/>
        <v>2380</v>
      </c>
      <c r="K66" s="298"/>
      <c r="L66" s="143">
        <f t="shared" si="11"/>
        <v>0</v>
      </c>
      <c r="M66" s="143">
        <f t="shared" si="11"/>
        <v>0</v>
      </c>
      <c r="N66" s="143">
        <f t="shared" si="11"/>
        <v>0.23799999999999999</v>
      </c>
      <c r="O66" s="298"/>
      <c r="P66" s="298">
        <f t="shared" si="20"/>
        <v>0</v>
      </c>
      <c r="Q66" s="298">
        <f t="shared" si="21"/>
        <v>0</v>
      </c>
      <c r="R66" s="298">
        <f t="shared" si="22"/>
        <v>0</v>
      </c>
      <c r="S66" s="298">
        <f t="shared" si="23"/>
        <v>0</v>
      </c>
      <c r="T66" s="304">
        <f t="shared" si="48"/>
        <v>0</v>
      </c>
      <c r="U66" s="126"/>
      <c r="V66" s="208">
        <f t="shared" si="47"/>
        <v>0</v>
      </c>
    </row>
    <row r="67" spans="1:22" ht="12.75" customHeight="1" x14ac:dyDescent="0.2">
      <c r="A67" s="14" t="s">
        <v>69</v>
      </c>
      <c r="B67" s="20" t="s">
        <v>70</v>
      </c>
      <c r="C67" s="295">
        <v>10000</v>
      </c>
      <c r="D67" s="295">
        <v>10000</v>
      </c>
      <c r="E67" s="295">
        <v>10000</v>
      </c>
      <c r="F67" s="295">
        <v>10000</v>
      </c>
      <c r="G67" s="295"/>
      <c r="H67" s="295">
        <v>0</v>
      </c>
      <c r="I67" s="295">
        <f>+H67</f>
        <v>0</v>
      </c>
      <c r="J67" s="295">
        <v>2380</v>
      </c>
      <c r="K67" s="295"/>
      <c r="L67" s="143">
        <f t="shared" si="11"/>
        <v>0</v>
      </c>
      <c r="M67" s="143">
        <f t="shared" si="11"/>
        <v>0</v>
      </c>
      <c r="N67" s="143">
        <f t="shared" si="11"/>
        <v>0.23799999999999999</v>
      </c>
      <c r="O67" s="295"/>
      <c r="P67" s="83">
        <f t="shared" si="20"/>
        <v>0</v>
      </c>
      <c r="Q67" s="83">
        <f t="shared" si="21"/>
        <v>0</v>
      </c>
      <c r="R67" s="83">
        <f t="shared" si="22"/>
        <v>0</v>
      </c>
      <c r="S67" s="83">
        <f t="shared" si="23"/>
        <v>0</v>
      </c>
      <c r="T67" s="304">
        <f t="shared" si="48"/>
        <v>0</v>
      </c>
      <c r="U67" s="126"/>
      <c r="V67" s="208">
        <f t="shared" si="47"/>
        <v>0</v>
      </c>
    </row>
    <row r="68" spans="1:22" ht="24" customHeight="1" x14ac:dyDescent="0.2">
      <c r="A68" s="14"/>
      <c r="B68" s="20" t="s">
        <v>71</v>
      </c>
      <c r="C68" s="295"/>
      <c r="D68" s="295"/>
      <c r="E68" s="295"/>
      <c r="F68" s="295"/>
      <c r="G68" s="295"/>
      <c r="H68" s="295"/>
      <c r="I68" s="295"/>
      <c r="J68" s="295"/>
      <c r="K68" s="295"/>
      <c r="L68" s="142">
        <f t="shared" si="11"/>
        <v>0</v>
      </c>
      <c r="M68" s="142">
        <f t="shared" si="11"/>
        <v>0</v>
      </c>
      <c r="N68" s="142">
        <f t="shared" si="11"/>
        <v>0</v>
      </c>
      <c r="O68" s="295"/>
      <c r="P68" s="83">
        <f t="shared" si="20"/>
        <v>0</v>
      </c>
      <c r="Q68" s="83">
        <f t="shared" si="21"/>
        <v>0</v>
      </c>
      <c r="R68" s="83">
        <f t="shared" si="22"/>
        <v>0</v>
      </c>
      <c r="S68" s="83">
        <f t="shared" si="23"/>
        <v>0</v>
      </c>
      <c r="T68" s="304">
        <f t="shared" si="48"/>
        <v>0</v>
      </c>
      <c r="U68" s="126"/>
      <c r="V68" s="208">
        <f t="shared" si="47"/>
        <v>0</v>
      </c>
    </row>
    <row r="69" spans="1:22" ht="12.75" customHeight="1" x14ac:dyDescent="0.2">
      <c r="A69" s="14" t="s">
        <v>72</v>
      </c>
      <c r="B69" s="20" t="s">
        <v>100</v>
      </c>
      <c r="C69" s="295"/>
      <c r="D69" s="295"/>
      <c r="E69" s="295"/>
      <c r="F69" s="295"/>
      <c r="G69" s="295"/>
      <c r="H69" s="295"/>
      <c r="I69" s="295"/>
      <c r="J69" s="295"/>
      <c r="K69" s="295"/>
      <c r="L69" s="142">
        <f t="shared" si="11"/>
        <v>0</v>
      </c>
      <c r="M69" s="142">
        <f t="shared" si="11"/>
        <v>0</v>
      </c>
      <c r="N69" s="142">
        <f t="shared" si="11"/>
        <v>0</v>
      </c>
      <c r="O69" s="295"/>
      <c r="P69" s="83">
        <f t="shared" si="20"/>
        <v>0</v>
      </c>
      <c r="Q69" s="83">
        <f t="shared" si="21"/>
        <v>0</v>
      </c>
      <c r="R69" s="83">
        <f t="shared" si="22"/>
        <v>0</v>
      </c>
      <c r="S69" s="83">
        <f t="shared" si="23"/>
        <v>0</v>
      </c>
      <c r="T69" s="304">
        <f t="shared" si="48"/>
        <v>0</v>
      </c>
      <c r="U69" s="126"/>
      <c r="V69" s="208">
        <f t="shared" si="47"/>
        <v>0</v>
      </c>
    </row>
    <row r="70" spans="1:22" ht="26.25" customHeight="1" x14ac:dyDescent="0.2">
      <c r="A70" s="14"/>
      <c r="B70" s="20" t="s">
        <v>73</v>
      </c>
      <c r="C70" s="295"/>
      <c r="D70" s="295"/>
      <c r="E70" s="295"/>
      <c r="F70" s="295"/>
      <c r="G70" s="295"/>
      <c r="H70" s="295"/>
      <c r="I70" s="295"/>
      <c r="J70" s="295"/>
      <c r="K70" s="295"/>
      <c r="L70" s="142">
        <f t="shared" si="11"/>
        <v>0</v>
      </c>
      <c r="M70" s="142">
        <f t="shared" si="11"/>
        <v>0</v>
      </c>
      <c r="N70" s="142">
        <f t="shared" si="11"/>
        <v>0</v>
      </c>
      <c r="O70" s="295"/>
      <c r="P70" s="83">
        <f t="shared" si="20"/>
        <v>0</v>
      </c>
      <c r="Q70" s="83">
        <f t="shared" si="21"/>
        <v>0</v>
      </c>
      <c r="R70" s="83">
        <f t="shared" si="22"/>
        <v>0</v>
      </c>
      <c r="S70" s="83">
        <f t="shared" si="23"/>
        <v>0</v>
      </c>
      <c r="T70" s="304">
        <f t="shared" si="48"/>
        <v>0</v>
      </c>
      <c r="U70" s="126"/>
      <c r="V70" s="208">
        <f t="shared" si="47"/>
        <v>0</v>
      </c>
    </row>
    <row r="71" spans="1:22" s="43" customFormat="1" ht="12.75" customHeight="1" x14ac:dyDescent="0.2">
      <c r="A71" s="39" t="s">
        <v>74</v>
      </c>
      <c r="B71" s="40" t="s">
        <v>75</v>
      </c>
      <c r="C71" s="298">
        <f>SUM(C72:C81)</f>
        <v>2288000</v>
      </c>
      <c r="D71" s="298">
        <f t="shared" ref="D71:J71" si="50">SUM(D72:D81)</f>
        <v>2288000</v>
      </c>
      <c r="E71" s="298">
        <f t="shared" si="50"/>
        <v>2288000</v>
      </c>
      <c r="F71" s="298">
        <f t="shared" si="50"/>
        <v>2589000</v>
      </c>
      <c r="G71" s="298"/>
      <c r="H71" s="298">
        <f t="shared" si="50"/>
        <v>777300</v>
      </c>
      <c r="I71" s="298">
        <f t="shared" si="50"/>
        <v>1284679</v>
      </c>
      <c r="J71" s="298">
        <f t="shared" si="50"/>
        <v>2051984</v>
      </c>
      <c r="K71" s="298"/>
      <c r="L71" s="144">
        <f t="shared" si="11"/>
        <v>0.33972902097902097</v>
      </c>
      <c r="M71" s="144">
        <f t="shared" si="11"/>
        <v>0.56148557692307688</v>
      </c>
      <c r="N71" s="144">
        <f t="shared" si="11"/>
        <v>0.89684615384615385</v>
      </c>
      <c r="O71" s="298"/>
      <c r="P71" s="298">
        <f t="shared" si="20"/>
        <v>0</v>
      </c>
      <c r="Q71" s="298">
        <f t="shared" si="21"/>
        <v>0</v>
      </c>
      <c r="R71" s="298">
        <f t="shared" si="22"/>
        <v>301000</v>
      </c>
      <c r="S71" s="298">
        <f t="shared" si="23"/>
        <v>301000</v>
      </c>
      <c r="V71" s="208">
        <f t="shared" si="47"/>
        <v>301000</v>
      </c>
    </row>
    <row r="72" spans="1:22" ht="12.75" customHeight="1" x14ac:dyDescent="0.2">
      <c r="A72" s="14" t="s">
        <v>76</v>
      </c>
      <c r="B72" s="20" t="s">
        <v>77</v>
      </c>
      <c r="C72" s="295">
        <v>1751000</v>
      </c>
      <c r="D72" s="295">
        <v>1751000</v>
      </c>
      <c r="E72" s="295">
        <v>1751000</v>
      </c>
      <c r="F72" s="295">
        <v>2054000</v>
      </c>
      <c r="G72" s="295"/>
      <c r="H72" s="295">
        <v>677148</v>
      </c>
      <c r="I72" s="295">
        <v>1057707</v>
      </c>
      <c r="J72" s="295">
        <v>1694546</v>
      </c>
      <c r="K72" s="295"/>
      <c r="L72" s="143">
        <f t="shared" si="11"/>
        <v>0.38672073101085092</v>
      </c>
      <c r="M72" s="143">
        <f t="shared" si="11"/>
        <v>0.60405882352941176</v>
      </c>
      <c r="N72" s="143">
        <f t="shared" si="11"/>
        <v>0.96775899486007999</v>
      </c>
      <c r="O72" s="295"/>
      <c r="P72" s="83">
        <f t="shared" si="20"/>
        <v>0</v>
      </c>
      <c r="Q72" s="83">
        <f t="shared" si="21"/>
        <v>0</v>
      </c>
      <c r="R72" s="83">
        <f t="shared" si="22"/>
        <v>303000</v>
      </c>
      <c r="S72" s="83">
        <f t="shared" si="23"/>
        <v>303000</v>
      </c>
      <c r="T72" s="304">
        <f t="shared" ref="T72:T81" si="51">IF(C72=0,0,+S72/C72)</f>
        <v>0.173043974871502</v>
      </c>
      <c r="U72" s="126"/>
      <c r="V72" s="208">
        <f t="shared" si="47"/>
        <v>303000</v>
      </c>
    </row>
    <row r="73" spans="1:22" ht="12.75" customHeight="1" x14ac:dyDescent="0.2">
      <c r="A73" s="14"/>
      <c r="B73" s="20" t="s">
        <v>78</v>
      </c>
      <c r="C73" s="295">
        <v>0</v>
      </c>
      <c r="D73" s="295"/>
      <c r="E73" s="295"/>
      <c r="F73" s="295"/>
      <c r="G73" s="295"/>
      <c r="H73" s="295"/>
      <c r="I73" s="295"/>
      <c r="J73" s="295"/>
      <c r="K73" s="295"/>
      <c r="L73" s="142">
        <f t="shared" si="11"/>
        <v>0</v>
      </c>
      <c r="M73" s="142">
        <f t="shared" si="11"/>
        <v>0</v>
      </c>
      <c r="N73" s="142">
        <f t="shared" si="11"/>
        <v>0</v>
      </c>
      <c r="O73" s="295"/>
      <c r="P73" s="83">
        <f t="shared" si="20"/>
        <v>0</v>
      </c>
      <c r="Q73" s="83">
        <f t="shared" si="21"/>
        <v>0</v>
      </c>
      <c r="R73" s="83">
        <f t="shared" si="22"/>
        <v>0</v>
      </c>
      <c r="S73" s="83">
        <f t="shared" si="23"/>
        <v>0</v>
      </c>
      <c r="T73" s="304">
        <f t="shared" si="51"/>
        <v>0</v>
      </c>
      <c r="U73" s="126"/>
      <c r="V73" s="208">
        <f t="shared" si="47"/>
        <v>0</v>
      </c>
    </row>
    <row r="74" spans="1:22" ht="12.75" customHeight="1" x14ac:dyDescent="0.2">
      <c r="A74" s="14" t="s">
        <v>79</v>
      </c>
      <c r="B74" s="20" t="s">
        <v>80</v>
      </c>
      <c r="C74" s="295">
        <v>487000</v>
      </c>
      <c r="D74" s="295">
        <v>487000</v>
      </c>
      <c r="E74" s="295">
        <v>487000</v>
      </c>
      <c r="F74" s="295">
        <v>487000</v>
      </c>
      <c r="G74" s="295"/>
      <c r="H74" s="295">
        <v>99000</v>
      </c>
      <c r="I74" s="295">
        <v>225000</v>
      </c>
      <c r="J74" s="295">
        <v>311000</v>
      </c>
      <c r="K74" s="295"/>
      <c r="L74" s="143">
        <f t="shared" si="11"/>
        <v>0.20328542094455851</v>
      </c>
      <c r="M74" s="143">
        <f t="shared" si="11"/>
        <v>0.46201232032854211</v>
      </c>
      <c r="N74" s="143">
        <f t="shared" si="11"/>
        <v>0.6386036960985626</v>
      </c>
      <c r="O74" s="295"/>
      <c r="P74" s="83">
        <f t="shared" si="20"/>
        <v>0</v>
      </c>
      <c r="Q74" s="83">
        <f t="shared" si="21"/>
        <v>0</v>
      </c>
      <c r="R74" s="83">
        <f t="shared" si="22"/>
        <v>0</v>
      </c>
      <c r="S74" s="83">
        <f t="shared" si="23"/>
        <v>0</v>
      </c>
      <c r="T74" s="304">
        <f t="shared" si="51"/>
        <v>0</v>
      </c>
      <c r="U74" s="126"/>
      <c r="V74" s="208">
        <f t="shared" si="47"/>
        <v>0</v>
      </c>
    </row>
    <row r="75" spans="1:22" ht="12.75" customHeight="1" x14ac:dyDescent="0.2">
      <c r="A75" s="14"/>
      <c r="B75" s="20" t="s">
        <v>101</v>
      </c>
      <c r="C75" s="295"/>
      <c r="D75" s="295"/>
      <c r="E75" s="295"/>
      <c r="F75" s="295"/>
      <c r="G75" s="295"/>
      <c r="H75" s="295"/>
      <c r="I75" s="295"/>
      <c r="J75" s="295"/>
      <c r="K75" s="295"/>
      <c r="L75" s="142">
        <f t="shared" si="11"/>
        <v>0</v>
      </c>
      <c r="M75" s="142">
        <f t="shared" si="11"/>
        <v>0</v>
      </c>
      <c r="N75" s="142">
        <f t="shared" si="11"/>
        <v>0</v>
      </c>
      <c r="O75" s="295"/>
      <c r="P75" s="83">
        <f t="shared" si="20"/>
        <v>0</v>
      </c>
      <c r="Q75" s="83">
        <f t="shared" si="21"/>
        <v>0</v>
      </c>
      <c r="R75" s="83">
        <f t="shared" si="22"/>
        <v>0</v>
      </c>
      <c r="S75" s="83">
        <f t="shared" si="23"/>
        <v>0</v>
      </c>
      <c r="T75" s="304">
        <f t="shared" si="51"/>
        <v>0</v>
      </c>
      <c r="U75" s="126"/>
      <c r="V75" s="208">
        <f t="shared" si="47"/>
        <v>0</v>
      </c>
    </row>
    <row r="76" spans="1:22" ht="12.75" customHeight="1" x14ac:dyDescent="0.2">
      <c r="A76" s="14" t="s">
        <v>81</v>
      </c>
      <c r="B76" s="20" t="s">
        <v>82</v>
      </c>
      <c r="C76" s="295"/>
      <c r="D76" s="295"/>
      <c r="E76" s="295"/>
      <c r="F76" s="295"/>
      <c r="G76" s="295"/>
      <c r="H76" s="295"/>
      <c r="I76" s="295"/>
      <c r="J76" s="295"/>
      <c r="K76" s="295"/>
      <c r="L76" s="142">
        <f t="shared" si="11"/>
        <v>0</v>
      </c>
      <c r="M76" s="142">
        <f t="shared" si="11"/>
        <v>0</v>
      </c>
      <c r="N76" s="142">
        <f t="shared" si="11"/>
        <v>0</v>
      </c>
      <c r="O76" s="295"/>
      <c r="P76" s="83">
        <f t="shared" si="20"/>
        <v>0</v>
      </c>
      <c r="Q76" s="83">
        <f t="shared" si="21"/>
        <v>0</v>
      </c>
      <c r="R76" s="83">
        <f t="shared" si="22"/>
        <v>0</v>
      </c>
      <c r="S76" s="83">
        <f t="shared" si="23"/>
        <v>0</v>
      </c>
      <c r="T76" s="304">
        <f t="shared" si="51"/>
        <v>0</v>
      </c>
      <c r="U76" s="126"/>
      <c r="V76" s="208">
        <f t="shared" si="47"/>
        <v>0</v>
      </c>
    </row>
    <row r="77" spans="1:22" ht="30.75" customHeight="1" x14ac:dyDescent="0.2">
      <c r="A77" s="14"/>
      <c r="B77" s="20" t="s">
        <v>106</v>
      </c>
      <c r="C77" s="295"/>
      <c r="D77" s="295"/>
      <c r="E77" s="295"/>
      <c r="F77" s="295"/>
      <c r="G77" s="295"/>
      <c r="H77" s="295"/>
      <c r="I77" s="295"/>
      <c r="J77" s="295"/>
      <c r="K77" s="295"/>
      <c r="L77" s="142">
        <f t="shared" ref="L77:N102" si="52">IF(H77&gt;0,H77/C77,0)</f>
        <v>0</v>
      </c>
      <c r="M77" s="142">
        <f t="shared" si="52"/>
        <v>0</v>
      </c>
      <c r="N77" s="142">
        <f t="shared" si="52"/>
        <v>0</v>
      </c>
      <c r="O77" s="295"/>
      <c r="P77" s="83">
        <f t="shared" si="20"/>
        <v>0</v>
      </c>
      <c r="Q77" s="83">
        <f t="shared" si="21"/>
        <v>0</v>
      </c>
      <c r="R77" s="83">
        <f t="shared" si="22"/>
        <v>0</v>
      </c>
      <c r="S77" s="83">
        <f t="shared" si="23"/>
        <v>0</v>
      </c>
      <c r="T77" s="304">
        <f t="shared" si="51"/>
        <v>0</v>
      </c>
      <c r="U77" s="126"/>
      <c r="V77" s="208">
        <f t="shared" si="47"/>
        <v>0</v>
      </c>
    </row>
    <row r="78" spans="1:22" ht="12.75" customHeight="1" x14ac:dyDescent="0.2">
      <c r="A78" s="14" t="s">
        <v>84</v>
      </c>
      <c r="B78" s="20" t="s">
        <v>85</v>
      </c>
      <c r="C78" s="295"/>
      <c r="D78" s="295"/>
      <c r="E78" s="295"/>
      <c r="F78" s="295"/>
      <c r="G78" s="295"/>
      <c r="H78" s="295"/>
      <c r="I78" s="295"/>
      <c r="J78" s="295"/>
      <c r="K78" s="295"/>
      <c r="L78" s="142">
        <f t="shared" si="52"/>
        <v>0</v>
      </c>
      <c r="M78" s="142">
        <f t="shared" si="52"/>
        <v>0</v>
      </c>
      <c r="N78" s="142">
        <f t="shared" si="52"/>
        <v>0</v>
      </c>
      <c r="O78" s="295"/>
      <c r="P78" s="83">
        <f t="shared" si="20"/>
        <v>0</v>
      </c>
      <c r="Q78" s="83">
        <f t="shared" si="21"/>
        <v>0</v>
      </c>
      <c r="R78" s="83">
        <f t="shared" si="22"/>
        <v>0</v>
      </c>
      <c r="S78" s="83">
        <f t="shared" si="23"/>
        <v>0</v>
      </c>
      <c r="T78" s="304">
        <f t="shared" si="51"/>
        <v>0</v>
      </c>
      <c r="U78" s="126"/>
      <c r="V78" s="208">
        <f t="shared" si="47"/>
        <v>0</v>
      </c>
    </row>
    <row r="79" spans="1:22" ht="12.75" customHeight="1" x14ac:dyDescent="0.2">
      <c r="A79" s="14"/>
      <c r="B79" s="20" t="s">
        <v>86</v>
      </c>
      <c r="C79" s="295"/>
      <c r="D79" s="295"/>
      <c r="E79" s="295"/>
      <c r="F79" s="295"/>
      <c r="G79" s="295"/>
      <c r="H79" s="295"/>
      <c r="I79" s="295"/>
      <c r="J79" s="295"/>
      <c r="K79" s="295"/>
      <c r="L79" s="142">
        <f t="shared" si="52"/>
        <v>0</v>
      </c>
      <c r="M79" s="142">
        <f t="shared" si="52"/>
        <v>0</v>
      </c>
      <c r="N79" s="142">
        <f t="shared" si="52"/>
        <v>0</v>
      </c>
      <c r="O79" s="295"/>
      <c r="P79" s="83">
        <f t="shared" si="20"/>
        <v>0</v>
      </c>
      <c r="Q79" s="83">
        <f t="shared" si="21"/>
        <v>0</v>
      </c>
      <c r="R79" s="83">
        <f t="shared" si="22"/>
        <v>0</v>
      </c>
      <c r="S79" s="83">
        <f t="shared" si="23"/>
        <v>0</v>
      </c>
      <c r="T79" s="304">
        <f t="shared" si="51"/>
        <v>0</v>
      </c>
      <c r="U79" s="126"/>
      <c r="V79" s="208">
        <f t="shared" si="47"/>
        <v>0</v>
      </c>
    </row>
    <row r="80" spans="1:22" ht="12.75" customHeight="1" x14ac:dyDescent="0.2">
      <c r="A80" s="14" t="s">
        <v>87</v>
      </c>
      <c r="B80" s="20" t="s">
        <v>88</v>
      </c>
      <c r="C80" s="295">
        <v>50000</v>
      </c>
      <c r="D80" s="295">
        <v>50000</v>
      </c>
      <c r="E80" s="295">
        <v>50000</v>
      </c>
      <c r="F80" s="295">
        <v>48000</v>
      </c>
      <c r="G80" s="295"/>
      <c r="H80" s="295">
        <v>1152</v>
      </c>
      <c r="I80" s="295">
        <v>1972</v>
      </c>
      <c r="J80" s="295">
        <v>46438</v>
      </c>
      <c r="K80" s="295"/>
      <c r="L80" s="142">
        <f t="shared" si="52"/>
        <v>2.3040000000000001E-2</v>
      </c>
      <c r="M80" s="142">
        <f t="shared" si="52"/>
        <v>3.9440000000000003E-2</v>
      </c>
      <c r="N80" s="142">
        <f t="shared" si="52"/>
        <v>0.92876000000000003</v>
      </c>
      <c r="O80" s="295"/>
      <c r="P80" s="83">
        <f t="shared" si="20"/>
        <v>0</v>
      </c>
      <c r="Q80" s="83">
        <f t="shared" si="21"/>
        <v>0</v>
      </c>
      <c r="R80" s="83">
        <f t="shared" si="22"/>
        <v>-2000</v>
      </c>
      <c r="S80" s="83">
        <f t="shared" si="23"/>
        <v>-2000</v>
      </c>
      <c r="T80" s="304">
        <f t="shared" si="51"/>
        <v>-0.04</v>
      </c>
      <c r="U80" s="126"/>
      <c r="V80" s="208">
        <f t="shared" si="47"/>
        <v>-2000</v>
      </c>
    </row>
    <row r="81" spans="1:24" ht="56.25" customHeight="1" x14ac:dyDescent="0.2">
      <c r="A81" s="14"/>
      <c r="B81" s="20" t="s">
        <v>92</v>
      </c>
      <c r="C81" s="295"/>
      <c r="D81" s="295"/>
      <c r="E81" s="295"/>
      <c r="F81" s="295"/>
      <c r="G81" s="295"/>
      <c r="H81" s="295"/>
      <c r="I81" s="295"/>
      <c r="J81" s="295"/>
      <c r="K81" s="295"/>
      <c r="L81" s="142">
        <f t="shared" si="52"/>
        <v>0</v>
      </c>
      <c r="M81" s="142">
        <f t="shared" si="52"/>
        <v>0</v>
      </c>
      <c r="N81" s="142">
        <f t="shared" si="52"/>
        <v>0</v>
      </c>
      <c r="O81" s="295"/>
      <c r="P81" s="83">
        <f t="shared" si="20"/>
        <v>0</v>
      </c>
      <c r="Q81" s="83">
        <f t="shared" si="21"/>
        <v>0</v>
      </c>
      <c r="R81" s="83">
        <f t="shared" si="22"/>
        <v>0</v>
      </c>
      <c r="S81" s="83">
        <f t="shared" si="23"/>
        <v>0</v>
      </c>
      <c r="T81" s="304">
        <f t="shared" si="51"/>
        <v>0</v>
      </c>
      <c r="U81" s="126"/>
      <c r="V81" s="208">
        <f t="shared" si="47"/>
        <v>0</v>
      </c>
    </row>
    <row r="82" spans="1:24" ht="12.75" customHeight="1" x14ac:dyDescent="0.2">
      <c r="A82" s="306"/>
      <c r="B82" s="307"/>
      <c r="C82" s="308"/>
      <c r="D82" s="308"/>
      <c r="E82" s="308"/>
      <c r="F82" s="308"/>
      <c r="G82" s="308"/>
      <c r="H82" s="308"/>
      <c r="I82" s="308"/>
      <c r="J82" s="308"/>
      <c r="K82" s="308"/>
      <c r="L82" s="309"/>
      <c r="M82" s="309"/>
      <c r="N82" s="309"/>
      <c r="O82" s="308"/>
      <c r="P82" s="310"/>
      <c r="Q82" s="310"/>
      <c r="R82" s="310"/>
      <c r="S82" s="310"/>
      <c r="T82" s="311"/>
      <c r="U82" s="312"/>
      <c r="V82" s="208"/>
    </row>
    <row r="83" spans="1:24" s="43" customFormat="1" ht="12.75" customHeight="1" x14ac:dyDescent="0.2">
      <c r="A83" s="4" t="s">
        <v>158</v>
      </c>
      <c r="B83" s="3" t="s">
        <v>159</v>
      </c>
      <c r="C83" s="300">
        <f>SUM(C84:C85)</f>
        <v>14000</v>
      </c>
      <c r="D83" s="300">
        <f t="shared" ref="D83:F83" si="53">SUM(D84:D85)</f>
        <v>14000</v>
      </c>
      <c r="E83" s="300">
        <f t="shared" si="53"/>
        <v>18000</v>
      </c>
      <c r="F83" s="300">
        <f t="shared" si="53"/>
        <v>18000</v>
      </c>
      <c r="G83" s="300"/>
      <c r="H83" s="300">
        <f t="shared" ref="H83:J83" si="54">SUM(H84:H85)</f>
        <v>0</v>
      </c>
      <c r="I83" s="300">
        <f t="shared" si="54"/>
        <v>0</v>
      </c>
      <c r="J83" s="300">
        <f t="shared" si="54"/>
        <v>16000</v>
      </c>
      <c r="K83" s="300"/>
      <c r="L83" s="89">
        <f t="shared" ref="L83:L88" si="55">IF(H83&gt;0,H83/C83,0)</f>
        <v>0</v>
      </c>
      <c r="M83" s="89">
        <f t="shared" ref="M83:M88" si="56">IF(I83&gt;0,I83/D83,0)</f>
        <v>0</v>
      </c>
      <c r="N83" s="89">
        <f t="shared" ref="N83:N88" si="57">IF(J83&gt;0,J83/E83,0)</f>
        <v>0.88888888888888884</v>
      </c>
      <c r="O83" s="300"/>
      <c r="P83" s="300">
        <f t="shared" ref="P83:P88" si="58">+(D83-C83)*P$10</f>
        <v>0</v>
      </c>
      <c r="Q83" s="300">
        <f t="shared" ref="Q83:Q88" si="59">+(E83-D83)*Q$10</f>
        <v>4000</v>
      </c>
      <c r="R83" s="300">
        <f t="shared" ref="R83:R88" si="60">+(F83-E83)*R$10</f>
        <v>0</v>
      </c>
      <c r="S83" s="300">
        <f t="shared" ref="S83:S88" si="61">SUM(P83:R83)</f>
        <v>4000</v>
      </c>
      <c r="T83" s="305">
        <f t="shared" ref="T83:T88" si="62">IF(C83=0,0,+S83/C83)</f>
        <v>0.2857142857142857</v>
      </c>
      <c r="U83" s="126"/>
      <c r="V83" s="208">
        <f t="shared" ref="V83:V88" si="63">+S83-E83+C83</f>
        <v>0</v>
      </c>
    </row>
    <row r="84" spans="1:24" ht="12.75" customHeight="1" x14ac:dyDescent="0.2">
      <c r="A84" s="14"/>
      <c r="B84" s="20"/>
      <c r="C84" s="296">
        <v>14000</v>
      </c>
      <c r="D84" s="295">
        <v>14000</v>
      </c>
      <c r="E84" s="295">
        <f>14000+4000</f>
        <v>18000</v>
      </c>
      <c r="F84" s="295">
        <v>18000</v>
      </c>
      <c r="G84" s="295"/>
      <c r="H84" s="295"/>
      <c r="I84" s="326">
        <v>0</v>
      </c>
      <c r="J84" s="295">
        <v>16000</v>
      </c>
      <c r="K84" s="295"/>
      <c r="L84" s="188">
        <f t="shared" si="55"/>
        <v>0</v>
      </c>
      <c r="M84" s="188">
        <f t="shared" si="56"/>
        <v>0</v>
      </c>
      <c r="N84" s="188">
        <f t="shared" si="57"/>
        <v>0.88888888888888884</v>
      </c>
      <c r="O84" s="295"/>
      <c r="P84" s="83">
        <f t="shared" si="58"/>
        <v>0</v>
      </c>
      <c r="Q84" s="83">
        <f t="shared" si="59"/>
        <v>4000</v>
      </c>
      <c r="R84" s="83">
        <f t="shared" si="60"/>
        <v>0</v>
      </c>
      <c r="S84" s="83">
        <f t="shared" si="61"/>
        <v>4000</v>
      </c>
      <c r="T84" s="304">
        <f t="shared" si="62"/>
        <v>0.2857142857142857</v>
      </c>
      <c r="U84" s="126"/>
      <c r="V84" s="208">
        <f t="shared" si="63"/>
        <v>0</v>
      </c>
    </row>
    <row r="85" spans="1:24" ht="12.75" hidden="1" customHeight="1" x14ac:dyDescent="0.2">
      <c r="A85" s="14"/>
      <c r="B85" s="20"/>
      <c r="C85" s="296"/>
      <c r="D85" s="295"/>
      <c r="E85" s="295"/>
      <c r="F85" s="295"/>
      <c r="G85" s="295"/>
      <c r="H85" s="295"/>
      <c r="I85" s="295"/>
      <c r="J85" s="295"/>
      <c r="K85" s="295"/>
      <c r="L85" s="161">
        <f t="shared" si="55"/>
        <v>0</v>
      </c>
      <c r="M85" s="161">
        <f t="shared" si="56"/>
        <v>0</v>
      </c>
      <c r="N85" s="161">
        <f t="shared" si="57"/>
        <v>0</v>
      </c>
      <c r="O85" s="295"/>
      <c r="P85" s="83">
        <f t="shared" si="58"/>
        <v>0</v>
      </c>
      <c r="Q85" s="83">
        <f t="shared" si="59"/>
        <v>0</v>
      </c>
      <c r="R85" s="83">
        <f t="shared" si="60"/>
        <v>0</v>
      </c>
      <c r="S85" s="83">
        <f t="shared" si="61"/>
        <v>0</v>
      </c>
      <c r="T85" s="304">
        <f t="shared" si="62"/>
        <v>0</v>
      </c>
      <c r="U85" s="126"/>
      <c r="V85" s="208">
        <f t="shared" si="63"/>
        <v>0</v>
      </c>
    </row>
    <row r="86" spans="1:24" s="43" customFormat="1" ht="12.75" customHeight="1" x14ac:dyDescent="0.2">
      <c r="A86" s="4" t="s">
        <v>173</v>
      </c>
      <c r="B86" s="3" t="s">
        <v>174</v>
      </c>
      <c r="C86" s="300">
        <f>SUM(C87:C88)</f>
        <v>0</v>
      </c>
      <c r="D86" s="300">
        <f t="shared" ref="D86:F86" si="64">SUM(D87:D88)</f>
        <v>0</v>
      </c>
      <c r="E86" s="300">
        <f t="shared" si="64"/>
        <v>0</v>
      </c>
      <c r="F86" s="300">
        <f t="shared" si="64"/>
        <v>0</v>
      </c>
      <c r="G86" s="300"/>
      <c r="H86" s="300">
        <f t="shared" ref="H86:J86" si="65">SUM(H87:H88)</f>
        <v>0</v>
      </c>
      <c r="I86" s="300">
        <f t="shared" si="65"/>
        <v>0</v>
      </c>
      <c r="J86" s="300">
        <f t="shared" si="65"/>
        <v>0</v>
      </c>
      <c r="K86" s="300"/>
      <c r="L86" s="89">
        <f t="shared" si="55"/>
        <v>0</v>
      </c>
      <c r="M86" s="89">
        <f t="shared" si="56"/>
        <v>0</v>
      </c>
      <c r="N86" s="89">
        <f t="shared" si="57"/>
        <v>0</v>
      </c>
      <c r="O86" s="300"/>
      <c r="P86" s="300">
        <f t="shared" si="58"/>
        <v>0</v>
      </c>
      <c r="Q86" s="300">
        <f t="shared" si="59"/>
        <v>0</v>
      </c>
      <c r="R86" s="300">
        <f t="shared" si="60"/>
        <v>0</v>
      </c>
      <c r="S86" s="300">
        <f t="shared" si="61"/>
        <v>0</v>
      </c>
      <c r="T86" s="305">
        <f t="shared" si="62"/>
        <v>0</v>
      </c>
      <c r="U86" s="126"/>
      <c r="V86" s="208">
        <f t="shared" si="63"/>
        <v>0</v>
      </c>
    </row>
    <row r="87" spans="1:24" ht="12.75" customHeight="1" x14ac:dyDescent="0.2">
      <c r="A87" s="14"/>
      <c r="B87" s="20"/>
      <c r="C87" s="296"/>
      <c r="D87" s="295"/>
      <c r="E87" s="295"/>
      <c r="F87" s="295"/>
      <c r="G87" s="295"/>
      <c r="H87" s="295"/>
      <c r="I87" s="326"/>
      <c r="J87" s="295"/>
      <c r="K87" s="295"/>
      <c r="L87" s="188">
        <f t="shared" si="55"/>
        <v>0</v>
      </c>
      <c r="M87" s="188">
        <f t="shared" si="56"/>
        <v>0</v>
      </c>
      <c r="N87" s="188">
        <f t="shared" si="57"/>
        <v>0</v>
      </c>
      <c r="O87" s="295"/>
      <c r="P87" s="83">
        <f t="shared" si="58"/>
        <v>0</v>
      </c>
      <c r="Q87" s="83">
        <f t="shared" si="59"/>
        <v>0</v>
      </c>
      <c r="R87" s="83">
        <f t="shared" si="60"/>
        <v>0</v>
      </c>
      <c r="S87" s="83">
        <f t="shared" si="61"/>
        <v>0</v>
      </c>
      <c r="T87" s="304">
        <f t="shared" si="62"/>
        <v>0</v>
      </c>
      <c r="U87" s="126"/>
      <c r="V87" s="208">
        <f t="shared" si="63"/>
        <v>0</v>
      </c>
    </row>
    <row r="88" spans="1:24" ht="12.75" hidden="1" customHeight="1" x14ac:dyDescent="0.2">
      <c r="A88" s="14"/>
      <c r="B88" s="20"/>
      <c r="C88" s="296"/>
      <c r="D88" s="295"/>
      <c r="E88" s="295"/>
      <c r="F88" s="295"/>
      <c r="G88" s="295"/>
      <c r="H88" s="295"/>
      <c r="I88" s="295"/>
      <c r="J88" s="295"/>
      <c r="K88" s="295"/>
      <c r="L88" s="161">
        <f t="shared" si="55"/>
        <v>0</v>
      </c>
      <c r="M88" s="161">
        <f t="shared" si="56"/>
        <v>0</v>
      </c>
      <c r="N88" s="161">
        <f t="shared" si="57"/>
        <v>0</v>
      </c>
      <c r="O88" s="295"/>
      <c r="P88" s="83">
        <f t="shared" si="58"/>
        <v>0</v>
      </c>
      <c r="Q88" s="83">
        <f t="shared" si="59"/>
        <v>0</v>
      </c>
      <c r="R88" s="83">
        <f t="shared" si="60"/>
        <v>0</v>
      </c>
      <c r="S88" s="83">
        <f t="shared" si="61"/>
        <v>0</v>
      </c>
      <c r="T88" s="304">
        <f t="shared" si="62"/>
        <v>0</v>
      </c>
      <c r="U88" s="126"/>
      <c r="V88" s="208">
        <f t="shared" si="63"/>
        <v>0</v>
      </c>
    </row>
    <row r="89" spans="1:24" ht="21" customHeight="1" x14ac:dyDescent="0.2">
      <c r="A89" s="512"/>
      <c r="B89" s="501" t="s">
        <v>378</v>
      </c>
      <c r="C89" s="502">
        <f>C13+C29+C32+C83+C86</f>
        <v>54963000</v>
      </c>
      <c r="D89" s="502">
        <f t="shared" ref="D89:J89" si="66">D13+D29+D32+D83+D86</f>
        <v>54963000</v>
      </c>
      <c r="E89" s="502">
        <f t="shared" si="66"/>
        <v>54963000</v>
      </c>
      <c r="F89" s="502">
        <f t="shared" si="66"/>
        <v>56832500</v>
      </c>
      <c r="G89" s="502"/>
      <c r="H89" s="502">
        <f t="shared" si="66"/>
        <v>25355939</v>
      </c>
      <c r="I89" s="502">
        <f t="shared" si="66"/>
        <v>37588851</v>
      </c>
      <c r="J89" s="502">
        <f t="shared" si="66"/>
        <v>52377285</v>
      </c>
      <c r="K89" s="504"/>
      <c r="L89" s="505">
        <f t="shared" si="52"/>
        <v>0.4613274202645416</v>
      </c>
      <c r="M89" s="505">
        <f t="shared" si="52"/>
        <v>0.68389372850826924</v>
      </c>
      <c r="N89" s="505">
        <f t="shared" si="52"/>
        <v>0.952955351782108</v>
      </c>
      <c r="O89" s="504"/>
      <c r="P89" s="502">
        <f t="shared" si="20"/>
        <v>0</v>
      </c>
      <c r="Q89" s="502">
        <f t="shared" si="21"/>
        <v>0</v>
      </c>
      <c r="R89" s="502">
        <f t="shared" si="22"/>
        <v>1869500</v>
      </c>
      <c r="S89" s="502">
        <f t="shared" si="23"/>
        <v>1869500</v>
      </c>
      <c r="T89" s="506">
        <f t="shared" ref="T89:T102" si="67">IF(C89=0,0,+S89/C89)</f>
        <v>3.4013791095828104E-2</v>
      </c>
      <c r="U89" s="510"/>
      <c r="V89" s="511">
        <f t="shared" si="47"/>
        <v>1869500</v>
      </c>
    </row>
    <row r="90" spans="1:24" ht="10.35" customHeight="1" x14ac:dyDescent="0.2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47"/>
        <v>0</v>
      </c>
      <c r="W90" s="128"/>
      <c r="X90" s="128"/>
    </row>
    <row r="91" spans="1:24" ht="10.35" customHeight="1" x14ac:dyDescent="0.2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">
      <c r="A93" s="4" t="s">
        <v>241</v>
      </c>
      <c r="B93" s="3" t="s">
        <v>242</v>
      </c>
      <c r="C93" s="300">
        <f>SUM(C94:C94)</f>
        <v>0</v>
      </c>
      <c r="D93" s="300">
        <f>SUM(D94:D94)</f>
        <v>0</v>
      </c>
      <c r="E93" s="300">
        <f>SUM(E94:E94)</f>
        <v>0</v>
      </c>
      <c r="F93" s="300">
        <f>SUM(F94:F94)</f>
        <v>0</v>
      </c>
      <c r="G93" s="300"/>
      <c r="H93" s="300">
        <f>SUM(H94:H94)</f>
        <v>0</v>
      </c>
      <c r="I93" s="300">
        <f>SUM(I94:I94)</f>
        <v>0</v>
      </c>
      <c r="J93" s="300">
        <f>SUM(J94:J94)</f>
        <v>0</v>
      </c>
      <c r="K93" s="300"/>
      <c r="L93" s="89">
        <f t="shared" ref="L93:L94" si="68">IF(H93&gt;0,H93/C93,0)</f>
        <v>0</v>
      </c>
      <c r="M93" s="89">
        <f t="shared" ref="M93:M94" si="69">IF(I93&gt;0,I93/D93,0)</f>
        <v>0</v>
      </c>
      <c r="N93" s="89">
        <f t="shared" ref="N93:N94" si="70">IF(J93&gt;0,J93/E93,0)</f>
        <v>0</v>
      </c>
      <c r="O93" s="300"/>
      <c r="P93" s="300">
        <f t="shared" ref="P93:P94" si="71">+(D93-C93)*P$10</f>
        <v>0</v>
      </c>
      <c r="Q93" s="300">
        <f t="shared" ref="Q93:Q94" si="72">+(E93-D93)*Q$10</f>
        <v>0</v>
      </c>
      <c r="R93" s="300">
        <f t="shared" ref="R93:R94" si="73">+(F93-E93)*R$10</f>
        <v>0</v>
      </c>
      <c r="S93" s="300">
        <f t="shared" ref="S93:S94" si="74">SUM(P93:R93)</f>
        <v>0</v>
      </c>
      <c r="T93" s="305">
        <f t="shared" ref="T93:T94" si="75">IF(C93=0,0,+S93/C93)</f>
        <v>0</v>
      </c>
      <c r="U93" s="126"/>
      <c r="V93" s="208">
        <f t="shared" ref="V93:V94" si="76">+S93-E93+C93</f>
        <v>0</v>
      </c>
    </row>
    <row r="94" spans="1:24" ht="12.75" customHeight="1" x14ac:dyDescent="0.2">
      <c r="A94" s="14"/>
      <c r="B94" s="20"/>
      <c r="C94" s="296"/>
      <c r="D94" s="295"/>
      <c r="E94" s="295"/>
      <c r="F94" s="295"/>
      <c r="G94" s="295"/>
      <c r="H94" s="295"/>
      <c r="I94" s="326"/>
      <c r="J94" s="295"/>
      <c r="K94" s="295"/>
      <c r="L94" s="188">
        <f t="shared" si="68"/>
        <v>0</v>
      </c>
      <c r="M94" s="188">
        <f t="shared" si="69"/>
        <v>0</v>
      </c>
      <c r="N94" s="188">
        <f t="shared" si="70"/>
        <v>0</v>
      </c>
      <c r="O94" s="295"/>
      <c r="P94" s="83">
        <f t="shared" si="71"/>
        <v>0</v>
      </c>
      <c r="Q94" s="83">
        <f t="shared" si="72"/>
        <v>0</v>
      </c>
      <c r="R94" s="83">
        <f t="shared" si="73"/>
        <v>0</v>
      </c>
      <c r="S94" s="83">
        <f t="shared" si="74"/>
        <v>0</v>
      </c>
      <c r="T94" s="304">
        <f t="shared" si="75"/>
        <v>0</v>
      </c>
      <c r="U94" s="126"/>
      <c r="V94" s="208">
        <f t="shared" si="76"/>
        <v>0</v>
      </c>
    </row>
    <row r="95" spans="1:24" s="43" customFormat="1" ht="12.75" customHeight="1" x14ac:dyDescent="0.2">
      <c r="A95" s="4" t="s">
        <v>284</v>
      </c>
      <c r="B95" s="3" t="s">
        <v>285</v>
      </c>
      <c r="C95" s="300">
        <f>SUM(C96:C98)</f>
        <v>3733000</v>
      </c>
      <c r="D95" s="300">
        <f>SUM(D96:D98)</f>
        <v>3733000</v>
      </c>
      <c r="E95" s="300">
        <f>SUM(E96:E98)</f>
        <v>3733000</v>
      </c>
      <c r="F95" s="300">
        <f>SUM(F96:F98)</f>
        <v>4868500</v>
      </c>
      <c r="G95" s="300"/>
      <c r="H95" s="300">
        <f>SUM(H96:H98)</f>
        <v>2041073</v>
      </c>
      <c r="I95" s="300">
        <f>+I96+I97+I98</f>
        <v>2996339</v>
      </c>
      <c r="J95" s="300">
        <f>+J96+J97+J98</f>
        <v>3813722</v>
      </c>
      <c r="K95" s="300"/>
      <c r="L95" s="89">
        <f t="shared" si="52"/>
        <v>0.54676480042860964</v>
      </c>
      <c r="M95" s="89">
        <f t="shared" si="52"/>
        <v>0.80266246986338063</v>
      </c>
      <c r="N95" s="89">
        <f t="shared" si="52"/>
        <v>1.0216238949906242</v>
      </c>
      <c r="O95" s="300"/>
      <c r="P95" s="300">
        <f t="shared" si="20"/>
        <v>0</v>
      </c>
      <c r="Q95" s="300">
        <f t="shared" si="21"/>
        <v>0</v>
      </c>
      <c r="R95" s="300">
        <f t="shared" si="22"/>
        <v>1135500</v>
      </c>
      <c r="S95" s="300">
        <f t="shared" si="23"/>
        <v>1135500</v>
      </c>
      <c r="T95" s="305">
        <f t="shared" si="67"/>
        <v>0.30417894454862043</v>
      </c>
      <c r="U95" s="126"/>
      <c r="V95" s="208">
        <f t="shared" si="47"/>
        <v>1135500</v>
      </c>
    </row>
    <row r="96" spans="1:24" ht="12.75" customHeight="1" x14ac:dyDescent="0.2">
      <c r="A96" s="560" t="s">
        <v>473</v>
      </c>
      <c r="B96" s="513" t="s">
        <v>504</v>
      </c>
      <c r="C96" s="296">
        <f>89000+3274000</f>
        <v>3363000</v>
      </c>
      <c r="D96" s="296">
        <f>10000+3347000</f>
        <v>3357000</v>
      </c>
      <c r="E96" s="296">
        <f>10000+3347000</f>
        <v>3357000</v>
      </c>
      <c r="F96" s="296">
        <f>73500+4229000</f>
        <v>4302500</v>
      </c>
      <c r="G96" s="296"/>
      <c r="H96" s="295">
        <f>13500+1825036</f>
        <v>1838536</v>
      </c>
      <c r="I96" s="295">
        <f>13500+2678878</f>
        <v>2692378</v>
      </c>
      <c r="J96" s="295">
        <f>81500+3353802</f>
        <v>3435302</v>
      </c>
      <c r="K96" s="296"/>
      <c r="L96" s="188">
        <f t="shared" si="52"/>
        <v>0.54669521260779064</v>
      </c>
      <c r="M96" s="188">
        <f t="shared" si="52"/>
        <v>0.80201906464104855</v>
      </c>
      <c r="N96" s="188">
        <f t="shared" si="52"/>
        <v>1.0233249925528747</v>
      </c>
      <c r="O96" s="296"/>
      <c r="P96" s="83">
        <f t="shared" si="20"/>
        <v>-6000</v>
      </c>
      <c r="Q96" s="83">
        <f t="shared" si="21"/>
        <v>0</v>
      </c>
      <c r="R96" s="83">
        <f t="shared" si="22"/>
        <v>945500</v>
      </c>
      <c r="S96" s="83">
        <f t="shared" si="23"/>
        <v>939500</v>
      </c>
      <c r="T96" s="304">
        <f t="shared" si="67"/>
        <v>0.27936366339577756</v>
      </c>
      <c r="U96" s="126"/>
      <c r="V96" s="208">
        <f t="shared" si="47"/>
        <v>945500</v>
      </c>
    </row>
    <row r="97" spans="1:22" ht="12.75" customHeight="1" x14ac:dyDescent="0.2">
      <c r="A97" s="14" t="s">
        <v>299</v>
      </c>
      <c r="B97" s="20" t="s">
        <v>300</v>
      </c>
      <c r="C97" s="296">
        <v>370000</v>
      </c>
      <c r="D97" s="296">
        <v>370000</v>
      </c>
      <c r="E97" s="296">
        <v>370000</v>
      </c>
      <c r="F97" s="296">
        <v>560000</v>
      </c>
      <c r="G97" s="296"/>
      <c r="H97" s="295">
        <v>200923</v>
      </c>
      <c r="I97" s="295">
        <v>302110</v>
      </c>
      <c r="J97" s="295">
        <v>375861</v>
      </c>
      <c r="K97" s="296"/>
      <c r="L97" s="188">
        <f t="shared" si="52"/>
        <v>0.54303513513513513</v>
      </c>
      <c r="M97" s="188">
        <f t="shared" si="52"/>
        <v>0.81651351351351353</v>
      </c>
      <c r="N97" s="188">
        <f t="shared" si="52"/>
        <v>1.0158405405405406</v>
      </c>
      <c r="O97" s="296"/>
      <c r="P97" s="83">
        <f t="shared" si="20"/>
        <v>0</v>
      </c>
      <c r="Q97" s="83">
        <f t="shared" si="21"/>
        <v>0</v>
      </c>
      <c r="R97" s="83">
        <f t="shared" si="22"/>
        <v>190000</v>
      </c>
      <c r="S97" s="83">
        <f t="shared" si="23"/>
        <v>190000</v>
      </c>
      <c r="T97" s="304">
        <f t="shared" si="67"/>
        <v>0.51351351351351349</v>
      </c>
      <c r="U97" s="126"/>
      <c r="V97" s="208">
        <f t="shared" si="47"/>
        <v>190000</v>
      </c>
    </row>
    <row r="98" spans="1:22" ht="12.75" customHeight="1" x14ac:dyDescent="0.2">
      <c r="A98" s="560" t="s">
        <v>471</v>
      </c>
      <c r="B98" s="513" t="s">
        <v>474</v>
      </c>
      <c r="C98" s="296">
        <v>0</v>
      </c>
      <c r="D98" s="296">
        <v>6000</v>
      </c>
      <c r="E98" s="296">
        <f>1000+5000</f>
        <v>6000</v>
      </c>
      <c r="F98" s="296">
        <f>1000+5000</f>
        <v>6000</v>
      </c>
      <c r="G98" s="296"/>
      <c r="H98" s="295">
        <f>152+1462</f>
        <v>1614</v>
      </c>
      <c r="I98" s="295">
        <f>194+1657</f>
        <v>1851</v>
      </c>
      <c r="J98" s="295">
        <f>238+2321</f>
        <v>2559</v>
      </c>
      <c r="K98" s="296"/>
      <c r="L98" s="188" t="e">
        <f t="shared" si="52"/>
        <v>#DIV/0!</v>
      </c>
      <c r="M98" s="188">
        <f t="shared" si="52"/>
        <v>0.3085</v>
      </c>
      <c r="N98" s="188">
        <f t="shared" si="52"/>
        <v>0.42649999999999999</v>
      </c>
      <c r="O98" s="296"/>
      <c r="P98" s="83">
        <f t="shared" si="20"/>
        <v>6000</v>
      </c>
      <c r="Q98" s="83">
        <f t="shared" si="21"/>
        <v>0</v>
      </c>
      <c r="R98" s="83">
        <f t="shared" si="22"/>
        <v>0</v>
      </c>
      <c r="S98" s="83">
        <f t="shared" si="23"/>
        <v>6000</v>
      </c>
      <c r="T98" s="304">
        <f t="shared" si="67"/>
        <v>0</v>
      </c>
      <c r="U98" s="126"/>
      <c r="V98" s="208">
        <f t="shared" si="47"/>
        <v>0</v>
      </c>
    </row>
    <row r="99" spans="1:22" s="43" customFormat="1" ht="12.75" customHeight="1" x14ac:dyDescent="0.2">
      <c r="A99" s="4" t="s">
        <v>333</v>
      </c>
      <c r="B99" s="3" t="s">
        <v>334</v>
      </c>
      <c r="C99" s="300">
        <f>SUM(C100:C101)</f>
        <v>51230000</v>
      </c>
      <c r="D99" s="300">
        <f t="shared" ref="D99:J99" si="77">SUM(D100:D101)</f>
        <v>51230000</v>
      </c>
      <c r="E99" s="300">
        <f t="shared" si="77"/>
        <v>51230000</v>
      </c>
      <c r="F99" s="300">
        <f t="shared" si="77"/>
        <v>51964000</v>
      </c>
      <c r="G99" s="300"/>
      <c r="H99" s="300">
        <f t="shared" si="77"/>
        <v>27806884</v>
      </c>
      <c r="I99" s="300">
        <f t="shared" si="77"/>
        <v>38297183</v>
      </c>
      <c r="J99" s="300">
        <f t="shared" si="77"/>
        <v>50959205</v>
      </c>
      <c r="K99" s="300"/>
      <c r="L99" s="89">
        <f t="shared" si="52"/>
        <v>0.54278516494241658</v>
      </c>
      <c r="M99" s="89">
        <f t="shared" si="52"/>
        <v>0.74755383564317779</v>
      </c>
      <c r="N99" s="89">
        <f t="shared" si="52"/>
        <v>0.99471413234432948</v>
      </c>
      <c r="O99" s="300"/>
      <c r="P99" s="300">
        <f t="shared" si="20"/>
        <v>0</v>
      </c>
      <c r="Q99" s="300">
        <f t="shared" si="21"/>
        <v>0</v>
      </c>
      <c r="R99" s="300">
        <f t="shared" si="22"/>
        <v>734000</v>
      </c>
      <c r="S99" s="300">
        <f t="shared" si="23"/>
        <v>734000</v>
      </c>
      <c r="T99" s="305">
        <f t="shared" si="67"/>
        <v>1.4327542455592427E-2</v>
      </c>
      <c r="U99" s="126"/>
      <c r="V99" s="208">
        <f t="shared" si="47"/>
        <v>734000</v>
      </c>
    </row>
    <row r="100" spans="1:22" ht="12.75" customHeight="1" x14ac:dyDescent="0.2">
      <c r="A100" s="14" t="s">
        <v>359</v>
      </c>
      <c r="B100" s="20" t="s">
        <v>388</v>
      </c>
      <c r="C100" s="296">
        <v>48881766</v>
      </c>
      <c r="D100" s="295">
        <v>48881766</v>
      </c>
      <c r="E100" s="295">
        <v>48881766</v>
      </c>
      <c r="F100" s="295">
        <v>49615766</v>
      </c>
      <c r="G100" s="295"/>
      <c r="H100" s="295">
        <v>25458650</v>
      </c>
      <c r="I100" s="326">
        <v>35948949</v>
      </c>
      <c r="J100" s="295">
        <v>48610971</v>
      </c>
      <c r="K100" s="295"/>
      <c r="L100" s="188">
        <f t="shared" si="52"/>
        <v>0.52082099488795064</v>
      </c>
      <c r="M100" s="188">
        <f t="shared" si="52"/>
        <v>0.73542655967053239</v>
      </c>
      <c r="N100" s="188">
        <f t="shared" si="52"/>
        <v>0.99446020424057513</v>
      </c>
      <c r="O100" s="295"/>
      <c r="P100" s="83">
        <f t="shared" si="20"/>
        <v>0</v>
      </c>
      <c r="Q100" s="83">
        <f t="shared" si="21"/>
        <v>0</v>
      </c>
      <c r="R100" s="83">
        <f t="shared" si="22"/>
        <v>734000</v>
      </c>
      <c r="S100" s="83">
        <f t="shared" si="23"/>
        <v>734000</v>
      </c>
      <c r="T100" s="304">
        <f t="shared" si="67"/>
        <v>1.5015824100954128E-2</v>
      </c>
      <c r="U100" s="126"/>
      <c r="V100" s="208">
        <f t="shared" si="47"/>
        <v>734000</v>
      </c>
    </row>
    <row r="101" spans="1:22" ht="12.75" customHeight="1" x14ac:dyDescent="0.2">
      <c r="A101" s="14" t="s">
        <v>347</v>
      </c>
      <c r="B101" s="20" t="s">
        <v>348</v>
      </c>
      <c r="C101" s="597">
        <v>2348234</v>
      </c>
      <c r="D101" s="295">
        <v>2348234</v>
      </c>
      <c r="E101" s="295">
        <v>2348234</v>
      </c>
      <c r="F101" s="295">
        <v>2348234</v>
      </c>
      <c r="G101" s="295"/>
      <c r="H101" s="295">
        <v>2348234</v>
      </c>
      <c r="I101" s="295">
        <v>2348234</v>
      </c>
      <c r="J101" s="295">
        <v>2348234</v>
      </c>
      <c r="K101" s="295"/>
      <c r="L101" s="161">
        <f t="shared" si="52"/>
        <v>1</v>
      </c>
      <c r="M101" s="161">
        <f t="shared" si="52"/>
        <v>1</v>
      </c>
      <c r="N101" s="161">
        <f t="shared" si="52"/>
        <v>1</v>
      </c>
      <c r="O101" s="295"/>
      <c r="P101" s="83">
        <f t="shared" si="20"/>
        <v>0</v>
      </c>
      <c r="Q101" s="83">
        <f t="shared" si="21"/>
        <v>0</v>
      </c>
      <c r="R101" s="83">
        <f t="shared" si="22"/>
        <v>0</v>
      </c>
      <c r="S101" s="83">
        <f t="shared" si="23"/>
        <v>0</v>
      </c>
      <c r="T101" s="304">
        <f t="shared" si="67"/>
        <v>0</v>
      </c>
      <c r="U101" s="126"/>
      <c r="V101" s="208">
        <f t="shared" si="47"/>
        <v>0</v>
      </c>
    </row>
    <row r="102" spans="1:22" ht="20.25" customHeight="1" x14ac:dyDescent="0.2">
      <c r="A102" s="503"/>
      <c r="B102" s="501" t="s">
        <v>377</v>
      </c>
      <c r="C102" s="502">
        <f>+C95+C99+C93</f>
        <v>54963000</v>
      </c>
      <c r="D102" s="502">
        <f>+D95+D99+D93</f>
        <v>54963000</v>
      </c>
      <c r="E102" s="502">
        <f>+E95+E99+E93</f>
        <v>54963000</v>
      </c>
      <c r="F102" s="502">
        <f>+F95+F99+F93</f>
        <v>56832500</v>
      </c>
      <c r="G102" s="502"/>
      <c r="H102" s="502">
        <f>+H95+H99+H93</f>
        <v>29847957</v>
      </c>
      <c r="I102" s="502">
        <f>+I95+I99+I93</f>
        <v>41293522</v>
      </c>
      <c r="J102" s="502">
        <f>+J95+J99+J93</f>
        <v>54772927</v>
      </c>
      <c r="K102" s="504"/>
      <c r="L102" s="505">
        <f t="shared" si="52"/>
        <v>0.54305545548823753</v>
      </c>
      <c r="M102" s="505">
        <f t="shared" si="52"/>
        <v>0.75129672688899807</v>
      </c>
      <c r="N102" s="505">
        <f t="shared" si="52"/>
        <v>0.99654180084784305</v>
      </c>
      <c r="O102" s="504"/>
      <c r="P102" s="509">
        <f t="shared" ref="P102:R102" si="78">+(D102-C102)*P$10</f>
        <v>0</v>
      </c>
      <c r="Q102" s="509">
        <f t="shared" si="78"/>
        <v>0</v>
      </c>
      <c r="R102" s="509">
        <f t="shared" si="78"/>
        <v>1869500</v>
      </c>
      <c r="S102" s="509">
        <f t="shared" ref="S102" si="79">SUM(P102:R102)</f>
        <v>1869500</v>
      </c>
      <c r="T102" s="506">
        <f t="shared" si="67"/>
        <v>3.4013791095828104E-2</v>
      </c>
      <c r="U102" s="507"/>
      <c r="V102" s="508">
        <f t="shared" si="47"/>
        <v>1869500</v>
      </c>
    </row>
    <row r="103" spans="1:22" ht="12.75" customHeight="1" x14ac:dyDescent="0.2">
      <c r="C103" s="299"/>
      <c r="D103" s="299"/>
      <c r="E103" s="299"/>
      <c r="F103" s="299"/>
      <c r="G103" s="299"/>
      <c r="H103" s="299"/>
      <c r="I103" s="299"/>
      <c r="J103" s="299"/>
      <c r="K103" s="299"/>
      <c r="L103" s="37"/>
      <c r="M103" s="37"/>
      <c r="N103" s="37"/>
      <c r="O103" s="299"/>
      <c r="P103" s="303"/>
      <c r="Q103" s="303"/>
      <c r="R103" s="303"/>
      <c r="S103" s="303"/>
    </row>
    <row r="104" spans="1:22" ht="12.75" customHeight="1" x14ac:dyDescent="0.2">
      <c r="C104" s="299"/>
      <c r="D104" s="299"/>
      <c r="E104" s="299"/>
      <c r="F104" s="299"/>
      <c r="G104" s="299"/>
      <c r="H104" s="299"/>
      <c r="I104" s="299"/>
      <c r="J104" s="299"/>
      <c r="K104" s="299"/>
      <c r="O104" s="299"/>
      <c r="P104" s="303"/>
      <c r="Q104" s="303"/>
      <c r="R104" s="303"/>
      <c r="S104" s="303"/>
    </row>
    <row r="105" spans="1:22" ht="12.75" customHeight="1" x14ac:dyDescent="0.2">
      <c r="B105" s="61"/>
      <c r="C105" s="299"/>
      <c r="D105" s="299"/>
      <c r="E105" s="299"/>
      <c r="F105" s="299"/>
      <c r="G105" s="299"/>
      <c r="H105" s="299"/>
      <c r="I105" s="299"/>
      <c r="J105" s="299"/>
      <c r="K105" s="299"/>
      <c r="O105" s="299"/>
      <c r="P105" s="303"/>
      <c r="Q105" s="303"/>
      <c r="R105" s="303"/>
      <c r="S105" s="303"/>
    </row>
    <row r="106" spans="1:22" ht="12.75" customHeight="1" x14ac:dyDescent="0.2">
      <c r="C106" s="299"/>
      <c r="D106" s="299"/>
      <c r="E106" s="299"/>
      <c r="F106" s="299"/>
      <c r="G106" s="299"/>
      <c r="H106" s="299"/>
      <c r="I106" s="299"/>
      <c r="J106" s="299"/>
      <c r="K106" s="299"/>
      <c r="O106" s="299"/>
      <c r="P106" s="303"/>
      <c r="Q106" s="303"/>
      <c r="R106" s="303"/>
      <c r="S106" s="303"/>
    </row>
    <row r="107" spans="1:22" ht="12.75" customHeight="1" x14ac:dyDescent="0.2">
      <c r="A107" s="61"/>
      <c r="B107" s="61"/>
      <c r="C107" s="299"/>
      <c r="D107" s="299"/>
      <c r="E107" s="299"/>
      <c r="F107" s="299"/>
      <c r="G107" s="299"/>
      <c r="H107" s="299"/>
      <c r="I107" s="299"/>
      <c r="J107" s="299"/>
      <c r="K107" s="299"/>
      <c r="O107" s="299"/>
      <c r="P107" s="104"/>
      <c r="Q107" s="104"/>
      <c r="R107" s="104"/>
      <c r="S107" s="104"/>
    </row>
    <row r="108" spans="1:22" ht="12.75" customHeight="1" x14ac:dyDescent="0.2">
      <c r="B108" s="61"/>
      <c r="C108" s="103"/>
      <c r="D108" s="103"/>
      <c r="E108" s="104"/>
      <c r="F108" s="104"/>
      <c r="G108" s="104"/>
      <c r="H108" s="104"/>
      <c r="I108" s="104"/>
      <c r="J108" s="104"/>
      <c r="K108" s="104"/>
      <c r="O108" s="104"/>
      <c r="P108" s="104"/>
      <c r="Q108" s="104"/>
      <c r="R108" s="104"/>
      <c r="S108" s="104"/>
    </row>
    <row r="110" spans="1:22" ht="12.75" customHeight="1" x14ac:dyDescent="0.2">
      <c r="B110" s="591"/>
      <c r="C110" s="103"/>
      <c r="D110" s="103"/>
    </row>
    <row r="111" spans="1:22" ht="12.75" customHeight="1" x14ac:dyDescent="0.2">
      <c r="B111" s="591"/>
      <c r="C111" s="103"/>
      <c r="D111" s="103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1" fitToHeight="0" orientation="landscape" r:id="rId1"/>
  <headerFooter alignWithMargins="0">
    <oddHeader>&amp;R&amp;"Arial,Félkövér dőlt"&amp;A  /&amp;"Arial,Normál"
&amp;"Arial,Dőlt"&amp;8&amp;F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13</vt:i4>
      </vt:variant>
    </vt:vector>
  </HeadingPairs>
  <TitlesOfParts>
    <vt:vector size="25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Dr Gáspár HSZK</vt:lpstr>
      <vt:lpstr>5. Csicsergő</vt:lpstr>
      <vt:lpstr>6. Gólyahír</vt:lpstr>
      <vt:lpstr>7. Polg.Hiv.</vt:lpstr>
      <vt:lpstr>8. WAMKK</vt:lpstr>
      <vt:lpstr>9. Közp. Konyha</vt:lpstr>
      <vt:lpstr>'egységenkénti segédtábla'!Nyomtatási_cím</vt:lpstr>
      <vt:lpstr>' 2. Önk. Bevételek'!Nyomtatási_terület</vt:lpstr>
      <vt:lpstr>'1. Sülysáp összesen'!Nyomtatási_terület</vt:lpstr>
      <vt:lpstr>'3. Önk. Kiadások'!Nyomtatási_terület</vt:lpstr>
      <vt:lpstr>'4. Dr Gáspár HSZK'!Nyomtatási_terület</vt:lpstr>
      <vt:lpstr>'5. Csicsergő'!Nyomtatási_terület</vt:lpstr>
      <vt:lpstr>'6. Gólyahír'!Nyomtatási_terület</vt:lpstr>
      <vt:lpstr>'7. Polg.Hiv.'!Nyomtatási_terület</vt:lpstr>
      <vt:lpstr>'8. WAMKK'!Nyomtatási_terület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</vt:vector>
  </TitlesOfParts>
  <Company>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Testületi ügyintéző</cp:lastModifiedBy>
  <cp:lastPrinted>2018-05-24T07:01:46Z</cp:lastPrinted>
  <dcterms:created xsi:type="dcterms:W3CDTF">2014-01-15T07:36:54Z</dcterms:created>
  <dcterms:modified xsi:type="dcterms:W3CDTF">2018-05-25T06:19:23Z</dcterms:modified>
</cp:coreProperties>
</file>